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N:\JPG\Investor Reporting\Paragon Finance\PM28\"/>
    </mc:Choice>
  </mc:AlternateContent>
  <xr:revisionPtr revIDLastSave="0" documentId="13_ncr:1_{3DE980A5-FCA5-463F-8478-D31A8181B273}" xr6:coauthVersionLast="47" xr6:coauthVersionMax="47" xr10:uidLastSave="{00000000-0000-0000-0000-000000000000}"/>
  <bookViews>
    <workbookView xWindow="20052" yWindow="-108" windowWidth="20376" windowHeight="12216" firstSheet="8" activeTab="14" xr2:uid="{00000000-000D-0000-FFFF-FFFF00000000}"/>
  </bookViews>
  <sheets>
    <sheet name="November 20" sheetId="20" r:id="rId1"/>
    <sheet name="February 21" sheetId="21" r:id="rId2"/>
    <sheet name="May 21" sheetId="22" r:id="rId3"/>
    <sheet name="August 21" sheetId="23" r:id="rId4"/>
    <sheet name="November 21" sheetId="24" r:id="rId5"/>
    <sheet name="February 22" sheetId="25" r:id="rId6"/>
    <sheet name="May 22" sheetId="26" r:id="rId7"/>
    <sheet name="August 22" sheetId="27" r:id="rId8"/>
    <sheet name="November 22" sheetId="28" r:id="rId9"/>
    <sheet name="February 23" sheetId="29" r:id="rId10"/>
    <sheet name="May 23" sheetId="30" r:id="rId11"/>
    <sheet name="August 23" sheetId="31" r:id="rId12"/>
    <sheet name="November 23" sheetId="32" r:id="rId13"/>
    <sheet name="February 24" sheetId="33" r:id="rId14"/>
    <sheet name="May 24" sheetId="34" r:id="rId15"/>
  </sheets>
  <definedNames>
    <definedName name="_1PAGE_1" localSheetId="3">'August 21'!$A$1:$AC$53</definedName>
    <definedName name="_1PAGE_1" localSheetId="7">'August 22'!$A$1:$AC$53</definedName>
    <definedName name="_1PAGE_1" localSheetId="11">'August 23'!$A$1:$AC$53</definedName>
    <definedName name="_1PAGE_1" localSheetId="1">'February 21'!$A$1:$AC$53</definedName>
    <definedName name="_1PAGE_1" localSheetId="5">'February 22'!$A$1:$AC$53</definedName>
    <definedName name="_1PAGE_1" localSheetId="9">'February 23'!$A$1:$AC$53</definedName>
    <definedName name="_1PAGE_1" localSheetId="13">'February 24'!$A$1:$AC$53</definedName>
    <definedName name="_1PAGE_1" localSheetId="2">'May 21'!$A$1:$AC$53</definedName>
    <definedName name="_1PAGE_1" localSheetId="6">'May 22'!$A$1:$AC$53</definedName>
    <definedName name="_1PAGE_1" localSheetId="10">'May 23'!$A$1:$AC$53</definedName>
    <definedName name="_1PAGE_1" localSheetId="14">'May 24'!$A$1:$AC$53</definedName>
    <definedName name="_1PAGE_1" localSheetId="0">'November 20'!$A$1:$AC$53</definedName>
    <definedName name="_1PAGE_1" localSheetId="4">'November 21'!$A$1:$AC$53</definedName>
    <definedName name="_1PAGE_1" localSheetId="8">'November 22'!$A$1:$AC$53</definedName>
    <definedName name="_1PAGE_1" localSheetId="12">'November 23'!$A$1:$AC$53</definedName>
    <definedName name="_2PAGE_1" localSheetId="3">#REF!</definedName>
    <definedName name="_2PAGE_1" localSheetId="7">#REF!</definedName>
    <definedName name="_2PAGE_1" localSheetId="11">#REF!</definedName>
    <definedName name="_2PAGE_1" localSheetId="1">#REF!</definedName>
    <definedName name="_2PAGE_1" localSheetId="5">#REF!</definedName>
    <definedName name="_2PAGE_1" localSheetId="9">#REF!</definedName>
    <definedName name="_2PAGE_1" localSheetId="13">#REF!</definedName>
    <definedName name="_2PAGE_1" localSheetId="2">#REF!</definedName>
    <definedName name="_2PAGE_1" localSheetId="6">#REF!</definedName>
    <definedName name="_2PAGE_1" localSheetId="10">#REF!</definedName>
    <definedName name="_2PAGE_1" localSheetId="14">#REF!</definedName>
    <definedName name="_2PAGE_1" localSheetId="0">#REF!</definedName>
    <definedName name="_2PAGE_1" localSheetId="4">#REF!</definedName>
    <definedName name="_2PAGE_1" localSheetId="8">#REF!</definedName>
    <definedName name="_2PAGE_1" localSheetId="12">#REF!</definedName>
    <definedName name="_2PAGE_1">#REF!</definedName>
    <definedName name="_3PAGE_2" localSheetId="3">'August 21'!$A$54:$AC$132</definedName>
    <definedName name="_3PAGE_2" localSheetId="7">'August 22'!$A$54:$AC$132</definedName>
    <definedName name="_3PAGE_2" localSheetId="11">'August 23'!$A$54:$AC$132</definedName>
    <definedName name="_3PAGE_2" localSheetId="1">'February 21'!$A$54:$AC$132</definedName>
    <definedName name="_3PAGE_2" localSheetId="5">'February 22'!$A$54:$AC$132</definedName>
    <definedName name="_3PAGE_2" localSheetId="9">'February 23'!$A$54:$AC$132</definedName>
    <definedName name="_3PAGE_2" localSheetId="13">'February 24'!$A$54:$AC$132</definedName>
    <definedName name="_3PAGE_2" localSheetId="2">'May 21'!$A$54:$AC$132</definedName>
    <definedName name="_3PAGE_2" localSheetId="6">'May 22'!$A$54:$AC$132</definedName>
    <definedName name="_3PAGE_2" localSheetId="10">'May 23'!$A$54:$AC$132</definedName>
    <definedName name="_3PAGE_2" localSheetId="14">'May 24'!$A$54:$AC$132</definedName>
    <definedName name="_3PAGE_2" localSheetId="0">'November 20'!$A$54:$AC$132</definedName>
    <definedName name="_3PAGE_2" localSheetId="4">'November 21'!$A$54:$AC$132</definedName>
    <definedName name="_3PAGE_2" localSheetId="8">'November 22'!$A$54:$AC$132</definedName>
    <definedName name="_3PAGE_2" localSheetId="12">'November 23'!$A$54:$AC$132</definedName>
    <definedName name="_4PAGE_2" localSheetId="3">#REF!</definedName>
    <definedName name="_4PAGE_2" localSheetId="7">#REF!</definedName>
    <definedName name="_4PAGE_2" localSheetId="11">#REF!</definedName>
    <definedName name="_4PAGE_2" localSheetId="1">#REF!</definedName>
    <definedName name="_4PAGE_2" localSheetId="5">#REF!</definedName>
    <definedName name="_4PAGE_2" localSheetId="9">#REF!</definedName>
    <definedName name="_4PAGE_2" localSheetId="13">#REF!</definedName>
    <definedName name="_4PAGE_2" localSheetId="2">#REF!</definedName>
    <definedName name="_4PAGE_2" localSheetId="6">#REF!</definedName>
    <definedName name="_4PAGE_2" localSheetId="10">#REF!</definedName>
    <definedName name="_4PAGE_2" localSheetId="14">#REF!</definedName>
    <definedName name="_4PAGE_2" localSheetId="0">#REF!</definedName>
    <definedName name="_4PAGE_2" localSheetId="4">#REF!</definedName>
    <definedName name="_4PAGE_2" localSheetId="8">#REF!</definedName>
    <definedName name="_4PAGE_2" localSheetId="12">#REF!</definedName>
    <definedName name="_4PAGE_2">#REF!</definedName>
    <definedName name="_5PAGE_3" localSheetId="3">'August 21'!$A$133:$AC$243</definedName>
    <definedName name="_5PAGE_3" localSheetId="7">'August 22'!$A$133:$AC$243</definedName>
    <definedName name="_5PAGE_3" localSheetId="11">'August 23'!$A$133:$AC$243</definedName>
    <definedName name="_5PAGE_3" localSheetId="1">'February 21'!$A$133:$AC$243</definedName>
    <definedName name="_5PAGE_3" localSheetId="5">'February 22'!$A$133:$AC$243</definedName>
    <definedName name="_5PAGE_3" localSheetId="9">'February 23'!$A$133:$AC$243</definedName>
    <definedName name="_5PAGE_3" localSheetId="13">'February 24'!$A$133:$AC$243</definedName>
    <definedName name="_5PAGE_3" localSheetId="2">'May 21'!$A$133:$AC$243</definedName>
    <definedName name="_5PAGE_3" localSheetId="6">'May 22'!$A$133:$AC$243</definedName>
    <definedName name="_5PAGE_3" localSheetId="10">'May 23'!$A$133:$AC$243</definedName>
    <definedName name="_5PAGE_3" localSheetId="14">'May 24'!$A$133:$AC$243</definedName>
    <definedName name="_5PAGE_3" localSheetId="0">'November 20'!$A$133:$AC$243</definedName>
    <definedName name="_5PAGE_3" localSheetId="4">'November 21'!$A$133:$AC$243</definedName>
    <definedName name="_5PAGE_3" localSheetId="8">'November 22'!$A$133:$AC$243</definedName>
    <definedName name="_5PAGE_3" localSheetId="12">'November 23'!$A$133:$AC$243</definedName>
    <definedName name="_6PAGE_3" localSheetId="3">#REF!</definedName>
    <definedName name="_6PAGE_3" localSheetId="7">#REF!</definedName>
    <definedName name="_6PAGE_3" localSheetId="11">#REF!</definedName>
    <definedName name="_6PAGE_3" localSheetId="1">#REF!</definedName>
    <definedName name="_6PAGE_3" localSheetId="5">#REF!</definedName>
    <definedName name="_6PAGE_3" localSheetId="9">#REF!</definedName>
    <definedName name="_6PAGE_3" localSheetId="13">#REF!</definedName>
    <definedName name="_6PAGE_3" localSheetId="2">#REF!</definedName>
    <definedName name="_6PAGE_3" localSheetId="6">#REF!</definedName>
    <definedName name="_6PAGE_3" localSheetId="10">#REF!</definedName>
    <definedName name="_6PAGE_3" localSheetId="14">#REF!</definedName>
    <definedName name="_6PAGE_3" localSheetId="0">#REF!</definedName>
    <definedName name="_6PAGE_3" localSheetId="4">#REF!</definedName>
    <definedName name="_6PAGE_3" localSheetId="8">#REF!</definedName>
    <definedName name="_6PAGE_3" localSheetId="12">#REF!</definedName>
    <definedName name="_6PAGE_3">#REF!</definedName>
    <definedName name="_7PAGE_4" localSheetId="3">'August 21'!$A$244:$AC$374</definedName>
    <definedName name="_7PAGE_4" localSheetId="7">'August 22'!$A$244:$AC$357</definedName>
    <definedName name="_7PAGE_4" localSheetId="11">'August 23'!$A$244:$AC$357</definedName>
    <definedName name="_7PAGE_4" localSheetId="1">'February 21'!$A$244:$AC$374</definedName>
    <definedName name="_7PAGE_4" localSheetId="5">'February 22'!$A$244:$AC$357</definedName>
    <definedName name="_7PAGE_4" localSheetId="9">'February 23'!$A$244:$AC$357</definedName>
    <definedName name="_7PAGE_4" localSheetId="13">'February 24'!$A$244:$AC$357</definedName>
    <definedName name="_7PAGE_4" localSheetId="2">'May 21'!$A$244:$AC$374</definedName>
    <definedName name="_7PAGE_4" localSheetId="6">'May 22'!$A$244:$AC$357</definedName>
    <definedName name="_7PAGE_4" localSheetId="10">'May 23'!$A$244:$AC$357</definedName>
    <definedName name="_7PAGE_4" localSheetId="14">'May 24'!$A$244:$AC$357</definedName>
    <definedName name="_7PAGE_4" localSheetId="0">'November 20'!$A$244:$AC$374</definedName>
    <definedName name="_7PAGE_4" localSheetId="4">'November 21'!$A$244:$AC$357</definedName>
    <definedName name="_7PAGE_4" localSheetId="8">'November 22'!$A$244:$AC$357</definedName>
    <definedName name="_7PAGE_4" localSheetId="12">'November 23'!$A$244:$AC$357</definedName>
    <definedName name="_8PAGE_4" localSheetId="3">#REF!</definedName>
    <definedName name="_8PAGE_4" localSheetId="7">#REF!</definedName>
    <definedName name="_8PAGE_4" localSheetId="11">#REF!</definedName>
    <definedName name="_8PAGE_4" localSheetId="1">#REF!</definedName>
    <definedName name="_8PAGE_4" localSheetId="5">#REF!</definedName>
    <definedName name="_8PAGE_4" localSheetId="9">#REF!</definedName>
    <definedName name="_8PAGE_4" localSheetId="13">#REF!</definedName>
    <definedName name="_8PAGE_4" localSheetId="2">#REF!</definedName>
    <definedName name="_8PAGE_4" localSheetId="6">#REF!</definedName>
    <definedName name="_8PAGE_4" localSheetId="10">#REF!</definedName>
    <definedName name="_8PAGE_4" localSheetId="14">#REF!</definedName>
    <definedName name="_8PAGE_4" localSheetId="0">#REF!</definedName>
    <definedName name="_8PAGE_4" localSheetId="4">#REF!</definedName>
    <definedName name="_8PAGE_4" localSheetId="8">#REF!</definedName>
    <definedName name="_8PAGE_4" localSheetId="12">#REF!</definedName>
    <definedName name="_8PAGE_4">#REF!</definedName>
    <definedName name="_xlnm.Print_Area" localSheetId="3">'August 21'!$A$1:$AC$375</definedName>
    <definedName name="_xlnm.Print_Area" localSheetId="7">'August 22'!$A$1:$AC$358</definedName>
    <definedName name="_xlnm.Print_Area" localSheetId="11">'August 23'!$A$1:$AC$358</definedName>
    <definedName name="_xlnm.Print_Area" localSheetId="1">'February 21'!$A$1:$AC$375</definedName>
    <definedName name="_xlnm.Print_Area" localSheetId="5">'February 22'!$A$1:$AC$358</definedName>
    <definedName name="_xlnm.Print_Area" localSheetId="9">'February 23'!$A$1:$AC$358</definedName>
    <definedName name="_xlnm.Print_Area" localSheetId="13">'February 24'!$A$1:$AC$358</definedName>
    <definedName name="_xlnm.Print_Area" localSheetId="2">'May 21'!$A$1:$AC$375</definedName>
    <definedName name="_xlnm.Print_Area" localSheetId="6">'May 22'!$A$1:$AC$358</definedName>
    <definedName name="_xlnm.Print_Area" localSheetId="10">'May 23'!$A$1:$AC$358</definedName>
    <definedName name="_xlnm.Print_Area" localSheetId="14">'May 24'!$A$1:$AC$358</definedName>
    <definedName name="_xlnm.Print_Area" localSheetId="0">'November 20'!$A$1:$AC$375</definedName>
    <definedName name="_xlnm.Print_Area" localSheetId="4">'November 21'!$A$1:$AC$358</definedName>
    <definedName name="_xlnm.Print_Area" localSheetId="8">'November 22'!$A$1:$AC$358</definedName>
    <definedName name="_xlnm.Print_Area" localSheetId="12">'November 23'!$A$1:$AC$358</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83" i="34" l="1"/>
  <c r="Z73" i="34"/>
  <c r="T57" i="34" l="1"/>
  <c r="AB31" i="34" l="1"/>
  <c r="AB112" i="34"/>
  <c r="AB90" i="34"/>
  <c r="AB75" i="34"/>
  <c r="AB74" i="34"/>
  <c r="Z273" i="34" l="1"/>
  <c r="Z217" i="34"/>
  <c r="Z219" i="34" s="1"/>
  <c r="Y217" i="34"/>
  <c r="AB209" i="34"/>
  <c r="AB201" i="34"/>
  <c r="AB204" i="34" s="1"/>
  <c r="AB193" i="34"/>
  <c r="AB185" i="34"/>
  <c r="AB177" i="34"/>
  <c r="AB180" i="34" s="1"/>
  <c r="AB148" i="34"/>
  <c r="AB157" i="34" s="1"/>
  <c r="AB137" i="34"/>
  <c r="AB144" i="34" s="1"/>
  <c r="AA341" i="34"/>
  <c r="Z341" i="34"/>
  <c r="Y341" i="34"/>
  <c r="X341" i="34"/>
  <c r="AA329" i="34"/>
  <c r="Z329" i="34"/>
  <c r="Y329" i="34"/>
  <c r="X329" i="34"/>
  <c r="AA319" i="34"/>
  <c r="Z319" i="34"/>
  <c r="Y319" i="34"/>
  <c r="X319" i="34"/>
  <c r="Z307" i="34"/>
  <c r="AA304" i="34" s="1"/>
  <c r="X307" i="34"/>
  <c r="Y304" i="34" s="1"/>
  <c r="Z293" i="34"/>
  <c r="X293" i="34"/>
  <c r="Z292" i="34"/>
  <c r="X292" i="34"/>
  <c r="Z291" i="34"/>
  <c r="X291" i="34"/>
  <c r="Z290" i="34"/>
  <c r="X290" i="34"/>
  <c r="Z289" i="34"/>
  <c r="X289" i="34"/>
  <c r="Z288" i="34"/>
  <c r="X288" i="34"/>
  <c r="Z287" i="34"/>
  <c r="X287" i="34"/>
  <c r="Z286" i="34"/>
  <c r="X286" i="34"/>
  <c r="Z272" i="34"/>
  <c r="Z270" i="34"/>
  <c r="Z269" i="34"/>
  <c r="Z268" i="34"/>
  <c r="Y268" i="34"/>
  <c r="Z267" i="34"/>
  <c r="Y267" i="34"/>
  <c r="Z248" i="34"/>
  <c r="AB226" i="34"/>
  <c r="AB218" i="34"/>
  <c r="Y216" i="34"/>
  <c r="AB212" i="34"/>
  <c r="AB210" i="34"/>
  <c r="AB203" i="34"/>
  <c r="AB195" i="34"/>
  <c r="AB194" i="34"/>
  <c r="AB188" i="34"/>
  <c r="AB187" i="34"/>
  <c r="AB179" i="34"/>
  <c r="AB172" i="34"/>
  <c r="AB170" i="34"/>
  <c r="AB169" i="34"/>
  <c r="AB161" i="34"/>
  <c r="AB160" i="34"/>
  <c r="AB163" i="34" s="1"/>
  <c r="AB147" i="34"/>
  <c r="AB143" i="34"/>
  <c r="AB136" i="34"/>
  <c r="B132" i="34"/>
  <c r="B243" i="34" s="1"/>
  <c r="B357" i="34" s="1"/>
  <c r="Z128" i="34"/>
  <c r="Z120" i="34"/>
  <c r="Z99" i="34"/>
  <c r="AB128" i="34"/>
  <c r="Z84" i="34"/>
  <c r="AB80" i="34"/>
  <c r="AB83" i="34"/>
  <c r="AB86" i="34" s="1"/>
  <c r="Z71" i="34"/>
  <c r="T69" i="34"/>
  <c r="AB64" i="34"/>
  <c r="AB63" i="34"/>
  <c r="Z60" i="34"/>
  <c r="X60" i="34"/>
  <c r="V60" i="34"/>
  <c r="R60" i="34"/>
  <c r="R66" i="34" s="1"/>
  <c r="P60" i="34"/>
  <c r="P66" i="34" s="1"/>
  <c r="AB58" i="34"/>
  <c r="Z262" i="34"/>
  <c r="X48" i="34"/>
  <c r="X47" i="34"/>
  <c r="AB41" i="34"/>
  <c r="AB35" i="34"/>
  <c r="Z250" i="34" s="1"/>
  <c r="P31" i="34"/>
  <c r="N31" i="34"/>
  <c r="L31" i="34"/>
  <c r="J31" i="34"/>
  <c r="H31" i="34"/>
  <c r="F31" i="34"/>
  <c r="AB30" i="34"/>
  <c r="P30" i="34"/>
  <c r="N30" i="34"/>
  <c r="L30" i="34"/>
  <c r="J30" i="34"/>
  <c r="H30" i="34"/>
  <c r="F30" i="34"/>
  <c r="AB29" i="34"/>
  <c r="AB31" i="33"/>
  <c r="Z73" i="33"/>
  <c r="AB196" i="34" l="1"/>
  <c r="AB171" i="34"/>
  <c r="Z344" i="34"/>
  <c r="Z348" i="34"/>
  <c r="AA298" i="34"/>
  <c r="AA299" i="34"/>
  <c r="AA300" i="34"/>
  <c r="AA301" i="34"/>
  <c r="AA302" i="34"/>
  <c r="AA305" i="34"/>
  <c r="Z295" i="34"/>
  <c r="AA293" i="34" s="1"/>
  <c r="Z343" i="34"/>
  <c r="Z345" i="34" s="1"/>
  <c r="AA303" i="34"/>
  <c r="X343" i="34"/>
  <c r="Y305" i="34"/>
  <c r="Y301" i="34"/>
  <c r="X295" i="34"/>
  <c r="Y287" i="34" s="1"/>
  <c r="Y302" i="34"/>
  <c r="Y303" i="34"/>
  <c r="Y298" i="34"/>
  <c r="Y299" i="34"/>
  <c r="Y300" i="34"/>
  <c r="AB217" i="34"/>
  <c r="AB239" i="34"/>
  <c r="AB237" i="34"/>
  <c r="AB235" i="34"/>
  <c r="AB233" i="34"/>
  <c r="Z252" i="34"/>
  <c r="AB231" i="34"/>
  <c r="AB129" i="34"/>
  <c r="Y219" i="34"/>
  <c r="AB219" i="34" s="1"/>
  <c r="AB57" i="34"/>
  <c r="AB60" i="34" s="1"/>
  <c r="AB66" i="34" s="1"/>
  <c r="Z346" i="34" s="1"/>
  <c r="Z72" i="34"/>
  <c r="Z86" i="34"/>
  <c r="Z129" i="34" s="1"/>
  <c r="AB42" i="34"/>
  <c r="T60" i="34"/>
  <c r="AB35" i="33"/>
  <c r="AA307" i="34" l="1"/>
  <c r="AA288" i="34"/>
  <c r="AA292" i="34"/>
  <c r="AA289" i="34"/>
  <c r="AA290" i="34"/>
  <c r="AA291" i="34"/>
  <c r="AA287" i="34"/>
  <c r="AA286" i="34"/>
  <c r="Y288" i="34"/>
  <c r="Y286" i="34"/>
  <c r="Y290" i="34"/>
  <c r="Y292" i="34"/>
  <c r="Y291" i="34"/>
  <c r="Y289" i="34"/>
  <c r="Y293" i="34"/>
  <c r="Y307" i="34"/>
  <c r="Y220" i="34"/>
  <c r="AB30" i="33"/>
  <c r="AB112" i="33"/>
  <c r="AB90" i="33"/>
  <c r="AB75" i="33"/>
  <c r="AB74" i="33"/>
  <c r="T57" i="33"/>
  <c r="Y295" i="34" l="1"/>
  <c r="AA295" i="34"/>
  <c r="Z217" i="33"/>
  <c r="Z219" i="33" s="1"/>
  <c r="Y217" i="33"/>
  <c r="Y219" i="33" s="1"/>
  <c r="AB209" i="33"/>
  <c r="AB201" i="33"/>
  <c r="AB204" i="33" s="1"/>
  <c r="AB193" i="33"/>
  <c r="AB185" i="33"/>
  <c r="AB177" i="33"/>
  <c r="AB180" i="33" s="1"/>
  <c r="AB160" i="33"/>
  <c r="AB148" i="33"/>
  <c r="AB157" i="33" s="1"/>
  <c r="AB137" i="33"/>
  <c r="AA341" i="33"/>
  <c r="Z341" i="33"/>
  <c r="Y341" i="33"/>
  <c r="X341" i="33"/>
  <c r="Y268" i="33" s="1"/>
  <c r="AA329" i="33"/>
  <c r="Z329" i="33"/>
  <c r="Y329" i="33"/>
  <c r="X329" i="33"/>
  <c r="AA319" i="33"/>
  <c r="Z319" i="33"/>
  <c r="Z267" i="33" s="1"/>
  <c r="Y319" i="33"/>
  <c r="X319" i="33"/>
  <c r="Y267" i="33" s="1"/>
  <c r="Z307" i="33"/>
  <c r="AA304" i="33" s="1"/>
  <c r="X307" i="33"/>
  <c r="Y305" i="33" s="1"/>
  <c r="Z293" i="33"/>
  <c r="X293" i="33"/>
  <c r="Z292" i="33"/>
  <c r="X292" i="33"/>
  <c r="Z291" i="33"/>
  <c r="X291" i="33"/>
  <c r="Z290" i="33"/>
  <c r="X290" i="33"/>
  <c r="Z289" i="33"/>
  <c r="X289" i="33"/>
  <c r="Z288" i="33"/>
  <c r="X288" i="33"/>
  <c r="Z287" i="33"/>
  <c r="X287" i="33"/>
  <c r="Z286" i="33"/>
  <c r="X286" i="33"/>
  <c r="Z272" i="33"/>
  <c r="Z273" i="33" s="1"/>
  <c r="Z270" i="33"/>
  <c r="Z269" i="33"/>
  <c r="Z268" i="33"/>
  <c r="Z248" i="33"/>
  <c r="AB226" i="33"/>
  <c r="AB218" i="33"/>
  <c r="Y216" i="33"/>
  <c r="AB210" i="33"/>
  <c r="AB212" i="33" s="1"/>
  <c r="AB203" i="33"/>
  <c r="AB195" i="33"/>
  <c r="AB194" i="33"/>
  <c r="AB187" i="33"/>
  <c r="AB188" i="33" s="1"/>
  <c r="AB179" i="33"/>
  <c r="AB172" i="33"/>
  <c r="AB170" i="33"/>
  <c r="AB169" i="33"/>
  <c r="AB161" i="33"/>
  <c r="AB147" i="33"/>
  <c r="AB143" i="33"/>
  <c r="AB136" i="33"/>
  <c r="B132" i="33"/>
  <c r="B243" i="33" s="1"/>
  <c r="B357" i="33" s="1"/>
  <c r="Z120" i="33"/>
  <c r="Z128" i="33" s="1"/>
  <c r="Z99" i="33"/>
  <c r="AB128" i="33"/>
  <c r="Z84" i="33"/>
  <c r="AB80" i="33"/>
  <c r="Z71" i="33"/>
  <c r="Z72" i="33" s="1"/>
  <c r="T69" i="33"/>
  <c r="AB64" i="33"/>
  <c r="AB63" i="33"/>
  <c r="Z60" i="33"/>
  <c r="X60" i="33"/>
  <c r="V60" i="33"/>
  <c r="R60" i="33"/>
  <c r="R66" i="33" s="1"/>
  <c r="P60" i="33"/>
  <c r="P66" i="33" s="1"/>
  <c r="AB58" i="33"/>
  <c r="Z262" i="33"/>
  <c r="X48" i="33"/>
  <c r="X47" i="33"/>
  <c r="AB41" i="33"/>
  <c r="P31" i="33"/>
  <c r="N31" i="33"/>
  <c r="L31" i="33"/>
  <c r="J31" i="33"/>
  <c r="H31" i="33"/>
  <c r="F31" i="33"/>
  <c r="P30" i="33"/>
  <c r="N30" i="33"/>
  <c r="L30" i="33"/>
  <c r="J30" i="33"/>
  <c r="H30" i="33"/>
  <c r="F30" i="33"/>
  <c r="Z250" i="33" s="1"/>
  <c r="AB29" i="33"/>
  <c r="AB237" i="32"/>
  <c r="AA300" i="33" l="1"/>
  <c r="AA302" i="33"/>
  <c r="AA303" i="33"/>
  <c r="AA305" i="33"/>
  <c r="Z343" i="33"/>
  <c r="Z345" i="33" s="1"/>
  <c r="AA298" i="33"/>
  <c r="AA301" i="33"/>
  <c r="AA299" i="33"/>
  <c r="T60" i="33"/>
  <c r="Z344" i="33"/>
  <c r="Z295" i="33"/>
  <c r="AA293" i="33" s="1"/>
  <c r="Z83" i="33"/>
  <c r="Z86" i="33" s="1"/>
  <c r="Z129" i="33" s="1"/>
  <c r="AB144" i="33"/>
  <c r="AB83" i="33"/>
  <c r="AB86" i="33" s="1"/>
  <c r="AB239" i="33" s="1"/>
  <c r="Z348" i="33"/>
  <c r="AB171" i="33"/>
  <c r="AB163" i="33"/>
  <c r="AB219" i="33"/>
  <c r="AB196" i="33"/>
  <c r="Y220" i="33"/>
  <c r="AB57" i="33"/>
  <c r="AB60" i="33" s="1"/>
  <c r="AB66" i="33" s="1"/>
  <c r="Z346" i="33" s="1"/>
  <c r="Y302" i="33"/>
  <c r="Y299" i="33"/>
  <c r="Y303" i="33"/>
  <c r="AB42" i="33"/>
  <c r="AB217" i="33"/>
  <c r="X295" i="33"/>
  <c r="Y293" i="33" s="1"/>
  <c r="Y300" i="33"/>
  <c r="Y304" i="33"/>
  <c r="Y298" i="33"/>
  <c r="X343" i="33"/>
  <c r="Y301" i="33"/>
  <c r="AB74" i="32"/>
  <c r="AB112" i="32"/>
  <c r="AB90" i="32"/>
  <c r="AB75" i="32"/>
  <c r="Z86" i="32"/>
  <c r="T57" i="32"/>
  <c r="AB30" i="32"/>
  <c r="AB31" i="32"/>
  <c r="AB231" i="33" l="1"/>
  <c r="Z252" i="33"/>
  <c r="AA288" i="33"/>
  <c r="AA286" i="33"/>
  <c r="AA292" i="33"/>
  <c r="AA290" i="33"/>
  <c r="AA307" i="33"/>
  <c r="Y291" i="33"/>
  <c r="Y287" i="33"/>
  <c r="Y289" i="33"/>
  <c r="Y286" i="33"/>
  <c r="AA287" i="33"/>
  <c r="Y292" i="33"/>
  <c r="AA289" i="33"/>
  <c r="Y290" i="33"/>
  <c r="AB233" i="33"/>
  <c r="AB235" i="33"/>
  <c r="AB237" i="33"/>
  <c r="AB129" i="33"/>
  <c r="AA291" i="33"/>
  <c r="Y307" i="33"/>
  <c r="Y288" i="33"/>
  <c r="Z273" i="32"/>
  <c r="Z217" i="32"/>
  <c r="Z219" i="32" s="1"/>
  <c r="Y217" i="32"/>
  <c r="Y219" i="32" s="1"/>
  <c r="AB209" i="32"/>
  <c r="AB201" i="32"/>
  <c r="AB193" i="32"/>
  <c r="AB185" i="32"/>
  <c r="AB177" i="32"/>
  <c r="AB160" i="32"/>
  <c r="AB148" i="32"/>
  <c r="AB157" i="32" s="1"/>
  <c r="AB137" i="32"/>
  <c r="AB144" i="32" s="1"/>
  <c r="AA341" i="32"/>
  <c r="Z341" i="32"/>
  <c r="Y341" i="32"/>
  <c r="X341" i="32"/>
  <c r="AA329" i="32"/>
  <c r="Z329" i="32"/>
  <c r="Y329" i="32"/>
  <c r="X329" i="32"/>
  <c r="AA319" i="32"/>
  <c r="Z319" i="32"/>
  <c r="Z267" i="32" s="1"/>
  <c r="Y319" i="32"/>
  <c r="X319" i="32"/>
  <c r="Y267" i="32" s="1"/>
  <c r="Z307" i="32"/>
  <c r="AA304" i="32" s="1"/>
  <c r="X307" i="32"/>
  <c r="Y304" i="32" s="1"/>
  <c r="Z293" i="32"/>
  <c r="X293" i="32"/>
  <c r="Z292" i="32"/>
  <c r="X292" i="32"/>
  <c r="Z291" i="32"/>
  <c r="X291" i="32"/>
  <c r="Z290" i="32"/>
  <c r="X290" i="32"/>
  <c r="Z289" i="32"/>
  <c r="X289" i="32"/>
  <c r="Z288" i="32"/>
  <c r="X288" i="32"/>
  <c r="Z287" i="32"/>
  <c r="X287" i="32"/>
  <c r="Z286" i="32"/>
  <c r="X286" i="32"/>
  <c r="Z272" i="32"/>
  <c r="Z270" i="32"/>
  <c r="Z269" i="32"/>
  <c r="Z268" i="32"/>
  <c r="Y268" i="32"/>
  <c r="Z248" i="32"/>
  <c r="AB226" i="32"/>
  <c r="AB218" i="32"/>
  <c r="Y216" i="32"/>
  <c r="AB210" i="32"/>
  <c r="AB212" i="32" s="1"/>
  <c r="AB203" i="32"/>
  <c r="AB204" i="32"/>
  <c r="AB196" i="32"/>
  <c r="AB195" i="32"/>
  <c r="AB194" i="32"/>
  <c r="AB188" i="32"/>
  <c r="AB187" i="32"/>
  <c r="AB179" i="32"/>
  <c r="AB172" i="32"/>
  <c r="AB171" i="32"/>
  <c r="AB170" i="32"/>
  <c r="AB169" i="32"/>
  <c r="AB161" i="32"/>
  <c r="AB163" i="32"/>
  <c r="AB147" i="32"/>
  <c r="AB143" i="32"/>
  <c r="AB136" i="32"/>
  <c r="B132" i="32"/>
  <c r="B243" i="32" s="1"/>
  <c r="B357" i="32" s="1"/>
  <c r="Z128" i="32"/>
  <c r="Z120" i="32"/>
  <c r="Z99" i="32"/>
  <c r="AB128" i="32"/>
  <c r="Z84" i="32"/>
  <c r="AB80" i="32"/>
  <c r="AB83" i="32"/>
  <c r="AB86" i="32" s="1"/>
  <c r="Z71" i="32"/>
  <c r="T69" i="32"/>
  <c r="AB64" i="32"/>
  <c r="AB63" i="32"/>
  <c r="Z60" i="32"/>
  <c r="X60" i="32"/>
  <c r="V60" i="32"/>
  <c r="R60" i="32"/>
  <c r="R66" i="32" s="1"/>
  <c r="P60" i="32"/>
  <c r="P66" i="32" s="1"/>
  <c r="AB58" i="32"/>
  <c r="T60" i="32"/>
  <c r="X48" i="32"/>
  <c r="X47" i="32"/>
  <c r="AB41" i="32"/>
  <c r="P31" i="32"/>
  <c r="N31" i="32"/>
  <c r="L31" i="32"/>
  <c r="J31" i="32"/>
  <c r="H31" i="32"/>
  <c r="F31" i="32"/>
  <c r="P30" i="32"/>
  <c r="N30" i="32"/>
  <c r="L30" i="32"/>
  <c r="J30" i="32"/>
  <c r="H30" i="32"/>
  <c r="F30" i="32"/>
  <c r="AB35" i="32" s="1"/>
  <c r="Z250" i="32" s="1"/>
  <c r="AB29" i="32"/>
  <c r="Z262" i="31"/>
  <c r="Z73" i="31"/>
  <c r="AA295" i="33" l="1"/>
  <c r="Y295" i="33"/>
  <c r="Z344" i="32"/>
  <c r="Z295" i="32"/>
  <c r="AA289" i="32" s="1"/>
  <c r="Z343" i="32"/>
  <c r="Z345" i="32" s="1"/>
  <c r="AA298" i="32"/>
  <c r="AA302" i="32"/>
  <c r="Y299" i="32"/>
  <c r="Y300" i="32"/>
  <c r="Y305" i="32"/>
  <c r="X343" i="32"/>
  <c r="Y298" i="32"/>
  <c r="Y301" i="32"/>
  <c r="Y302" i="32"/>
  <c r="Y303" i="32"/>
  <c r="AB219" i="32"/>
  <c r="Y220" i="32"/>
  <c r="AB180" i="32"/>
  <c r="AB239" i="32"/>
  <c r="AB235" i="32"/>
  <c r="AB233" i="32"/>
  <c r="Z252" i="32"/>
  <c r="AB231" i="32"/>
  <c r="AB129" i="32"/>
  <c r="AB57" i="32"/>
  <c r="AB60" i="32" s="1"/>
  <c r="AB66" i="32" s="1"/>
  <c r="Z346" i="32" s="1"/>
  <c r="Z72" i="32"/>
  <c r="AA301" i="32"/>
  <c r="AA305" i="32"/>
  <c r="Z348" i="32"/>
  <c r="Z73" i="32"/>
  <c r="AB42" i="32"/>
  <c r="Z262" i="32"/>
  <c r="AA299" i="32"/>
  <c r="X295" i="32"/>
  <c r="Y286" i="32" s="1"/>
  <c r="AB217" i="32"/>
  <c r="AA303" i="32"/>
  <c r="AA300" i="32"/>
  <c r="AB31" i="31"/>
  <c r="AB31" i="30"/>
  <c r="AB90" i="31"/>
  <c r="AB112" i="31"/>
  <c r="AB75" i="31"/>
  <c r="AB74" i="31"/>
  <c r="Z83" i="32" l="1"/>
  <c r="Z129" i="32" s="1"/>
  <c r="AA288" i="32"/>
  <c r="AA286" i="32"/>
  <c r="AA290" i="32"/>
  <c r="AA293" i="32"/>
  <c r="AA291" i="32"/>
  <c r="AA292" i="32"/>
  <c r="AA287" i="32"/>
  <c r="AA307" i="32"/>
  <c r="Y288" i="32"/>
  <c r="Y307" i="32"/>
  <c r="Y293" i="32"/>
  <c r="Y291" i="32"/>
  <c r="Y287" i="32"/>
  <c r="Y289" i="32"/>
  <c r="Y290" i="32"/>
  <c r="Y292" i="32"/>
  <c r="Z83" i="31"/>
  <c r="T57" i="31"/>
  <c r="AA295" i="32" l="1"/>
  <c r="Y295" i="32"/>
  <c r="AB30" i="31"/>
  <c r="Z273" i="31"/>
  <c r="Z217" i="31"/>
  <c r="Y217" i="31"/>
  <c r="Y219" i="31" s="1"/>
  <c r="AB209" i="31"/>
  <c r="AB201" i="31"/>
  <c r="AB204" i="31" s="1"/>
  <c r="AB193" i="31"/>
  <c r="AB185" i="31"/>
  <c r="AB177" i="31"/>
  <c r="AB180" i="31" s="1"/>
  <c r="AB160" i="31"/>
  <c r="AB163" i="31" s="1"/>
  <c r="AB148" i="31"/>
  <c r="AB157" i="31" s="1"/>
  <c r="AB137" i="31"/>
  <c r="AA341" i="31"/>
  <c r="Z341" i="31"/>
  <c r="Y341" i="31"/>
  <c r="X341" i="31"/>
  <c r="AA329" i="31"/>
  <c r="Z329" i="31"/>
  <c r="Y329" i="31"/>
  <c r="X329" i="31"/>
  <c r="AA319" i="31"/>
  <c r="Z319" i="31"/>
  <c r="Z267" i="31" s="1"/>
  <c r="Y319" i="31"/>
  <c r="X319" i="31"/>
  <c r="Z307" i="31"/>
  <c r="AA305" i="31" s="1"/>
  <c r="X307" i="31"/>
  <c r="Y304" i="31" s="1"/>
  <c r="AA304" i="31"/>
  <c r="AA303" i="31"/>
  <c r="AA299" i="31"/>
  <c r="Z293" i="31"/>
  <c r="X293" i="31"/>
  <c r="Z292" i="31"/>
  <c r="X292" i="31"/>
  <c r="Z291" i="31"/>
  <c r="X291" i="31"/>
  <c r="Z290" i="31"/>
  <c r="X290" i="31"/>
  <c r="Z289" i="31"/>
  <c r="X289" i="31"/>
  <c r="Z288" i="31"/>
  <c r="X288" i="31"/>
  <c r="Z287" i="31"/>
  <c r="X287" i="31"/>
  <c r="Z286" i="31"/>
  <c r="X286" i="31"/>
  <c r="Z272" i="31"/>
  <c r="Z270" i="31"/>
  <c r="Z269" i="31"/>
  <c r="Y268" i="31"/>
  <c r="Y267" i="31"/>
  <c r="Z248" i="31"/>
  <c r="AB226" i="31"/>
  <c r="Z219" i="31"/>
  <c r="AB218" i="31"/>
  <c r="Y216" i="31"/>
  <c r="AB210" i="31"/>
  <c r="AB212" i="31" s="1"/>
  <c r="AB203" i="31"/>
  <c r="AB195" i="31"/>
  <c r="AB194" i="31"/>
  <c r="AB188" i="31"/>
  <c r="AB187" i="31"/>
  <c r="AB179" i="31"/>
  <c r="AB172" i="31"/>
  <c r="AB170" i="31"/>
  <c r="AB171" i="31" s="1"/>
  <c r="AB169" i="31"/>
  <c r="AB161" i="31"/>
  <c r="AB147" i="31"/>
  <c r="AB143" i="31"/>
  <c r="AB136" i="31"/>
  <c r="B132" i="31"/>
  <c r="B243" i="31" s="1"/>
  <c r="B357" i="31" s="1"/>
  <c r="AB128" i="31"/>
  <c r="Z120" i="31"/>
  <c r="Z128" i="31" s="1"/>
  <c r="Z99" i="31"/>
  <c r="Z84" i="31"/>
  <c r="AB83" i="31"/>
  <c r="AB86" i="31" s="1"/>
  <c r="AB80" i="31"/>
  <c r="Z71" i="31"/>
  <c r="T69" i="31"/>
  <c r="AB64" i="31"/>
  <c r="AB63" i="31"/>
  <c r="Z60" i="31"/>
  <c r="X60" i="31"/>
  <c r="V60" i="31"/>
  <c r="R60" i="31"/>
  <c r="R66" i="31" s="1"/>
  <c r="P60" i="31"/>
  <c r="P66" i="31" s="1"/>
  <c r="AB58" i="31"/>
  <c r="X48" i="31"/>
  <c r="X47" i="31"/>
  <c r="AB41" i="31"/>
  <c r="P31" i="31"/>
  <c r="N31" i="31"/>
  <c r="L31" i="31"/>
  <c r="AB42" i="31" s="1"/>
  <c r="J31" i="31"/>
  <c r="H31" i="31"/>
  <c r="F31" i="31"/>
  <c r="P30" i="31"/>
  <c r="N30" i="31"/>
  <c r="L30" i="31"/>
  <c r="J30" i="31"/>
  <c r="H30" i="31"/>
  <c r="F30" i="31"/>
  <c r="AB29" i="31"/>
  <c r="Z73" i="30"/>
  <c r="AB196" i="31" l="1"/>
  <c r="AB144" i="31"/>
  <c r="Z344" i="31"/>
  <c r="AB35" i="31"/>
  <c r="Z250" i="31" s="1"/>
  <c r="Z343" i="31"/>
  <c r="AA298" i="31"/>
  <c r="AA300" i="31"/>
  <c r="AA302" i="31"/>
  <c r="X295" i="31"/>
  <c r="Y289" i="31" s="1"/>
  <c r="Y302" i="31"/>
  <c r="Y298" i="31"/>
  <c r="AB219" i="31"/>
  <c r="Y220" i="31"/>
  <c r="AB217" i="31"/>
  <c r="Y292" i="31"/>
  <c r="AB237" i="31"/>
  <c r="AB235" i="31"/>
  <c r="AB233" i="31"/>
  <c r="AB129" i="31"/>
  <c r="Z252" i="31"/>
  <c r="AB231" i="31"/>
  <c r="AB239" i="31"/>
  <c r="Z345" i="31"/>
  <c r="Z295" i="31"/>
  <c r="Y301" i="31"/>
  <c r="Y305" i="31"/>
  <c r="AB57" i="31"/>
  <c r="AB60" i="31" s="1"/>
  <c r="AB66" i="31" s="1"/>
  <c r="Z346" i="31" s="1"/>
  <c r="Z72" i="31"/>
  <c r="Z268" i="31"/>
  <c r="AA301" i="31"/>
  <c r="X343" i="31"/>
  <c r="Y299" i="31"/>
  <c r="Y303" i="31"/>
  <c r="Z348" i="31"/>
  <c r="Z86" i="31"/>
  <c r="Z129" i="31" s="1"/>
  <c r="T60" i="31"/>
  <c r="Y300" i="31"/>
  <c r="AA307" i="31" l="1"/>
  <c r="Y291" i="31"/>
  <c r="Y287" i="31"/>
  <c r="Y293" i="31"/>
  <c r="Y286" i="31"/>
  <c r="Y288" i="31"/>
  <c r="Y290" i="31"/>
  <c r="Y307" i="31"/>
  <c r="AA293" i="31"/>
  <c r="AA291" i="31"/>
  <c r="AA289" i="31"/>
  <c r="AA287" i="31"/>
  <c r="AA290" i="31"/>
  <c r="AA292" i="31"/>
  <c r="AA286" i="31"/>
  <c r="AA288" i="31"/>
  <c r="AB161" i="30"/>
  <c r="AB90" i="30"/>
  <c r="AB75" i="30"/>
  <c r="AB74" i="30"/>
  <c r="AA295" i="31" l="1"/>
  <c r="Y295" i="31"/>
  <c r="Z120" i="30"/>
  <c r="Z72" i="30"/>
  <c r="T57" i="30"/>
  <c r="Z273" i="30" l="1"/>
  <c r="Z217" i="30"/>
  <c r="Z219" i="30" s="1"/>
  <c r="Y217" i="30"/>
  <c r="Y219" i="30" s="1"/>
  <c r="AB209" i="30"/>
  <c r="AB201" i="30"/>
  <c r="AB204" i="30" s="1"/>
  <c r="AB193" i="30"/>
  <c r="AB185" i="30"/>
  <c r="AB177" i="30"/>
  <c r="AB180" i="30" s="1"/>
  <c r="AB160" i="30"/>
  <c r="AB148" i="30"/>
  <c r="AB157" i="30" s="1"/>
  <c r="AB137" i="30"/>
  <c r="AB144" i="30" s="1"/>
  <c r="AA341" i="30"/>
  <c r="Z341" i="30"/>
  <c r="Y341" i="30"/>
  <c r="X341" i="30"/>
  <c r="AA329" i="30"/>
  <c r="Z329" i="30"/>
  <c r="Y329" i="30"/>
  <c r="X329" i="30"/>
  <c r="AA319" i="30"/>
  <c r="Z319" i="30"/>
  <c r="Y319" i="30"/>
  <c r="X319" i="30"/>
  <c r="Z307" i="30"/>
  <c r="AA302" i="30" s="1"/>
  <c r="X307" i="30"/>
  <c r="Y304" i="30" s="1"/>
  <c r="Y299" i="30"/>
  <c r="Z293" i="30"/>
  <c r="X293" i="30"/>
  <c r="Z292" i="30"/>
  <c r="X292" i="30"/>
  <c r="Z291" i="30"/>
  <c r="X291" i="30"/>
  <c r="Z290" i="30"/>
  <c r="X290" i="30"/>
  <c r="Z289" i="30"/>
  <c r="X289" i="30"/>
  <c r="Z288" i="30"/>
  <c r="X288" i="30"/>
  <c r="Z287" i="30"/>
  <c r="X287" i="30"/>
  <c r="Z286" i="30"/>
  <c r="X286" i="30"/>
  <c r="Z272" i="30"/>
  <c r="Z270" i="30"/>
  <c r="Z269" i="30"/>
  <c r="Z268" i="30"/>
  <c r="Y268" i="30"/>
  <c r="Z267" i="30"/>
  <c r="Y267" i="30"/>
  <c r="Z248" i="30"/>
  <c r="AB226" i="30"/>
  <c r="AB218" i="30"/>
  <c r="Y216" i="30"/>
  <c r="AB212" i="30"/>
  <c r="AB210" i="30"/>
  <c r="AB203" i="30"/>
  <c r="AB195" i="30"/>
  <c r="AB194" i="30"/>
  <c r="AB196" i="30" s="1"/>
  <c r="AB188" i="30"/>
  <c r="AB187" i="30"/>
  <c r="AB179" i="30"/>
  <c r="AB172" i="30"/>
  <c r="AB170" i="30"/>
  <c r="AB171" i="30" s="1"/>
  <c r="AB169" i="30"/>
  <c r="AB147" i="30"/>
  <c r="AB143" i="30"/>
  <c r="AB136" i="30"/>
  <c r="B132" i="30"/>
  <c r="B243" i="30" s="1"/>
  <c r="B357" i="30" s="1"/>
  <c r="Z128" i="30"/>
  <c r="AB112" i="30"/>
  <c r="Z99" i="30"/>
  <c r="AB128" i="30"/>
  <c r="Z84" i="30"/>
  <c r="AB80" i="30"/>
  <c r="AB83" i="30"/>
  <c r="AB86" i="30" s="1"/>
  <c r="Z71" i="30"/>
  <c r="T69" i="30"/>
  <c r="AB163" i="30"/>
  <c r="AB63" i="30"/>
  <c r="Z60" i="30"/>
  <c r="X60" i="30"/>
  <c r="V60" i="30"/>
  <c r="R60" i="30"/>
  <c r="R66" i="30" s="1"/>
  <c r="P60" i="30"/>
  <c r="P66" i="30" s="1"/>
  <c r="AB58" i="30"/>
  <c r="AB57" i="30"/>
  <c r="AB60" i="30" s="1"/>
  <c r="Z262" i="30"/>
  <c r="X48" i="30"/>
  <c r="X47" i="30"/>
  <c r="AB41" i="30"/>
  <c r="P31" i="30"/>
  <c r="N31" i="30"/>
  <c r="L31" i="30"/>
  <c r="J31" i="30"/>
  <c r="H31" i="30"/>
  <c r="F31" i="30"/>
  <c r="P30" i="30"/>
  <c r="N30" i="30"/>
  <c r="L30" i="30"/>
  <c r="J30" i="30"/>
  <c r="H30" i="30"/>
  <c r="F30" i="30"/>
  <c r="AB29" i="30"/>
  <c r="Z252" i="29"/>
  <c r="Z252" i="28"/>
  <c r="Z252" i="27"/>
  <c r="Z252" i="26"/>
  <c r="Z252" i="25"/>
  <c r="Z252" i="24"/>
  <c r="Z252" i="23"/>
  <c r="Z252" i="22"/>
  <c r="Z252" i="21"/>
  <c r="Z252" i="20"/>
  <c r="AB35" i="29"/>
  <c r="AB30" i="30" l="1"/>
  <c r="AB35" i="30" s="1"/>
  <c r="Z250" i="30" s="1"/>
  <c r="AA299" i="30"/>
  <c r="AA301" i="30"/>
  <c r="AA303" i="30"/>
  <c r="AA298" i="30"/>
  <c r="AA304" i="30"/>
  <c r="Z295" i="30"/>
  <c r="AA289" i="30" s="1"/>
  <c r="AA300" i="30"/>
  <c r="AA305" i="30"/>
  <c r="Z343" i="30"/>
  <c r="Y302" i="30"/>
  <c r="Y298" i="30"/>
  <c r="Y301" i="30"/>
  <c r="Y305" i="30"/>
  <c r="Y300" i="30"/>
  <c r="X343" i="30"/>
  <c r="Y303" i="30"/>
  <c r="Y220" i="30"/>
  <c r="AB239" i="30"/>
  <c r="AB237" i="30"/>
  <c r="AB235" i="30"/>
  <c r="AB233" i="30"/>
  <c r="Z252" i="30"/>
  <c r="AB231" i="30"/>
  <c r="AB129" i="30"/>
  <c r="AB219" i="30"/>
  <c r="Z348" i="30"/>
  <c r="Z83" i="30"/>
  <c r="Z86" i="30" s="1"/>
  <c r="Z129" i="30" s="1"/>
  <c r="AB64" i="30"/>
  <c r="Z344" i="30" s="1"/>
  <c r="AB42" i="30"/>
  <c r="T60" i="30"/>
  <c r="AB217" i="30"/>
  <c r="X295" i="30"/>
  <c r="Z73" i="29"/>
  <c r="AB66" i="30" l="1"/>
  <c r="Z346" i="30" s="1"/>
  <c r="Z345" i="30"/>
  <c r="AA291" i="30"/>
  <c r="AA293" i="30"/>
  <c r="AA287" i="30"/>
  <c r="AA307" i="30"/>
  <c r="AA288" i="30"/>
  <c r="AA292" i="30"/>
  <c r="AA286" i="30"/>
  <c r="AA290" i="30"/>
  <c r="Y307" i="30"/>
  <c r="Y290" i="30"/>
  <c r="Y288" i="30"/>
  <c r="Y293" i="30"/>
  <c r="Y291" i="30"/>
  <c r="Y287" i="30"/>
  <c r="Y289" i="30"/>
  <c r="Y292" i="30"/>
  <c r="Y286" i="30"/>
  <c r="AB163" i="29"/>
  <c r="AB161" i="29"/>
  <c r="AB112" i="29"/>
  <c r="AB90" i="29"/>
  <c r="AB75" i="29"/>
  <c r="AB74" i="29"/>
  <c r="Z72" i="29"/>
  <c r="X64" i="29"/>
  <c r="AB64" i="29" s="1"/>
  <c r="T57" i="29"/>
  <c r="AA295" i="30" l="1"/>
  <c r="Y295" i="30"/>
  <c r="Z217" i="29"/>
  <c r="Z219" i="29" s="1"/>
  <c r="Y217" i="29"/>
  <c r="AB209" i="29"/>
  <c r="AB201" i="29"/>
  <c r="AB204" i="29" s="1"/>
  <c r="AB193" i="29"/>
  <c r="AB185" i="29"/>
  <c r="AB177" i="29"/>
  <c r="AB180" i="29" s="1"/>
  <c r="AB160" i="29"/>
  <c r="AB148" i="29"/>
  <c r="AB157" i="29" s="1"/>
  <c r="AB137" i="29"/>
  <c r="AA341" i="29"/>
  <c r="Z341" i="29"/>
  <c r="Y341" i="29"/>
  <c r="X341" i="29"/>
  <c r="AA329" i="29"/>
  <c r="Z329" i="29"/>
  <c r="Y329" i="29"/>
  <c r="X329" i="29"/>
  <c r="AA319" i="29"/>
  <c r="Z319" i="29"/>
  <c r="Y319" i="29"/>
  <c r="X319" i="29"/>
  <c r="Z307" i="29"/>
  <c r="AA300" i="29" s="1"/>
  <c r="X307" i="29"/>
  <c r="Y302" i="29" s="1"/>
  <c r="Z293" i="29"/>
  <c r="X293" i="29"/>
  <c r="Z292" i="29"/>
  <c r="X292" i="29"/>
  <c r="Z291" i="29"/>
  <c r="X291" i="29"/>
  <c r="Z290" i="29"/>
  <c r="X290" i="29"/>
  <c r="Z289" i="29"/>
  <c r="X289" i="29"/>
  <c r="Z288" i="29"/>
  <c r="X288" i="29"/>
  <c r="Z287" i="29"/>
  <c r="X287" i="29"/>
  <c r="Z286" i="29"/>
  <c r="X286" i="29"/>
  <c r="Z272" i="29"/>
  <c r="Z273" i="29" s="1"/>
  <c r="Z270" i="29"/>
  <c r="Z269" i="29"/>
  <c r="Z268" i="29"/>
  <c r="Y268" i="29"/>
  <c r="Z267" i="29"/>
  <c r="Y267" i="29"/>
  <c r="Z248" i="29"/>
  <c r="AB226" i="29"/>
  <c r="AB218" i="29"/>
  <c r="Y219" i="29"/>
  <c r="Y216" i="29"/>
  <c r="AB212" i="29"/>
  <c r="AB210" i="29"/>
  <c r="AB203" i="29"/>
  <c r="AB195" i="29"/>
  <c r="AB194" i="29"/>
  <c r="AB187" i="29"/>
  <c r="AB188" i="29" s="1"/>
  <c r="AB179" i="29"/>
  <c r="AB172" i="29"/>
  <c r="AB170" i="29"/>
  <c r="AB169" i="29"/>
  <c r="AB147" i="29"/>
  <c r="AB143" i="29"/>
  <c r="AB144" i="29" s="1"/>
  <c r="AB136" i="29"/>
  <c r="B132" i="29"/>
  <c r="B243" i="29" s="1"/>
  <c r="B357" i="29" s="1"/>
  <c r="Z128" i="29"/>
  <c r="Z99" i="29"/>
  <c r="AB128" i="29"/>
  <c r="Z84" i="29"/>
  <c r="AB80" i="29"/>
  <c r="AB83" i="29" s="1"/>
  <c r="AB86" i="29" s="1"/>
  <c r="T69" i="29"/>
  <c r="Z71" i="29"/>
  <c r="AB63" i="29"/>
  <c r="Z60" i="29"/>
  <c r="X60" i="29"/>
  <c r="V60" i="29"/>
  <c r="R60" i="29"/>
  <c r="R66" i="29" s="1"/>
  <c r="P60" i="29"/>
  <c r="P66" i="29" s="1"/>
  <c r="AB58" i="29"/>
  <c r="AB57" i="29"/>
  <c r="AB60" i="29" s="1"/>
  <c r="X48" i="29"/>
  <c r="X47" i="29"/>
  <c r="AB41" i="29"/>
  <c r="P31" i="29"/>
  <c r="N31" i="29"/>
  <c r="L31" i="29"/>
  <c r="J31" i="29"/>
  <c r="H31" i="29"/>
  <c r="F31" i="29"/>
  <c r="AB31" i="29" s="1"/>
  <c r="P30" i="29"/>
  <c r="N30" i="29"/>
  <c r="L30" i="29"/>
  <c r="J30" i="29"/>
  <c r="H30" i="29"/>
  <c r="F30" i="29"/>
  <c r="AB30" i="29" s="1"/>
  <c r="Z250" i="29" s="1"/>
  <c r="AB29" i="29"/>
  <c r="AB163" i="28"/>
  <c r="AB161" i="28"/>
  <c r="AB196" i="29" l="1"/>
  <c r="AB171" i="29"/>
  <c r="Z348" i="29"/>
  <c r="Z295" i="29"/>
  <c r="AA299" i="29"/>
  <c r="AA301" i="29"/>
  <c r="AA302" i="29"/>
  <c r="Z343" i="29"/>
  <c r="AA303" i="29"/>
  <c r="AA304" i="29"/>
  <c r="AA305" i="29"/>
  <c r="AA298" i="29"/>
  <c r="Y303" i="29"/>
  <c r="Y299" i="29"/>
  <c r="X343" i="29"/>
  <c r="Y300" i="29"/>
  <c r="Y304" i="29"/>
  <c r="Y305" i="29"/>
  <c r="Y301" i="29"/>
  <c r="Y298" i="29"/>
  <c r="Y307" i="29" s="1"/>
  <c r="AB219" i="29"/>
  <c r="Z83" i="29"/>
  <c r="Z86" i="29" s="1"/>
  <c r="Z129" i="29" s="1"/>
  <c r="AA290" i="29"/>
  <c r="AA288" i="29"/>
  <c r="AA293" i="29"/>
  <c r="AA291" i="29"/>
  <c r="AA289" i="29"/>
  <c r="AA287" i="29"/>
  <c r="AA292" i="29"/>
  <c r="AA286" i="29"/>
  <c r="Y220" i="29"/>
  <c r="AB239" i="29"/>
  <c r="AB237" i="29"/>
  <c r="AB129" i="29"/>
  <c r="AB235" i="29"/>
  <c r="AB233" i="29"/>
  <c r="AB231" i="29"/>
  <c r="Z344" i="29"/>
  <c r="AB42" i="29"/>
  <c r="T60" i="29"/>
  <c r="AB217" i="29"/>
  <c r="Z262" i="29"/>
  <c r="X295" i="29"/>
  <c r="Y286" i="29" s="1"/>
  <c r="X64" i="28"/>
  <c r="AB35" i="28"/>
  <c r="AB35" i="27"/>
  <c r="Z345" i="29" l="1"/>
  <c r="AA307" i="29"/>
  <c r="Y288" i="29"/>
  <c r="Y293" i="29"/>
  <c r="Y291" i="29"/>
  <c r="Y289" i="29"/>
  <c r="Y287" i="29"/>
  <c r="Y290" i="29"/>
  <c r="AA295" i="29"/>
  <c r="Y292" i="29"/>
  <c r="AB66" i="29"/>
  <c r="Z346" i="29" s="1"/>
  <c r="AB64" i="28"/>
  <c r="AB112" i="28"/>
  <c r="AB90" i="28"/>
  <c r="AB75" i="28"/>
  <c r="AB74" i="28"/>
  <c r="Z73" i="28"/>
  <c r="Z72" i="28"/>
  <c r="T57" i="28"/>
  <c r="Y295" i="29" l="1"/>
  <c r="AB137" i="28"/>
  <c r="Z217" i="28" l="1"/>
  <c r="Z219" i="28" s="1"/>
  <c r="Y217" i="28"/>
  <c r="Y219" i="28" s="1"/>
  <c r="AB209" i="28"/>
  <c r="AB201" i="28"/>
  <c r="AB204" i="28" s="1"/>
  <c r="AB193" i="28"/>
  <c r="AB185" i="28"/>
  <c r="AB177" i="28"/>
  <c r="AB180" i="28" s="1"/>
  <c r="AB160" i="28"/>
  <c r="AB148" i="28"/>
  <c r="AB157" i="28" s="1"/>
  <c r="AA341" i="28"/>
  <c r="Z341" i="28"/>
  <c r="Z268" i="28" s="1"/>
  <c r="Y341" i="28"/>
  <c r="X341" i="28"/>
  <c r="AA329" i="28"/>
  <c r="Z329" i="28"/>
  <c r="Y329" i="28"/>
  <c r="X329" i="28"/>
  <c r="AA319" i="28"/>
  <c r="Z319" i="28"/>
  <c r="Y319" i="28"/>
  <c r="X319" i="28"/>
  <c r="X343" i="28" s="1"/>
  <c r="Z307" i="28"/>
  <c r="AA304" i="28" s="1"/>
  <c r="X307" i="28"/>
  <c r="Y302" i="28" s="1"/>
  <c r="Y305" i="28"/>
  <c r="Y304" i="28"/>
  <c r="Y303" i="28"/>
  <c r="Y301" i="28"/>
  <c r="Y300" i="28"/>
  <c r="Y299" i="28"/>
  <c r="Y298" i="28"/>
  <c r="Z293" i="28"/>
  <c r="X293" i="28"/>
  <c r="Z292" i="28"/>
  <c r="X292" i="28"/>
  <c r="Z291" i="28"/>
  <c r="X291" i="28"/>
  <c r="Y291" i="28" s="1"/>
  <c r="Z290" i="28"/>
  <c r="X290" i="28"/>
  <c r="Z289" i="28"/>
  <c r="X289" i="28"/>
  <c r="Z288" i="28"/>
  <c r="X288" i="28"/>
  <c r="Z287" i="28"/>
  <c r="X287" i="28"/>
  <c r="Z286" i="28"/>
  <c r="Z295" i="28" s="1"/>
  <c r="X286" i="28"/>
  <c r="X295" i="28" s="1"/>
  <c r="Z272" i="28"/>
  <c r="Z273" i="28" s="1"/>
  <c r="Z270" i="28"/>
  <c r="Z269" i="28"/>
  <c r="Y268" i="28"/>
  <c r="Z267" i="28"/>
  <c r="Z248" i="28"/>
  <c r="AB226" i="28"/>
  <c r="AB218" i="28"/>
  <c r="Y216" i="28"/>
  <c r="AB212" i="28"/>
  <c r="AB210" i="28"/>
  <c r="AB203" i="28"/>
  <c r="AB195" i="28"/>
  <c r="AB194" i="28"/>
  <c r="AB188" i="28"/>
  <c r="AB187" i="28"/>
  <c r="AB179" i="28"/>
  <c r="AB172" i="28"/>
  <c r="AB170" i="28"/>
  <c r="AB169" i="28"/>
  <c r="AB147" i="28"/>
  <c r="AB143" i="28"/>
  <c r="AB144" i="28" s="1"/>
  <c r="AB136" i="28"/>
  <c r="B132" i="28"/>
  <c r="B243" i="28" s="1"/>
  <c r="B357" i="28" s="1"/>
  <c r="AB128" i="28"/>
  <c r="Z128" i="28"/>
  <c r="Z99" i="28"/>
  <c r="Z84" i="28"/>
  <c r="AB80" i="28"/>
  <c r="AB83" i="28"/>
  <c r="AB86" i="28" s="1"/>
  <c r="T69" i="28"/>
  <c r="R66" i="28"/>
  <c r="P66" i="28"/>
  <c r="AB63" i="28"/>
  <c r="Z60" i="28"/>
  <c r="X60" i="28"/>
  <c r="V60" i="28"/>
  <c r="T60" i="28"/>
  <c r="R60" i="28"/>
  <c r="P60" i="28"/>
  <c r="AB58" i="28"/>
  <c r="AB57" i="28"/>
  <c r="AB60" i="28" s="1"/>
  <c r="Z262" i="28"/>
  <c r="X48" i="28"/>
  <c r="X47" i="28"/>
  <c r="AB41" i="28"/>
  <c r="P31" i="28"/>
  <c r="N31" i="28"/>
  <c r="L31" i="28"/>
  <c r="J31" i="28"/>
  <c r="H31" i="28"/>
  <c r="F31" i="28"/>
  <c r="P30" i="28"/>
  <c r="N30" i="28"/>
  <c r="L30" i="28"/>
  <c r="J30" i="28"/>
  <c r="H30" i="28"/>
  <c r="F30" i="28"/>
  <c r="AB30" i="28" s="1"/>
  <c r="Z250" i="28" s="1"/>
  <c r="Z251" i="28" s="1"/>
  <c r="AB29" i="28"/>
  <c r="Z73" i="27"/>
  <c r="Z73" i="26"/>
  <c r="AB196" i="28" l="1"/>
  <c r="AB171" i="28"/>
  <c r="Z344" i="28"/>
  <c r="AB66" i="28"/>
  <c r="Z346" i="28" s="1"/>
  <c r="AA290" i="28"/>
  <c r="AA291" i="28"/>
  <c r="AA287" i="28"/>
  <c r="AA288" i="28"/>
  <c r="AA293" i="28"/>
  <c r="Y288" i="28"/>
  <c r="Y307" i="28"/>
  <c r="AB237" i="28"/>
  <c r="AB235" i="28"/>
  <c r="AB233" i="28"/>
  <c r="AB231" i="28"/>
  <c r="AB129" i="28"/>
  <c r="AB239" i="28"/>
  <c r="Y289" i="28"/>
  <c r="Y292" i="28"/>
  <c r="Y220" i="28"/>
  <c r="AA289" i="28"/>
  <c r="AA292" i="28"/>
  <c r="AB219" i="28"/>
  <c r="Y287" i="28"/>
  <c r="Y290" i="28"/>
  <c r="Y293" i="28"/>
  <c r="AA286" i="28"/>
  <c r="AA299" i="28"/>
  <c r="AA302" i="28"/>
  <c r="AA305" i="28"/>
  <c r="Z343" i="28"/>
  <c r="Z345" i="28" s="1"/>
  <c r="AB217" i="28"/>
  <c r="Y267" i="28"/>
  <c r="AB42" i="28"/>
  <c r="AA300" i="28"/>
  <c r="AA303" i="28"/>
  <c r="Z71" i="28"/>
  <c r="AB31" i="28"/>
  <c r="Z348" i="28" s="1"/>
  <c r="Y286" i="28"/>
  <c r="AA298" i="28"/>
  <c r="AA301" i="28"/>
  <c r="AB204" i="27"/>
  <c r="AB201" i="27"/>
  <c r="AB163" i="27"/>
  <c r="AB90" i="27"/>
  <c r="AB74" i="27"/>
  <c r="AB75" i="27"/>
  <c r="T57" i="27"/>
  <c r="AB57" i="27"/>
  <c r="AB60" i="27" s="1"/>
  <c r="Z217" i="27"/>
  <c r="Y217" i="27"/>
  <c r="AB209" i="27"/>
  <c r="AB193" i="27"/>
  <c r="AB185" i="27"/>
  <c r="AB177" i="27"/>
  <c r="AB160" i="27"/>
  <c r="AB148" i="27"/>
  <c r="AB157" i="27" s="1"/>
  <c r="AB137" i="27"/>
  <c r="AA341" i="27"/>
  <c r="Z341" i="27"/>
  <c r="Y341" i="27"/>
  <c r="X341" i="27"/>
  <c r="AA329" i="27"/>
  <c r="Z329" i="27"/>
  <c r="Y329" i="27"/>
  <c r="X329" i="27"/>
  <c r="AA319" i="27"/>
  <c r="Z319" i="27"/>
  <c r="Y319" i="27"/>
  <c r="X319" i="27"/>
  <c r="Z307" i="27"/>
  <c r="AA304" i="27" s="1"/>
  <c r="X307" i="27"/>
  <c r="Y305" i="27" s="1"/>
  <c r="AA301" i="27"/>
  <c r="AA300" i="27"/>
  <c r="AA298" i="27"/>
  <c r="Z293" i="27"/>
  <c r="X293" i="27"/>
  <c r="Z292" i="27"/>
  <c r="X292" i="27"/>
  <c r="Z291" i="27"/>
  <c r="X291" i="27"/>
  <c r="Z290" i="27"/>
  <c r="X290" i="27"/>
  <c r="Z289" i="27"/>
  <c r="X289" i="27"/>
  <c r="Z288" i="27"/>
  <c r="X288" i="27"/>
  <c r="Z287" i="27"/>
  <c r="X287" i="27"/>
  <c r="Z286" i="27"/>
  <c r="X286" i="27"/>
  <c r="Z272" i="27"/>
  <c r="Z273" i="27" s="1"/>
  <c r="Z270" i="27"/>
  <c r="Z269" i="27"/>
  <c r="Z268" i="27"/>
  <c r="Y268" i="27"/>
  <c r="Z267" i="27"/>
  <c r="Y267" i="27"/>
  <c r="Z248" i="27"/>
  <c r="AB226" i="27"/>
  <c r="AB218" i="27"/>
  <c r="Z219" i="27"/>
  <c r="Y219" i="27"/>
  <c r="Y216" i="27"/>
  <c r="AB212" i="27"/>
  <c r="AB210" i="27"/>
  <c r="AB203" i="27"/>
  <c r="AB195" i="27"/>
  <c r="AB194" i="27"/>
  <c r="AB187" i="27"/>
  <c r="AB188" i="27" s="1"/>
  <c r="AB179" i="27"/>
  <c r="AB180" i="27"/>
  <c r="AB172" i="27"/>
  <c r="AB170" i="27"/>
  <c r="AB169" i="27"/>
  <c r="AB171" i="27" s="1"/>
  <c r="AB147" i="27"/>
  <c r="AB143" i="27"/>
  <c r="AB136" i="27"/>
  <c r="B132" i="27"/>
  <c r="B243" i="27" s="1"/>
  <c r="B357" i="27" s="1"/>
  <c r="Z128" i="27"/>
  <c r="AB112" i="27"/>
  <c r="AB128" i="27" s="1"/>
  <c r="Z99" i="27"/>
  <c r="Z84" i="27"/>
  <c r="AB80" i="27"/>
  <c r="T69" i="27"/>
  <c r="X64" i="27"/>
  <c r="Z71" i="27" s="1"/>
  <c r="AB63" i="27"/>
  <c r="Z60" i="27"/>
  <c r="X60" i="27"/>
  <c r="V60" i="27"/>
  <c r="R60" i="27"/>
  <c r="R66" i="27" s="1"/>
  <c r="P60" i="27"/>
  <c r="P66" i="27" s="1"/>
  <c r="AB58" i="27"/>
  <c r="X48" i="27"/>
  <c r="X47" i="27"/>
  <c r="AB41" i="27"/>
  <c r="P31" i="27"/>
  <c r="N31" i="27"/>
  <c r="L31" i="27"/>
  <c r="J31" i="27"/>
  <c r="H31" i="27"/>
  <c r="F31" i="27"/>
  <c r="P30" i="27"/>
  <c r="N30" i="27"/>
  <c r="L30" i="27"/>
  <c r="J30" i="27"/>
  <c r="H30" i="27"/>
  <c r="F30" i="27"/>
  <c r="AB30" i="27" s="1"/>
  <c r="Z250" i="27" s="1"/>
  <c r="Z251" i="27" s="1"/>
  <c r="AB29" i="27"/>
  <c r="AB112" i="26"/>
  <c r="AB90" i="26"/>
  <c r="AB75" i="26"/>
  <c r="AB74" i="26"/>
  <c r="Z83" i="28" l="1"/>
  <c r="Z86" i="28" s="1"/>
  <c r="Z129" i="28" s="1"/>
  <c r="AA307" i="28"/>
  <c r="Y295" i="28"/>
  <c r="AA295" i="28"/>
  <c r="AB196" i="27"/>
  <c r="AB83" i="27"/>
  <c r="AB86" i="27" s="1"/>
  <c r="AB237" i="27" s="1"/>
  <c r="AB31" i="27"/>
  <c r="Z348" i="27"/>
  <c r="Y298" i="27"/>
  <c r="Y302" i="27"/>
  <c r="Z343" i="27"/>
  <c r="AA305" i="27"/>
  <c r="AA302" i="27"/>
  <c r="Z295" i="27"/>
  <c r="AA291" i="27" s="1"/>
  <c r="AA299" i="27"/>
  <c r="AA303" i="27"/>
  <c r="AA307" i="27" s="1"/>
  <c r="AB144" i="27"/>
  <c r="AA293" i="27"/>
  <c r="AA290" i="27"/>
  <c r="AA288" i="27"/>
  <c r="Y220" i="27"/>
  <c r="AB219" i="27"/>
  <c r="Z72" i="27"/>
  <c r="Z83" i="27" s="1"/>
  <c r="Z86" i="27" s="1"/>
  <c r="Z129" i="27" s="1"/>
  <c r="AB64" i="27"/>
  <c r="Z344" i="27" s="1"/>
  <c r="Z345" i="27" s="1"/>
  <c r="AB161" i="27"/>
  <c r="X343" i="27"/>
  <c r="AB42" i="27"/>
  <c r="T60" i="27"/>
  <c r="AB217" i="27"/>
  <c r="Y299" i="27"/>
  <c r="Y303" i="27"/>
  <c r="Z262" i="27"/>
  <c r="X295" i="27"/>
  <c r="Y287" i="27" s="1"/>
  <c r="Y300" i="27"/>
  <c r="Y304" i="27"/>
  <c r="Y301" i="27"/>
  <c r="T57" i="26"/>
  <c r="AB31" i="26"/>
  <c r="AB30" i="26"/>
  <c r="AB239" i="27" l="1"/>
  <c r="AB129" i="27"/>
  <c r="AB233" i="27"/>
  <c r="AB235" i="27"/>
  <c r="AB231" i="27"/>
  <c r="Y307" i="27"/>
  <c r="AA287" i="27"/>
  <c r="AA292" i="27"/>
  <c r="AA289" i="27"/>
  <c r="AA286" i="27"/>
  <c r="AA295" i="27"/>
  <c r="Y293" i="27"/>
  <c r="Y290" i="27"/>
  <c r="Y288" i="27"/>
  <c r="Y289" i="27"/>
  <c r="Y291" i="27"/>
  <c r="Y286" i="27"/>
  <c r="AB66" i="27"/>
  <c r="Z346" i="27" s="1"/>
  <c r="Y292" i="27"/>
  <c r="Z273" i="26"/>
  <c r="Z217" i="26"/>
  <c r="AB217" i="26" s="1"/>
  <c r="Y217" i="26"/>
  <c r="AB209" i="26"/>
  <c r="AB201" i="26"/>
  <c r="AB193" i="26"/>
  <c r="AB185" i="26"/>
  <c r="AB177" i="26"/>
  <c r="AB180" i="26" s="1"/>
  <c r="AB160" i="26"/>
  <c r="AB148" i="26"/>
  <c r="AB157" i="26" s="1"/>
  <c r="AB137" i="26"/>
  <c r="AA341" i="26"/>
  <c r="Z341" i="26"/>
  <c r="Y341" i="26"/>
  <c r="X341" i="26"/>
  <c r="Y268" i="26" s="1"/>
  <c r="AA329" i="26"/>
  <c r="Z329" i="26"/>
  <c r="Y329" i="26"/>
  <c r="X329" i="26"/>
  <c r="AA319" i="26"/>
  <c r="Z319" i="26"/>
  <c r="Y319" i="26"/>
  <c r="X319" i="26"/>
  <c r="Z307" i="26"/>
  <c r="AA304" i="26" s="1"/>
  <c r="X307" i="26"/>
  <c r="Y305" i="26" s="1"/>
  <c r="AA305" i="26"/>
  <c r="AA302" i="26"/>
  <c r="AA299" i="26"/>
  <c r="Z293" i="26"/>
  <c r="X293" i="26"/>
  <c r="Z292" i="26"/>
  <c r="X292" i="26"/>
  <c r="Z291" i="26"/>
  <c r="X291" i="26"/>
  <c r="Z290" i="26"/>
  <c r="X290" i="26"/>
  <c r="Z289" i="26"/>
  <c r="X289" i="26"/>
  <c r="Z288" i="26"/>
  <c r="X288" i="26"/>
  <c r="Z287" i="26"/>
  <c r="X287" i="26"/>
  <c r="Z286" i="26"/>
  <c r="Z295" i="26" s="1"/>
  <c r="X286" i="26"/>
  <c r="Z272" i="26"/>
  <c r="Z270" i="26"/>
  <c r="Z269" i="26"/>
  <c r="Z268" i="26"/>
  <c r="Z267" i="26"/>
  <c r="Y267" i="26"/>
  <c r="Z262" i="26"/>
  <c r="Z248" i="26"/>
  <c r="AB226" i="26"/>
  <c r="AB218" i="26"/>
  <c r="Y216" i="26"/>
  <c r="AB210" i="26"/>
  <c r="AB212" i="26" s="1"/>
  <c r="AB203" i="26"/>
  <c r="AB195" i="26"/>
  <c r="AB194" i="26"/>
  <c r="AB187" i="26"/>
  <c r="AB188" i="26" s="1"/>
  <c r="AB179" i="26"/>
  <c r="AB172" i="26"/>
  <c r="AB170" i="26"/>
  <c r="AB169" i="26"/>
  <c r="AB171" i="26" s="1"/>
  <c r="AB147" i="26"/>
  <c r="AB143" i="26"/>
  <c r="AB144" i="26" s="1"/>
  <c r="AB136" i="26"/>
  <c r="B132" i="26"/>
  <c r="B243" i="26" s="1"/>
  <c r="B357" i="26" s="1"/>
  <c r="Z128" i="26"/>
  <c r="Z99" i="26"/>
  <c r="AB128" i="26"/>
  <c r="Z84" i="26"/>
  <c r="AB83" i="26"/>
  <c r="AB86" i="26" s="1"/>
  <c r="AB80" i="26"/>
  <c r="T69" i="26"/>
  <c r="R66" i="26"/>
  <c r="X64" i="26"/>
  <c r="Z71" i="26" s="1"/>
  <c r="AB63" i="26"/>
  <c r="Z60" i="26"/>
  <c r="X60" i="26"/>
  <c r="V60" i="26"/>
  <c r="R60" i="26"/>
  <c r="P60" i="26"/>
  <c r="P66" i="26" s="1"/>
  <c r="AB58" i="26"/>
  <c r="T60" i="26"/>
  <c r="X48" i="26"/>
  <c r="X47" i="26"/>
  <c r="AB41" i="26"/>
  <c r="P31" i="26"/>
  <c r="N31" i="26"/>
  <c r="L31" i="26"/>
  <c r="J31" i="26"/>
  <c r="H31" i="26"/>
  <c r="F31" i="26"/>
  <c r="AB42" i="26" s="1"/>
  <c r="P30" i="26"/>
  <c r="N30" i="26"/>
  <c r="L30" i="26"/>
  <c r="J30" i="26"/>
  <c r="H30" i="26"/>
  <c r="F30" i="26"/>
  <c r="AB29" i="26"/>
  <c r="AB195" i="25"/>
  <c r="AB194" i="25"/>
  <c r="Y295" i="27" l="1"/>
  <c r="AB204" i="26"/>
  <c r="AB35" i="26"/>
  <c r="Z250" i="26" s="1"/>
  <c r="Z251" i="26" s="1"/>
  <c r="AA301" i="26"/>
  <c r="AA298" i="26"/>
  <c r="AA303" i="26"/>
  <c r="Y300" i="26"/>
  <c r="X295" i="26"/>
  <c r="Y287" i="26" s="1"/>
  <c r="Z343" i="26"/>
  <c r="AA300" i="26"/>
  <c r="AA307" i="26" s="1"/>
  <c r="Y304" i="26"/>
  <c r="Y298" i="26"/>
  <c r="Y289" i="26"/>
  <c r="Y291" i="26"/>
  <c r="Y302" i="26"/>
  <c r="Z219" i="26"/>
  <c r="AB196" i="26"/>
  <c r="Y288" i="26"/>
  <c r="Y290" i="26"/>
  <c r="Z72" i="26"/>
  <c r="Z83" i="26" s="1"/>
  <c r="Z86" i="26" s="1"/>
  <c r="Z129" i="26" s="1"/>
  <c r="AA292" i="26"/>
  <c r="AA290" i="26"/>
  <c r="AA287" i="26"/>
  <c r="AA293" i="26"/>
  <c r="AA291" i="26"/>
  <c r="AA289" i="26"/>
  <c r="AA288" i="26"/>
  <c r="AA286" i="26"/>
  <c r="AB235" i="26"/>
  <c r="Y219" i="26"/>
  <c r="AB237" i="26"/>
  <c r="AB161" i="26"/>
  <c r="AB163" i="26" s="1"/>
  <c r="AB231" i="26"/>
  <c r="AB239" i="26"/>
  <c r="Y286" i="26"/>
  <c r="Z348" i="26"/>
  <c r="AB129" i="26"/>
  <c r="X343" i="26"/>
  <c r="AB64" i="26"/>
  <c r="Z344" i="26" s="1"/>
  <c r="AB57" i="26"/>
  <c r="AB60" i="26" s="1"/>
  <c r="AB233" i="26"/>
  <c r="Y299" i="26"/>
  <c r="Y301" i="26"/>
  <c r="Y303" i="26"/>
  <c r="AB112" i="25"/>
  <c r="AB91" i="25"/>
  <c r="AB90" i="25"/>
  <c r="AB74" i="25"/>
  <c r="AB219" i="26" l="1"/>
  <c r="Z345" i="26"/>
  <c r="Y293" i="26"/>
  <c r="Y307" i="26"/>
  <c r="Y292" i="26"/>
  <c r="Y295" i="26" s="1"/>
  <c r="Y220" i="26"/>
  <c r="AB66" i="26"/>
  <c r="Z346" i="26" s="1"/>
  <c r="AA295" i="26"/>
  <c r="T57" i="25"/>
  <c r="Z73" i="25" s="1"/>
  <c r="Z217" i="25" l="1"/>
  <c r="Y217" i="25"/>
  <c r="Y219" i="25" s="1"/>
  <c r="AB209" i="25"/>
  <c r="AB201" i="25"/>
  <c r="AB193" i="25"/>
  <c r="AB185" i="25"/>
  <c r="AB177" i="25"/>
  <c r="AB160" i="25"/>
  <c r="AB148" i="25"/>
  <c r="AB137" i="25"/>
  <c r="AA341" i="25"/>
  <c r="Z341" i="25"/>
  <c r="Z268" i="25" s="1"/>
  <c r="Y341" i="25"/>
  <c r="X341" i="25"/>
  <c r="Y268" i="25" s="1"/>
  <c r="AA329" i="25"/>
  <c r="Z329" i="25"/>
  <c r="Y329" i="25"/>
  <c r="X329" i="25"/>
  <c r="AA319" i="25"/>
  <c r="Z319" i="25"/>
  <c r="Z267" i="25" s="1"/>
  <c r="Y319" i="25"/>
  <c r="X319" i="25"/>
  <c r="Y267" i="25" s="1"/>
  <c r="Z307" i="25"/>
  <c r="AA304" i="25" s="1"/>
  <c r="X307" i="25"/>
  <c r="Y305" i="25" s="1"/>
  <c r="AA301" i="25"/>
  <c r="Z293" i="25"/>
  <c r="X293" i="25"/>
  <c r="Z292" i="25"/>
  <c r="X292" i="25"/>
  <c r="Z291" i="25"/>
  <c r="X291" i="25"/>
  <c r="Z290" i="25"/>
  <c r="X290" i="25"/>
  <c r="Z289" i="25"/>
  <c r="X289" i="25"/>
  <c r="Z288" i="25"/>
  <c r="X288" i="25"/>
  <c r="Z287" i="25"/>
  <c r="X287" i="25"/>
  <c r="Z286" i="25"/>
  <c r="X286" i="25"/>
  <c r="Z272" i="25"/>
  <c r="Z273" i="25" s="1"/>
  <c r="Z270" i="25"/>
  <c r="Z269" i="25"/>
  <c r="Z262" i="25"/>
  <c r="Z248" i="25"/>
  <c r="AB226" i="25"/>
  <c r="AB218" i="25"/>
  <c r="Z219" i="25"/>
  <c r="Y216" i="25"/>
  <c r="AB212" i="25"/>
  <c r="AB210" i="25"/>
  <c r="AB203" i="25"/>
  <c r="AB187" i="25"/>
  <c r="AB188" i="25" s="1"/>
  <c r="AB179" i="25"/>
  <c r="AB172" i="25"/>
  <c r="AB170" i="25"/>
  <c r="AB169" i="25"/>
  <c r="AB157" i="25"/>
  <c r="AB147" i="25"/>
  <c r="AB143" i="25"/>
  <c r="AB136" i="25"/>
  <c r="B132" i="25"/>
  <c r="B243" i="25" s="1"/>
  <c r="B357" i="25" s="1"/>
  <c r="Z128" i="25"/>
  <c r="Z99" i="25"/>
  <c r="AB128" i="25"/>
  <c r="Z84" i="25"/>
  <c r="AB80" i="25"/>
  <c r="AB83" i="25" s="1"/>
  <c r="AB86" i="25" s="1"/>
  <c r="T69" i="25"/>
  <c r="X64" i="25"/>
  <c r="AB161" i="25" s="1"/>
  <c r="AB63" i="25"/>
  <c r="Z60" i="25"/>
  <c r="X60" i="25"/>
  <c r="V60" i="25"/>
  <c r="T60" i="25"/>
  <c r="R60" i="25"/>
  <c r="R66" i="25" s="1"/>
  <c r="P60" i="25"/>
  <c r="P66" i="25" s="1"/>
  <c r="AB58" i="25"/>
  <c r="AB57" i="25"/>
  <c r="X48" i="25"/>
  <c r="X47" i="25"/>
  <c r="AB41" i="25"/>
  <c r="P31" i="25"/>
  <c r="N31" i="25"/>
  <c r="L31" i="25"/>
  <c r="J31" i="25"/>
  <c r="H31" i="25"/>
  <c r="F31" i="25"/>
  <c r="P30" i="25"/>
  <c r="N30" i="25"/>
  <c r="L30" i="25"/>
  <c r="J30" i="25"/>
  <c r="H30" i="25"/>
  <c r="F30" i="25"/>
  <c r="AB29" i="25"/>
  <c r="AB195" i="24"/>
  <c r="Y298" i="25" l="1"/>
  <c r="AB30" i="25"/>
  <c r="AB35" i="25" s="1"/>
  <c r="Z250" i="25" s="1"/>
  <c r="Z251" i="25" s="1"/>
  <c r="AA299" i="25"/>
  <c r="Y303" i="25"/>
  <c r="Y304" i="25"/>
  <c r="Y300" i="25"/>
  <c r="AB180" i="25"/>
  <c r="AB31" i="25"/>
  <c r="Z348" i="25" s="1"/>
  <c r="Y301" i="25"/>
  <c r="X343" i="25"/>
  <c r="AB60" i="25"/>
  <c r="Y302" i="25"/>
  <c r="Z343" i="25"/>
  <c r="Z295" i="25"/>
  <c r="AA287" i="25" s="1"/>
  <c r="Y299" i="25"/>
  <c r="AB144" i="25"/>
  <c r="AB171" i="25"/>
  <c r="Z71" i="25"/>
  <c r="Z72" i="25" s="1"/>
  <c r="Z83" i="25" s="1"/>
  <c r="Z86" i="25" s="1"/>
  <c r="Z129" i="25" s="1"/>
  <c r="AB217" i="25"/>
  <c r="Y220" i="25"/>
  <c r="AB204" i="25"/>
  <c r="AB196" i="25"/>
  <c r="AB163" i="25"/>
  <c r="AA288" i="25"/>
  <c r="AB219" i="25"/>
  <c r="AB239" i="25"/>
  <c r="AB231" i="25"/>
  <c r="AB237" i="25"/>
  <c r="AB235" i="25"/>
  <c r="AB129" i="25"/>
  <c r="AB233" i="25"/>
  <c r="AB42" i="25"/>
  <c r="AA286" i="25"/>
  <c r="AA303" i="25"/>
  <c r="AA305" i="25"/>
  <c r="X295" i="25"/>
  <c r="Y293" i="25" s="1"/>
  <c r="AB64" i="25"/>
  <c r="Z344" i="25" s="1"/>
  <c r="Z345" i="25" s="1"/>
  <c r="AA298" i="25"/>
  <c r="AA300" i="25"/>
  <c r="AA302" i="25"/>
  <c r="Z73" i="24"/>
  <c r="Z71" i="24"/>
  <c r="AB64" i="24"/>
  <c r="Y307" i="25" l="1"/>
  <c r="AA293" i="25"/>
  <c r="AA295" i="25" s="1"/>
  <c r="AA291" i="25"/>
  <c r="AA289" i="25"/>
  <c r="AA292" i="25"/>
  <c r="AA290" i="25"/>
  <c r="Y286" i="25"/>
  <c r="Y291" i="25"/>
  <c r="Y289" i="25"/>
  <c r="Y292" i="25"/>
  <c r="Y290" i="25"/>
  <c r="AA307" i="25"/>
  <c r="Y287" i="25"/>
  <c r="Y288" i="25"/>
  <c r="AB66" i="25"/>
  <c r="Z346" i="25" s="1"/>
  <c r="AB35" i="24"/>
  <c r="Y295" i="25" l="1"/>
  <c r="AB112" i="24"/>
  <c r="AB90" i="24"/>
  <c r="AB75" i="24"/>
  <c r="AB74" i="24"/>
  <c r="T57" i="24"/>
  <c r="Z217" i="24" l="1"/>
  <c r="Y217" i="24"/>
  <c r="Y219" i="24" s="1"/>
  <c r="AB209" i="24"/>
  <c r="AB201" i="24"/>
  <c r="AB193" i="24"/>
  <c r="AB185" i="24"/>
  <c r="AB177" i="24"/>
  <c r="AB160" i="24"/>
  <c r="AB148" i="24"/>
  <c r="AB137" i="24"/>
  <c r="AA341" i="24"/>
  <c r="Z341" i="24"/>
  <c r="Y341" i="24"/>
  <c r="X341" i="24"/>
  <c r="Y268" i="24" s="1"/>
  <c r="AA329" i="24"/>
  <c r="Z329" i="24"/>
  <c r="Y329" i="24"/>
  <c r="X329" i="24"/>
  <c r="AA319" i="24"/>
  <c r="Z319" i="24"/>
  <c r="Y319" i="24"/>
  <c r="X319" i="24"/>
  <c r="Y267" i="24" s="1"/>
  <c r="Z307" i="24"/>
  <c r="AA305" i="24" s="1"/>
  <c r="X307" i="24"/>
  <c r="Y302" i="24" s="1"/>
  <c r="Y304" i="24"/>
  <c r="Y303" i="24"/>
  <c r="AA300" i="24"/>
  <c r="Y300" i="24"/>
  <c r="Y299" i="24"/>
  <c r="AA298" i="24"/>
  <c r="Y298" i="24"/>
  <c r="Z293" i="24"/>
  <c r="X293" i="24"/>
  <c r="Z292" i="24"/>
  <c r="X292" i="24"/>
  <c r="Z291" i="24"/>
  <c r="X291" i="24"/>
  <c r="Z290" i="24"/>
  <c r="X290" i="24"/>
  <c r="Z289" i="24"/>
  <c r="X289" i="24"/>
  <c r="Z288" i="24"/>
  <c r="X288" i="24"/>
  <c r="Z287" i="24"/>
  <c r="X287" i="24"/>
  <c r="Z286" i="24"/>
  <c r="X286" i="24"/>
  <c r="Z272" i="24"/>
  <c r="Z273" i="24" s="1"/>
  <c r="Z270" i="24"/>
  <c r="Z269" i="24"/>
  <c r="Z268" i="24"/>
  <c r="Z267" i="24"/>
  <c r="Z248" i="24"/>
  <c r="AB226" i="24"/>
  <c r="AB218" i="24"/>
  <c r="Z219" i="24"/>
  <c r="Y216" i="24"/>
  <c r="AB210" i="24"/>
  <c r="AB212" i="24" s="1"/>
  <c r="AB203" i="24"/>
  <c r="AB204" i="24" s="1"/>
  <c r="AB194" i="24"/>
  <c r="AB187" i="24"/>
  <c r="AB188" i="24" s="1"/>
  <c r="AB179" i="24"/>
  <c r="AB172" i="24"/>
  <c r="AB170" i="24"/>
  <c r="AB169" i="24"/>
  <c r="AB157" i="24"/>
  <c r="AB147" i="24"/>
  <c r="AB143" i="24"/>
  <c r="AB136" i="24"/>
  <c r="B132" i="24"/>
  <c r="B243" i="24" s="1"/>
  <c r="B357" i="24" s="1"/>
  <c r="Z128" i="24"/>
  <c r="Z99" i="24"/>
  <c r="AB128" i="24"/>
  <c r="Z84" i="24"/>
  <c r="AB80" i="24"/>
  <c r="T69" i="24"/>
  <c r="X64" i="24"/>
  <c r="AB161" i="24" s="1"/>
  <c r="AB63" i="24"/>
  <c r="Z60" i="24"/>
  <c r="X60" i="24"/>
  <c r="V60" i="24"/>
  <c r="R60" i="24"/>
  <c r="R66" i="24" s="1"/>
  <c r="P60" i="24"/>
  <c r="P66" i="24" s="1"/>
  <c r="AB58" i="24"/>
  <c r="Z262" i="24"/>
  <c r="X48" i="24"/>
  <c r="X47" i="24"/>
  <c r="AB41" i="24"/>
  <c r="P31" i="24"/>
  <c r="N31" i="24"/>
  <c r="L31" i="24"/>
  <c r="J31" i="24"/>
  <c r="H31" i="24"/>
  <c r="F31" i="24"/>
  <c r="P30" i="24"/>
  <c r="N30" i="24"/>
  <c r="L30" i="24"/>
  <c r="J30" i="24"/>
  <c r="H30" i="24"/>
  <c r="F30" i="24"/>
  <c r="AB29" i="24"/>
  <c r="X358" i="23"/>
  <c r="AB180" i="24" l="1"/>
  <c r="AB171" i="24"/>
  <c r="X295" i="24"/>
  <c r="Y301" i="24"/>
  <c r="AB219" i="24"/>
  <c r="Y305" i="24"/>
  <c r="Y307" i="24" s="1"/>
  <c r="AB83" i="24"/>
  <c r="AB86" i="24" s="1"/>
  <c r="AB237" i="24" s="1"/>
  <c r="AB144" i="24"/>
  <c r="AB31" i="24"/>
  <c r="Z348" i="24" s="1"/>
  <c r="AB196" i="24"/>
  <c r="AB30" i="24"/>
  <c r="Z250" i="24" s="1"/>
  <c r="Z251" i="24" s="1"/>
  <c r="AA304" i="24"/>
  <c r="AA299" i="24"/>
  <c r="AA302" i="24"/>
  <c r="Z343" i="24"/>
  <c r="X343" i="24"/>
  <c r="Y293" i="24"/>
  <c r="Y292" i="24"/>
  <c r="Y291" i="24"/>
  <c r="Y290" i="24"/>
  <c r="Y289" i="24"/>
  <c r="Y288" i="24"/>
  <c r="Y287" i="24"/>
  <c r="Y286" i="24"/>
  <c r="AB163" i="24"/>
  <c r="Y220" i="24"/>
  <c r="AB42" i="24"/>
  <c r="AB57" i="24"/>
  <c r="AB60" i="24" s="1"/>
  <c r="T60" i="24"/>
  <c r="AB217" i="24"/>
  <c r="Z295" i="24"/>
  <c r="AA292" i="24" s="1"/>
  <c r="AA301" i="24"/>
  <c r="AA303" i="24"/>
  <c r="Z344" i="24"/>
  <c r="AB201" i="22"/>
  <c r="AB129" i="24" l="1"/>
  <c r="AB233" i="24"/>
  <c r="AB231" i="24"/>
  <c r="AB235" i="24"/>
  <c r="AB239" i="24"/>
  <c r="Z345" i="24"/>
  <c r="AB66" i="24"/>
  <c r="Z346" i="24" s="1"/>
  <c r="AA287" i="24"/>
  <c r="AA290" i="24"/>
  <c r="AA307" i="24"/>
  <c r="AA289" i="24"/>
  <c r="Y295" i="24"/>
  <c r="AA288" i="24"/>
  <c r="Z72" i="24"/>
  <c r="Z83" i="24" s="1"/>
  <c r="Z86" i="24" s="1"/>
  <c r="Z129" i="24" s="1"/>
  <c r="AA293" i="24"/>
  <c r="AA286" i="24"/>
  <c r="AA291" i="24"/>
  <c r="AB35" i="23"/>
  <c r="AA295" i="24" l="1"/>
  <c r="AB160" i="23"/>
  <c r="AB112" i="23"/>
  <c r="AB90" i="23"/>
  <c r="AB74" i="23"/>
  <c r="Z73" i="23"/>
  <c r="T57" i="23"/>
  <c r="Z273" i="23"/>
  <c r="Z217" i="23"/>
  <c r="Z219" i="23" s="1"/>
  <c r="Y217" i="23"/>
  <c r="Y219" i="23" s="1"/>
  <c r="AB209" i="23"/>
  <c r="AB193" i="23"/>
  <c r="AB196" i="23" s="1"/>
  <c r="AB185" i="23"/>
  <c r="AB177" i="23"/>
  <c r="AB148" i="23"/>
  <c r="AB157" i="23" s="1"/>
  <c r="AB137" i="23"/>
  <c r="AB144" i="23" s="1"/>
  <c r="Z353" i="23"/>
  <c r="X353" i="23"/>
  <c r="AA341" i="23"/>
  <c r="Z341" i="23"/>
  <c r="Y341" i="23"/>
  <c r="X341" i="23"/>
  <c r="AA329" i="23"/>
  <c r="Z329" i="23"/>
  <c r="Y329" i="23"/>
  <c r="X329" i="23"/>
  <c r="AA319" i="23"/>
  <c r="Z319" i="23"/>
  <c r="Y319" i="23"/>
  <c r="X319" i="23"/>
  <c r="Z307" i="23"/>
  <c r="AA303" i="23" s="1"/>
  <c r="X307" i="23"/>
  <c r="Y305" i="23" s="1"/>
  <c r="Y304" i="23"/>
  <c r="Y302" i="23"/>
  <c r="Y298" i="23"/>
  <c r="Z293" i="23"/>
  <c r="X293" i="23"/>
  <c r="Z292" i="23"/>
  <c r="X292" i="23"/>
  <c r="Z291" i="23"/>
  <c r="X291" i="23"/>
  <c r="Z290" i="23"/>
  <c r="X290" i="23"/>
  <c r="Z289" i="23"/>
  <c r="X289" i="23"/>
  <c r="Z288" i="23"/>
  <c r="X288" i="23"/>
  <c r="Z287" i="23"/>
  <c r="X287" i="23"/>
  <c r="Z286" i="23"/>
  <c r="X286" i="23"/>
  <c r="X295" i="23" s="1"/>
  <c r="Z272" i="23"/>
  <c r="Z270" i="23"/>
  <c r="Z269" i="23"/>
  <c r="Z268" i="23"/>
  <c r="Y268" i="23"/>
  <c r="Z267" i="23"/>
  <c r="Y267" i="23"/>
  <c r="Z248" i="23"/>
  <c r="AB226" i="23"/>
  <c r="AB218" i="23"/>
  <c r="Y216" i="23"/>
  <c r="AB210" i="23"/>
  <c r="AB212" i="23" s="1"/>
  <c r="AB203" i="23"/>
  <c r="AB195" i="23"/>
  <c r="AB194" i="23"/>
  <c r="AB188" i="23"/>
  <c r="AB187" i="23"/>
  <c r="AB180" i="23"/>
  <c r="AB179" i="23"/>
  <c r="AB178" i="23"/>
  <c r="AB172" i="23"/>
  <c r="AB170" i="23"/>
  <c r="AB169" i="23"/>
  <c r="AB147" i="23"/>
  <c r="AB143" i="23"/>
  <c r="AB136" i="23"/>
  <c r="B132" i="23"/>
  <c r="B243" i="23" s="1"/>
  <c r="B374" i="23" s="1"/>
  <c r="Z128" i="23"/>
  <c r="Z99" i="23"/>
  <c r="AB128" i="23"/>
  <c r="Z84" i="23"/>
  <c r="AB80" i="23"/>
  <c r="AB83" i="23"/>
  <c r="AB86" i="23" s="1"/>
  <c r="T69" i="23"/>
  <c r="P66" i="23"/>
  <c r="X64" i="23"/>
  <c r="AB161" i="23" s="1"/>
  <c r="AB63" i="23"/>
  <c r="Z60" i="23"/>
  <c r="X60" i="23"/>
  <c r="V60" i="23"/>
  <c r="T60" i="23"/>
  <c r="R60" i="23"/>
  <c r="R66" i="23" s="1"/>
  <c r="P60" i="23"/>
  <c r="AB58" i="23"/>
  <c r="AB57" i="23"/>
  <c r="AB60" i="23" s="1"/>
  <c r="Z262" i="23"/>
  <c r="X48" i="23"/>
  <c r="X47" i="23"/>
  <c r="AB41" i="23"/>
  <c r="P31" i="23"/>
  <c r="N31" i="23"/>
  <c r="L31" i="23"/>
  <c r="J31" i="23"/>
  <c r="H31" i="23"/>
  <c r="F31" i="23"/>
  <c r="P30" i="23"/>
  <c r="N30" i="23"/>
  <c r="L30" i="23"/>
  <c r="J30" i="23"/>
  <c r="H30" i="23"/>
  <c r="F30" i="23"/>
  <c r="AB30" i="23" s="1"/>
  <c r="Z250" i="23" s="1"/>
  <c r="Z251" i="23" s="1"/>
  <c r="AB29" i="23"/>
  <c r="Y220" i="22"/>
  <c r="AB219" i="22"/>
  <c r="Z219" i="22"/>
  <c r="Y219" i="22"/>
  <c r="AB171" i="23" l="1"/>
  <c r="Z71" i="23"/>
  <c r="AB42" i="23"/>
  <c r="AA298" i="23"/>
  <c r="AA304" i="23"/>
  <c r="AA301" i="23"/>
  <c r="AA299" i="23"/>
  <c r="AA302" i="23"/>
  <c r="AA305" i="23"/>
  <c r="AA300" i="23"/>
  <c r="Z358" i="23"/>
  <c r="AA354" i="23" s="1"/>
  <c r="Y300" i="23"/>
  <c r="AB219" i="23"/>
  <c r="AB163" i="23"/>
  <c r="AA286" i="23"/>
  <c r="AB237" i="23"/>
  <c r="AB231" i="23"/>
  <c r="AB235" i="23"/>
  <c r="AB233" i="23"/>
  <c r="AB129" i="23"/>
  <c r="AB239" i="23"/>
  <c r="Y291" i="23"/>
  <c r="Y289" i="23"/>
  <c r="Y287" i="23"/>
  <c r="Y293" i="23"/>
  <c r="Y292" i="23"/>
  <c r="Y290" i="23"/>
  <c r="Y288" i="23"/>
  <c r="Y286" i="23"/>
  <c r="Y295" i="23" s="1"/>
  <c r="Z363" i="23"/>
  <c r="Y220" i="23"/>
  <c r="AA289" i="23"/>
  <c r="AB31" i="23"/>
  <c r="Z72" i="23"/>
  <c r="AB217" i="23"/>
  <c r="Z295" i="23"/>
  <c r="AA292" i="23" s="1"/>
  <c r="Y299" i="23"/>
  <c r="Y301" i="23"/>
  <c r="Y303" i="23"/>
  <c r="AA353" i="23"/>
  <c r="AB64" i="23"/>
  <c r="Z359" i="23" s="1"/>
  <c r="Y354" i="23"/>
  <c r="AB188" i="21"/>
  <c r="Z73" i="21"/>
  <c r="Z73" i="22"/>
  <c r="Z83" i="23" l="1"/>
  <c r="Z86" i="23" s="1"/>
  <c r="Z129" i="23" s="1"/>
  <c r="AA293" i="23"/>
  <c r="Z360" i="23"/>
  <c r="AA291" i="23"/>
  <c r="AA290" i="23"/>
  <c r="AA307" i="23"/>
  <c r="AA288" i="23"/>
  <c r="AB66" i="23"/>
  <c r="Z361" i="23" s="1"/>
  <c r="Y307" i="23"/>
  <c r="Y353" i="23"/>
  <c r="AA287" i="23"/>
  <c r="AB35" i="22"/>
  <c r="AA295" i="23" l="1"/>
  <c r="AB112" i="22"/>
  <c r="AB90" i="22"/>
  <c r="AB75" i="22"/>
  <c r="AB74" i="22"/>
  <c r="T57" i="22"/>
  <c r="Z273" i="22" l="1"/>
  <c r="Z217" i="22"/>
  <c r="Y217" i="22"/>
  <c r="AB209" i="22"/>
  <c r="AB193" i="22"/>
  <c r="AB196" i="22" s="1"/>
  <c r="AB185" i="22"/>
  <c r="AB177" i="22"/>
  <c r="AB160" i="22"/>
  <c r="AB148" i="22"/>
  <c r="AB157" i="22" s="1"/>
  <c r="AB137" i="22"/>
  <c r="AA356" i="22"/>
  <c r="Z353" i="22"/>
  <c r="AA355" i="22" s="1"/>
  <c r="X353" i="22"/>
  <c r="Y356" i="22" s="1"/>
  <c r="AA351" i="22"/>
  <c r="Y350" i="22"/>
  <c r="Y349" i="22"/>
  <c r="Y348" i="22"/>
  <c r="AA347" i="22"/>
  <c r="Y347" i="22"/>
  <c r="AA346" i="22"/>
  <c r="Y346" i="22"/>
  <c r="AA345" i="22"/>
  <c r="Y345" i="22"/>
  <c r="AA344" i="22"/>
  <c r="Y344" i="22"/>
  <c r="AA341" i="22"/>
  <c r="Z341" i="22"/>
  <c r="Y341" i="22"/>
  <c r="X341" i="22"/>
  <c r="AA329" i="22"/>
  <c r="Z329" i="22"/>
  <c r="Y329" i="22"/>
  <c r="X329" i="22"/>
  <c r="AA319" i="22"/>
  <c r="Z319" i="22"/>
  <c r="Y319" i="22"/>
  <c r="X319" i="22"/>
  <c r="Z307" i="22"/>
  <c r="AA301" i="22" s="1"/>
  <c r="X307" i="22"/>
  <c r="Y305" i="22"/>
  <c r="Y304" i="22"/>
  <c r="Y303" i="22"/>
  <c r="Y302" i="22"/>
  <c r="Y301" i="22"/>
  <c r="Y300" i="22"/>
  <c r="Y299" i="22"/>
  <c r="Y298" i="22"/>
  <c r="Y307" i="22" s="1"/>
  <c r="Z293" i="22"/>
  <c r="X293" i="22"/>
  <c r="Z292" i="22"/>
  <c r="X292" i="22"/>
  <c r="Z291" i="22"/>
  <c r="X291" i="22"/>
  <c r="Z290" i="22"/>
  <c r="X290" i="22"/>
  <c r="Z289" i="22"/>
  <c r="X289" i="22"/>
  <c r="Z288" i="22"/>
  <c r="X288" i="22"/>
  <c r="Z287" i="22"/>
  <c r="X287" i="22"/>
  <c r="Z286" i="22"/>
  <c r="Z295" i="22" s="1"/>
  <c r="X286" i="22"/>
  <c r="X295" i="22" s="1"/>
  <c r="Z272" i="22"/>
  <c r="Z270" i="22"/>
  <c r="Z269" i="22"/>
  <c r="Z268" i="22"/>
  <c r="Y268" i="22"/>
  <c r="Z267" i="22"/>
  <c r="Y267" i="22"/>
  <c r="Z248" i="22"/>
  <c r="AB226" i="22"/>
  <c r="AB218" i="22"/>
  <c r="Y216" i="22"/>
  <c r="AB210" i="22"/>
  <c r="AB212" i="22" s="1"/>
  <c r="AB203" i="22"/>
  <c r="AB195" i="22"/>
  <c r="AB194" i="22"/>
  <c r="AB187" i="22"/>
  <c r="AB188" i="22" s="1"/>
  <c r="AB180" i="22"/>
  <c r="AB179" i="22"/>
  <c r="AB178" i="22"/>
  <c r="AB172" i="22"/>
  <c r="AB170" i="22"/>
  <c r="AB171" i="22" s="1"/>
  <c r="AB169" i="22"/>
  <c r="AB147" i="22"/>
  <c r="AB143" i="22"/>
  <c r="AB144" i="22"/>
  <c r="AB136" i="22"/>
  <c r="B132" i="22"/>
  <c r="B243" i="22" s="1"/>
  <c r="B374" i="22" s="1"/>
  <c r="Z128" i="22"/>
  <c r="Z99" i="22"/>
  <c r="AB128" i="22"/>
  <c r="Z84" i="22"/>
  <c r="AB80" i="22"/>
  <c r="AB83" i="22"/>
  <c r="AB86" i="22" s="1"/>
  <c r="T69" i="22"/>
  <c r="P66" i="22"/>
  <c r="X64" i="22"/>
  <c r="AB161" i="22" s="1"/>
  <c r="AB163" i="22" s="1"/>
  <c r="AB63" i="22"/>
  <c r="Z60" i="22"/>
  <c r="X60" i="22"/>
  <c r="V60" i="22"/>
  <c r="R60" i="22"/>
  <c r="R66" i="22" s="1"/>
  <c r="P60" i="22"/>
  <c r="AB58" i="22"/>
  <c r="T60" i="22"/>
  <c r="X48" i="22"/>
  <c r="X47" i="22"/>
  <c r="AB41" i="22"/>
  <c r="P31" i="22"/>
  <c r="N31" i="22"/>
  <c r="L31" i="22"/>
  <c r="J31" i="22"/>
  <c r="H31" i="22"/>
  <c r="F31" i="22"/>
  <c r="AB42" i="22" s="1"/>
  <c r="P30" i="22"/>
  <c r="N30" i="22"/>
  <c r="L30" i="22"/>
  <c r="J30" i="22"/>
  <c r="H30" i="22"/>
  <c r="F30" i="22"/>
  <c r="AB29" i="22"/>
  <c r="Z71" i="22" l="1"/>
  <c r="Z72" i="22" s="1"/>
  <c r="AB64" i="22"/>
  <c r="Z359" i="22"/>
  <c r="Z360" i="22" s="1"/>
  <c r="AB30" i="22"/>
  <c r="Z250" i="22" s="1"/>
  <c r="Z251" i="22" s="1"/>
  <c r="AA349" i="22"/>
  <c r="AA348" i="22"/>
  <c r="AA353" i="22" s="1"/>
  <c r="AA350" i="22"/>
  <c r="Y351" i="22"/>
  <c r="Y353" i="22" s="1"/>
  <c r="Y355" i="22"/>
  <c r="Z358" i="22"/>
  <c r="AA354" i="22" s="1"/>
  <c r="AA300" i="22"/>
  <c r="AA299" i="22"/>
  <c r="AA303" i="22"/>
  <c r="AA305" i="22"/>
  <c r="AA298" i="22"/>
  <c r="AA302" i="22"/>
  <c r="AA304" i="22"/>
  <c r="X358" i="22"/>
  <c r="Y293" i="22"/>
  <c r="Y292" i="22"/>
  <c r="Y291" i="22"/>
  <c r="Y290" i="22"/>
  <c r="Y289" i="22"/>
  <c r="Y288" i="22"/>
  <c r="Y287" i="22"/>
  <c r="Y286" i="22"/>
  <c r="AB237" i="22"/>
  <c r="AB235" i="22"/>
  <c r="AB233" i="22"/>
  <c r="AB129" i="22"/>
  <c r="AB239" i="22"/>
  <c r="AB231" i="22"/>
  <c r="AA293" i="22"/>
  <c r="AA292" i="22"/>
  <c r="AA291" i="22"/>
  <c r="AA290" i="22"/>
  <c r="AA289" i="22"/>
  <c r="AA288" i="22"/>
  <c r="AA287" i="22"/>
  <c r="AA286" i="22"/>
  <c r="AB31" i="22"/>
  <c r="Z363" i="22" s="1"/>
  <c r="Z83" i="22"/>
  <c r="Z86" i="22" s="1"/>
  <c r="Z129" i="22" s="1"/>
  <c r="AB217" i="22"/>
  <c r="Z262" i="22"/>
  <c r="AB57" i="22"/>
  <c r="AB60" i="22" s="1"/>
  <c r="Y354" i="22"/>
  <c r="AB128" i="21"/>
  <c r="AB109" i="21"/>
  <c r="AB66" i="22" l="1"/>
  <c r="Z361" i="22" s="1"/>
  <c r="AA307" i="22"/>
  <c r="AA295" i="22"/>
  <c r="Y295" i="22"/>
  <c r="AB143" i="21"/>
  <c r="AB112" i="21"/>
  <c r="AB90" i="21"/>
  <c r="AB75" i="21"/>
  <c r="AB74" i="21"/>
  <c r="T57" i="21"/>
  <c r="X47" i="21"/>
  <c r="P30" i="21" l="1"/>
  <c r="N30" i="21"/>
  <c r="L30" i="21"/>
  <c r="J30" i="21"/>
  <c r="H30" i="21"/>
  <c r="AB29" i="21"/>
  <c r="F30" i="21"/>
  <c r="F31" i="21"/>
  <c r="AB30" i="21" l="1"/>
  <c r="AB35" i="21" s="1"/>
  <c r="AB57" i="21"/>
  <c r="Z273" i="20" l="1"/>
  <c r="Z262" i="21"/>
  <c r="Z262" i="20"/>
  <c r="AB148" i="21" l="1"/>
  <c r="AB137" i="21"/>
  <c r="AB41" i="21"/>
  <c r="AB209" i="21" l="1"/>
  <c r="AB201" i="21"/>
  <c r="AB193" i="21"/>
  <c r="AB185" i="21"/>
  <c r="AB177" i="21"/>
  <c r="AB160" i="21"/>
  <c r="Z217" i="21"/>
  <c r="Z219" i="21" s="1"/>
  <c r="Y217" i="21"/>
  <c r="Z353" i="21"/>
  <c r="AA355" i="21" s="1"/>
  <c r="X353" i="21"/>
  <c r="Y356" i="21" s="1"/>
  <c r="Y351" i="21"/>
  <c r="AA345" i="21"/>
  <c r="Y345" i="21"/>
  <c r="AA341" i="21"/>
  <c r="Z341" i="21"/>
  <c r="Y341" i="21"/>
  <c r="X341" i="21"/>
  <c r="Y268" i="21" s="1"/>
  <c r="AA329" i="21"/>
  <c r="Z329" i="21"/>
  <c r="Y329" i="21"/>
  <c r="X329" i="21"/>
  <c r="AA319" i="21"/>
  <c r="Z319" i="21"/>
  <c r="Z267" i="21" s="1"/>
  <c r="Y319" i="21"/>
  <c r="X319" i="21"/>
  <c r="Y267" i="21" s="1"/>
  <c r="Z307" i="21"/>
  <c r="AA304" i="21" s="1"/>
  <c r="X307" i="21"/>
  <c r="Y301" i="21" s="1"/>
  <c r="Y305" i="21"/>
  <c r="Y304" i="21"/>
  <c r="Y303" i="21"/>
  <c r="Y302" i="21"/>
  <c r="Y300" i="21"/>
  <c r="Y299" i="21"/>
  <c r="Y298" i="21"/>
  <c r="Z293" i="21"/>
  <c r="X293" i="21"/>
  <c r="Z292" i="21"/>
  <c r="X292" i="21"/>
  <c r="Z291" i="21"/>
  <c r="X291" i="21"/>
  <c r="Z290" i="21"/>
  <c r="X290" i="21"/>
  <c r="Z289" i="21"/>
  <c r="X289" i="21"/>
  <c r="Z288" i="21"/>
  <c r="X288" i="21"/>
  <c r="Z287" i="21"/>
  <c r="X287" i="21"/>
  <c r="Z286" i="21"/>
  <c r="X286" i="21"/>
  <c r="Z272" i="21"/>
  <c r="Z273" i="21" s="1"/>
  <c r="Z270" i="21"/>
  <c r="Z269" i="21"/>
  <c r="Z268" i="21"/>
  <c r="AB226" i="21"/>
  <c r="Y219" i="21"/>
  <c r="AB218" i="21"/>
  <c r="Y216" i="21"/>
  <c r="AB210" i="21"/>
  <c r="AB212" i="21" s="1"/>
  <c r="AB203" i="21"/>
  <c r="AB204" i="21" s="1"/>
  <c r="AB195" i="21"/>
  <c r="AB194" i="21"/>
  <c r="AB187" i="21"/>
  <c r="AB179" i="21"/>
  <c r="AB178" i="21"/>
  <c r="AB172" i="21"/>
  <c r="AB170" i="21"/>
  <c r="AB169" i="21"/>
  <c r="AB171" i="21" s="1"/>
  <c r="AB157" i="21"/>
  <c r="AB147" i="21"/>
  <c r="AB144" i="21"/>
  <c r="AB136" i="21"/>
  <c r="B132" i="21"/>
  <c r="B243" i="21" s="1"/>
  <c r="B374" i="21" s="1"/>
  <c r="Z128" i="21"/>
  <c r="Z99" i="21"/>
  <c r="Z84" i="21"/>
  <c r="AB83" i="21"/>
  <c r="AB86" i="21" s="1"/>
  <c r="AB231" i="21" s="1"/>
  <c r="AB80" i="21"/>
  <c r="T69" i="21"/>
  <c r="X64" i="21"/>
  <c r="Z71" i="21" s="1"/>
  <c r="AB63" i="21"/>
  <c r="Z60" i="21"/>
  <c r="X60" i="21"/>
  <c r="V60" i="21"/>
  <c r="T60" i="21"/>
  <c r="R60" i="21"/>
  <c r="R66" i="21" s="1"/>
  <c r="P60" i="21"/>
  <c r="P66" i="21" s="1"/>
  <c r="AB58" i="21"/>
  <c r="AB60" i="21" s="1"/>
  <c r="X48" i="21"/>
  <c r="P31" i="21"/>
  <c r="N31" i="21"/>
  <c r="L31" i="21"/>
  <c r="J31" i="21"/>
  <c r="H31" i="21"/>
  <c r="Y347" i="21" l="1"/>
  <c r="AB31" i="21"/>
  <c r="Z363" i="21"/>
  <c r="AB42" i="21"/>
  <c r="Y349" i="21"/>
  <c r="Y307" i="21"/>
  <c r="AA346" i="21"/>
  <c r="X295" i="21"/>
  <c r="AA348" i="21"/>
  <c r="AA344" i="21"/>
  <c r="AA350" i="21"/>
  <c r="AA356" i="21"/>
  <c r="AA347" i="21"/>
  <c r="Y350" i="21"/>
  <c r="Y344" i="21"/>
  <c r="Y346" i="21"/>
  <c r="Y348" i="21"/>
  <c r="AA298" i="21"/>
  <c r="AA300" i="21"/>
  <c r="AA302" i="21"/>
  <c r="AA299" i="21"/>
  <c r="AA301" i="21"/>
  <c r="AA303" i="21"/>
  <c r="AA305" i="21"/>
  <c r="Z358" i="21"/>
  <c r="AA354" i="21" s="1"/>
  <c r="X358" i="21"/>
  <c r="AB196" i="21"/>
  <c r="AB180" i="21"/>
  <c r="AB217" i="21"/>
  <c r="AB219" i="21"/>
  <c r="Y220" i="21"/>
  <c r="Z250" i="21"/>
  <c r="Z251" i="21" s="1"/>
  <c r="Z248" i="21"/>
  <c r="AB239" i="21"/>
  <c r="AB237" i="21"/>
  <c r="AB233" i="21"/>
  <c r="AB235" i="21"/>
  <c r="AB129" i="21"/>
  <c r="Z72" i="21"/>
  <c r="Z83" i="21" s="1"/>
  <c r="Y292" i="21"/>
  <c r="Y289" i="21"/>
  <c r="Y293" i="21"/>
  <c r="Y290" i="21"/>
  <c r="Y287" i="21"/>
  <c r="Y291" i="21"/>
  <c r="Y288" i="21"/>
  <c r="Y286" i="21"/>
  <c r="AB64" i="21"/>
  <c r="Z359" i="21" s="1"/>
  <c r="AB161" i="21"/>
  <c r="AB163" i="21" s="1"/>
  <c r="Z295" i="21"/>
  <c r="AA291" i="21" s="1"/>
  <c r="Y355" i="21"/>
  <c r="AA349" i="21"/>
  <c r="AA351" i="21"/>
  <c r="Y354" i="21"/>
  <c r="AB41" i="20"/>
  <c r="Z86" i="21" l="1"/>
  <c r="Z129" i="21" s="1"/>
  <c r="AA353" i="21"/>
  <c r="Y353" i="21"/>
  <c r="AA290" i="21"/>
  <c r="AA289" i="21"/>
  <c r="AA292" i="21"/>
  <c r="Z360" i="21"/>
  <c r="AA307" i="21"/>
  <c r="AA286" i="21"/>
  <c r="AA287" i="21"/>
  <c r="AA288" i="21"/>
  <c r="AB66" i="21"/>
  <c r="Z361" i="21" s="1"/>
  <c r="Y295" i="21"/>
  <c r="AA293" i="21"/>
  <c r="AB29" i="20"/>
  <c r="AB35" i="20" s="1"/>
  <c r="P31" i="20"/>
  <c r="AA295" i="21" l="1"/>
  <c r="AB90" i="20"/>
  <c r="AB128" i="20" s="1"/>
  <c r="AB74" i="20"/>
  <c r="T57" i="20" l="1"/>
  <c r="Z73" i="20" s="1"/>
  <c r="AB210" i="20" l="1"/>
  <c r="AB212" i="20" s="1"/>
  <c r="X48" i="20" l="1"/>
  <c r="X64" i="20" l="1"/>
  <c r="F31" i="20" l="1"/>
  <c r="Y216" i="20" l="1"/>
  <c r="AB203" i="20"/>
  <c r="AB204" i="20" s="1"/>
  <c r="AB194" i="20"/>
  <c r="AB187" i="20"/>
  <c r="AB188" i="20" s="1"/>
  <c r="AB179" i="20"/>
  <c r="AB178" i="20"/>
  <c r="AB170" i="20"/>
  <c r="AB169" i="20"/>
  <c r="AB148" i="20"/>
  <c r="AB137" i="20"/>
  <c r="AB144" i="20" s="1"/>
  <c r="AB180" i="20" l="1"/>
  <c r="AB147" i="20" l="1"/>
  <c r="AB136" i="20"/>
  <c r="AB30" i="20"/>
  <c r="Z329" i="20" l="1"/>
  <c r="X329" i="20"/>
  <c r="AA329" i="20" l="1"/>
  <c r="Y329" i="20"/>
  <c r="AB64" i="20" l="1"/>
  <c r="Z353" i="20" l="1"/>
  <c r="X353" i="20"/>
  <c r="Y356" i="20" l="1"/>
  <c r="Y355" i="20"/>
  <c r="AA348" i="20"/>
  <c r="AA356" i="20"/>
  <c r="AA355" i="20"/>
  <c r="Y351" i="20"/>
  <c r="AA351" i="20"/>
  <c r="AA346" i="20"/>
  <c r="AA350" i="20"/>
  <c r="AA344" i="20"/>
  <c r="Y346" i="20"/>
  <c r="Y344" i="20"/>
  <c r="Y348" i="20"/>
  <c r="Y349" i="20"/>
  <c r="Y350" i="20"/>
  <c r="Y345" i="20"/>
  <c r="Y347" i="20"/>
  <c r="AA345" i="20"/>
  <c r="AA347" i="20"/>
  <c r="AA349" i="20"/>
  <c r="AA353" i="20" l="1"/>
  <c r="Y353" i="20"/>
  <c r="AB157" i="20" l="1"/>
  <c r="AA341" i="20"/>
  <c r="Z341" i="20"/>
  <c r="Z268" i="20" s="1"/>
  <c r="Y341" i="20"/>
  <c r="X341" i="20"/>
  <c r="Y268" i="20" s="1"/>
  <c r="AA319" i="20"/>
  <c r="Z319" i="20"/>
  <c r="Z267" i="20" s="1"/>
  <c r="Y319" i="20"/>
  <c r="X319" i="20"/>
  <c r="Y267" i="20" s="1"/>
  <c r="Z307" i="20"/>
  <c r="AA305" i="20" s="1"/>
  <c r="X307" i="20"/>
  <c r="Z293" i="20"/>
  <c r="X293" i="20"/>
  <c r="Z292" i="20"/>
  <c r="X292" i="20"/>
  <c r="Z291" i="20"/>
  <c r="X291" i="20"/>
  <c r="Z290" i="20"/>
  <c r="X290" i="20"/>
  <c r="Z289" i="20"/>
  <c r="X289" i="20"/>
  <c r="Z288" i="20"/>
  <c r="X288" i="20"/>
  <c r="Z287" i="20"/>
  <c r="X287" i="20"/>
  <c r="Z286" i="20"/>
  <c r="X286" i="20"/>
  <c r="Z272" i="20"/>
  <c r="Z270" i="20"/>
  <c r="Z269" i="20"/>
  <c r="AB226" i="20"/>
  <c r="AB218" i="20"/>
  <c r="AB195" i="20"/>
  <c r="AB172" i="20"/>
  <c r="AB161" i="20"/>
  <c r="B132" i="20"/>
  <c r="B243" i="20" s="1"/>
  <c r="B374" i="20" s="1"/>
  <c r="Z128" i="20"/>
  <c r="Z99" i="20"/>
  <c r="Z84" i="20"/>
  <c r="AB80" i="20"/>
  <c r="AB83" i="20" s="1"/>
  <c r="AB86" i="20" s="1"/>
  <c r="Z71" i="20"/>
  <c r="Z72" i="20" s="1"/>
  <c r="T69" i="20"/>
  <c r="AB63" i="20"/>
  <c r="Z359" i="20" s="1"/>
  <c r="Z60" i="20"/>
  <c r="X60" i="20"/>
  <c r="V60" i="20"/>
  <c r="R60" i="20"/>
  <c r="R66" i="20" s="1"/>
  <c r="P60" i="20"/>
  <c r="P66" i="20" s="1"/>
  <c r="AB58" i="20"/>
  <c r="N31" i="20"/>
  <c r="L31" i="20"/>
  <c r="J31" i="20"/>
  <c r="H31" i="20"/>
  <c r="AB31" i="20" l="1"/>
  <c r="AB42" i="20"/>
  <c r="AB239" i="20"/>
  <c r="AB129" i="20"/>
  <c r="AB231" i="20"/>
  <c r="Z363" i="20"/>
  <c r="AB235" i="20"/>
  <c r="AB233" i="20"/>
  <c r="AB237" i="20"/>
  <c r="Y305" i="20"/>
  <c r="X358" i="20"/>
  <c r="Y354" i="20" s="1"/>
  <c r="Y298" i="20"/>
  <c r="AA299" i="20"/>
  <c r="Y302" i="20"/>
  <c r="AA302" i="20"/>
  <c r="Z247" i="20"/>
  <c r="Z248" i="20" s="1"/>
  <c r="AA303" i="20"/>
  <c r="AA300" i="20"/>
  <c r="Z83" i="20"/>
  <c r="Z86" i="20" s="1"/>
  <c r="Z129" i="20" s="1"/>
  <c r="AA301" i="20"/>
  <c r="AA304" i="20"/>
  <c r="Z358" i="20"/>
  <c r="AA354" i="20" s="1"/>
  <c r="AA298" i="20"/>
  <c r="Z295" i="20"/>
  <c r="Y300" i="20"/>
  <c r="X295" i="20"/>
  <c r="Y291" i="20" s="1"/>
  <c r="Y304" i="20"/>
  <c r="AB196" i="20"/>
  <c r="AB163" i="20"/>
  <c r="AB57" i="20"/>
  <c r="AB60" i="20" s="1"/>
  <c r="AB66" i="20" s="1"/>
  <c r="Z361" i="20" s="1"/>
  <c r="T60" i="20"/>
  <c r="Y299" i="20"/>
  <c r="Y301" i="20"/>
  <c r="Y303" i="20"/>
  <c r="Z360" i="20" l="1"/>
  <c r="AA290" i="20"/>
  <c r="AA287" i="20"/>
  <c r="AA286" i="20"/>
  <c r="Y286" i="20"/>
  <c r="AA288" i="20"/>
  <c r="AA307" i="20"/>
  <c r="Y293" i="20"/>
  <c r="Z250" i="20"/>
  <c r="Z251" i="20" s="1"/>
  <c r="AA291" i="20"/>
  <c r="AA292" i="20"/>
  <c r="AA289" i="20"/>
  <c r="AA293" i="20"/>
  <c r="Y290" i="20"/>
  <c r="Y289" i="20"/>
  <c r="Y288" i="20"/>
  <c r="Y287" i="20"/>
  <c r="Y292" i="20"/>
  <c r="Y307" i="20"/>
  <c r="AA295" i="20" l="1"/>
  <c r="Y295" i="20"/>
  <c r="AB171" i="20" l="1"/>
  <c r="Y219" i="20" l="1"/>
  <c r="Z219" i="20"/>
  <c r="Y220" i="20" l="1"/>
  <c r="AB217" i="20"/>
  <c r="AB219" i="20"/>
  <c r="AB204" i="22"/>
  <c r="AB201" i="23"/>
  <c r="AB204" i="23" s="1"/>
</calcChain>
</file>

<file path=xl/sharedStrings.xml><?xml version="1.0" encoding="utf-8"?>
<sst xmlns="http://schemas.openxmlformats.org/spreadsheetml/2006/main" count="7485" uniqueCount="383">
  <si>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</si>
  <si>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</si>
  <si>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</si>
  <si>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</si>
  <si>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</si>
  <si>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</si>
  <si>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</si>
  <si>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</si>
  <si>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</si>
  <si>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</si>
  <si>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</si>
  <si>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</si>
  <si>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</si>
  <si>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</si>
  <si>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</si>
  <si>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</si>
  <si>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</si>
  <si>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</si>
  <si>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</si>
  <si>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</si>
  <si>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</si>
  <si>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</si>
  <si>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</si>
  <si>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</si>
  <si>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</si>
  <si>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</si>
  <si>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</si>
  <si>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</si>
  <si>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</si>
  <si>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</si>
  <si>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</si>
  <si>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</si>
  <si>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</si>
  <si>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</si>
  <si>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</si>
  <si>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</si>
  <si>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</si>
  <si>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</si>
  <si>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</si>
  <si>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</si>
  <si>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</si>
  <si>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</si>
  <si>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</si>
  <si>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</si>
  <si>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</si>
  <si>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</si>
  <si>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</si>
  <si>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</si>
  <si>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</si>
  <si>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</si>
  <si>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</si>
  <si>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</si>
  <si>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</si>
  <si>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</si>
  <si>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</si>
  <si>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</si>
  <si>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</si>
  <si>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</si>
  <si>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</si>
  <si>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</si>
  <si>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</si>
  <si>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</si>
  <si>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</si>
  <si>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</si>
  <si>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</si>
  <si>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</si>
  <si>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</si>
  <si>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</si>
  <si>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</si>
  <si>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</si>
  <si>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</si>
  <si>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</si>
  <si>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</si>
  <si>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</si>
  <si>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</si>
  <si>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</si>
  <si>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</si>
  <si>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</si>
  <si>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</si>
  <si>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</si>
  <si>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</si>
  <si>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</si>
  <si>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</si>
  <si>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</si>
  <si>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</si>
  <si>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</si>
  <si>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</si>
  <si>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</si>
  <si>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</si>
  <si>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</si>
  <si>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</si>
  <si>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</si>
  <si>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</si>
  <si>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</si>
  <si>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</si>
  <si>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</si>
  <si>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</si>
  <si>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</si>
  <si>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</si>
  <si>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</si>
  <si>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</si>
  <si>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</si>
  <si>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</si>
  <si>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</si>
  <si>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</si>
  <si>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</si>
  <si>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</si>
  <si>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</si>
  <si>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</si>
  <si>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</si>
  <si>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</si>
  <si>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</si>
  <si>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</si>
  <si>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</si>
  <si>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</si>
  <si>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</si>
  <si>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</si>
  <si>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</si>
  <si>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</si>
  <si>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</si>
  <si>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</si>
  <si>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</si>
  <si>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</si>
  <si>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</si>
  <si>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</si>
  <si>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</si>
  <si>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</si>
  <si>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</si>
  <si>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</si>
  <si>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</si>
  <si>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</si>
  <si>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</si>
  <si>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</si>
  <si>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</si>
  <si>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</si>
  <si>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</si>
  <si>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</si>
  <si>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</si>
  <si>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</si>
  <si>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</si>
  <si>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</si>
  <si>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</si>
  <si>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</si>
  <si>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</si>
  <si>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</si>
  <si>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</si>
  <si>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</si>
  <si>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</si>
  <si>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</si>
  <si>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</si>
  <si>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</si>
  <si>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</si>
  <si>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</si>
  <si>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</si>
  <si>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</si>
  <si>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Fitch Rating at Closing</t>
  </si>
  <si>
    <t>Current Fitch Rating</t>
  </si>
  <si>
    <t>Optional Redemption (Call)  Dates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</si>
  <si>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</si>
  <si>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</si>
  <si>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</si>
  <si>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</si>
  <si>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</si>
  <si>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</si>
  <si>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</si>
  <si>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</si>
  <si>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</si>
  <si>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</si>
  <si>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Class D Notes</t>
  </si>
  <si>
    <t>Mandatory Further Advance Pre Funding Reserve</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</si>
  <si>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</si>
  <si>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</si>
  <si>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</si>
  <si>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</si>
  <si>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</si>
  <si>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</si>
  <si>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</si>
  <si>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</si>
  <si>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Class S Notes</t>
  </si>
  <si>
    <t>Class S VFN Notes</t>
  </si>
  <si>
    <t>RC1a Residential Certificates</t>
  </si>
  <si>
    <t>RC1b Residential Certificates</t>
  </si>
  <si>
    <t>RC2a Residential Certificates</t>
  </si>
  <si>
    <t>RC2b Residential Certificates</t>
  </si>
  <si>
    <t>Class A, B, C, D, Z, S and SVFN Interest Calculated on</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</si>
  <si>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</si>
  <si>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</si>
  <si>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</si>
  <si>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</si>
  <si>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</si>
  <si>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</si>
  <si>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</si>
  <si>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</si>
  <si>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</si>
  <si>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</si>
  <si>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</si>
  <si>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</si>
  <si>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</si>
  <si>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</si>
  <si>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</si>
  <si>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</si>
  <si>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</si>
  <si>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</si>
  <si>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</si>
  <si>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</si>
  <si>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</si>
  <si>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</si>
  <si>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</si>
  <si>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</si>
  <si>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</si>
  <si>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</si>
  <si>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</si>
  <si>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</si>
  <si>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</si>
  <si>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Principal Receipts to Revenue to fund Senior Expenses Deficit</t>
  </si>
  <si>
    <t>AAA</t>
  </si>
  <si>
    <t>AA</t>
  </si>
  <si>
    <t>Aaa</t>
  </si>
  <si>
    <t>Aa1</t>
  </si>
  <si>
    <t>Class A and B Liquidity Reserve Fund Release Amount / Excess Amount</t>
  </si>
  <si>
    <t>General Reserve Fund Release Amount / Excess Amount</t>
  </si>
  <si>
    <t>Residual Certificates Payments (prior to but excluding the Step Up Date)</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</si>
  <si>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</si>
  <si>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</si>
  <si>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</si>
  <si>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</si>
  <si>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</si>
  <si>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</si>
  <si>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</si>
  <si>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</si>
  <si>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</si>
  <si>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</si>
  <si>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</si>
  <si>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</si>
  <si>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</si>
  <si>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</si>
  <si>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</si>
  <si>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</si>
  <si>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</si>
  <si>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</si>
  <si>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</si>
  <si>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</si>
  <si>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</si>
  <si>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</si>
  <si>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</si>
  <si>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</si>
  <si>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</si>
  <si>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</si>
  <si>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</si>
  <si>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400bp</t>
  </si>
  <si>
    <t>Amounts due to Administrators and Paragon Corporate Services Provider</t>
  </si>
  <si>
    <t>Amounts credited to the Conversion Margin Reserve Fund during the period</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</si>
  <si>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</si>
  <si>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</si>
  <si>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</si>
  <si>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</si>
  <si>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</si>
  <si>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</si>
  <si>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</si>
  <si>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</si>
  <si>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</si>
  <si>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Over (+) / Under (-) Hedging</t>
  </si>
  <si>
    <t>Hedging Corridor</t>
  </si>
  <si>
    <t>PDL replenishment (-) from Revenue income / Recovery (+) to Revenue income</t>
  </si>
  <si>
    <t>A</t>
  </si>
  <si>
    <t>Aa3</t>
  </si>
  <si>
    <t>BBB</t>
  </si>
  <si>
    <t>Available Redemption Funds</t>
  </si>
  <si>
    <t>Trustee Fee/Costs and Expenses claimed by the Substitute Administrator &amp; Maples Corporate Services Provider</t>
  </si>
  <si>
    <t>Mortgage MRF Discretionary Amount (prior to the Step Up Date)</t>
  </si>
  <si>
    <t>Conversion MRF Discretionary Amount (prior to the Step Up Date)</t>
  </si>
  <si>
    <t>Legal Entity Identifier (LEI)</t>
  </si>
  <si>
    <t>Weighted Average Swap Rate</t>
  </si>
  <si>
    <t>MFAPFRL and Available Redemption Funds</t>
  </si>
  <si>
    <t>Mandatory Further Advance Pre Funding Reserve at last quarter end</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</si>
  <si>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</si>
  <si>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</si>
  <si>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</si>
  <si>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</si>
  <si>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</si>
  <si>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</si>
  <si>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</si>
  <si>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</si>
  <si>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</si>
  <si>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</si>
  <si>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</si>
  <si>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</si>
  <si>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 by Number of Accounts/Balance</t>
  </si>
  <si>
    <t>Rented</t>
  </si>
  <si>
    <t>Vacant - to be let</t>
  </si>
  <si>
    <t>Vacant - to be sold</t>
  </si>
  <si>
    <t>Property Rented/For Sale</t>
  </si>
  <si>
    <t>Receiver of Rent Cases by Current Status, as at the PDD</t>
  </si>
  <si>
    <t xml:space="preserve">Strategic review </t>
  </si>
  <si>
    <t>Class A Notes</t>
  </si>
  <si>
    <t>165bp</t>
  </si>
  <si>
    <t>Class A Note repayment</t>
  </si>
  <si>
    <t>Baa1</t>
  </si>
  <si>
    <t xml:space="preserve">Total Current Balance of Fixed Rate Assets </t>
  </si>
  <si>
    <t>Retention Requirement under Article 6 of Regulation (EU) 2017/2402 (the "Securitisation Regulation") held by Paragon Bank PLC</t>
  </si>
  <si>
    <t>Payment Holiday Extensions</t>
  </si>
  <si>
    <t>Mortgage Margin Reserve Fund Required Amount at Closing</t>
  </si>
  <si>
    <t>Conversion Margin Reserve Fund Discretionary Fund</t>
  </si>
  <si>
    <t>Conversion Margin Reserve Fund Amount at Closing</t>
  </si>
  <si>
    <t>WA PH Remaining Term (months)</t>
  </si>
  <si>
    <t>Original Payment Holiday Borrowers</t>
  </si>
  <si>
    <t>Extended Payment Holiday Borrowers</t>
  </si>
  <si>
    <t>Paragon Mortgages (No.28) PLC</t>
  </si>
  <si>
    <t>This performance report is issued by Paragon Mortgages (2010) Limited for and on behalf of Paragon Mortgages (No.28) PLC</t>
  </si>
  <si>
    <t>PM28 PLC</t>
  </si>
  <si>
    <t>PM28 INVESTOR REPORT QUARTER ENDING NOVEMBER 2020</t>
  </si>
  <si>
    <t>21380095C1VGYR3IGS08</t>
  </si>
  <si>
    <t>XS2243463879</t>
  </si>
  <si>
    <t>XS2243463952</t>
  </si>
  <si>
    <t>XS2243464091</t>
  </si>
  <si>
    <t>XS2243464174</t>
  </si>
  <si>
    <t>XS2243464257</t>
  </si>
  <si>
    <t>XS2243464331</t>
  </si>
  <si>
    <t>XS2243464414</t>
  </si>
  <si>
    <t>XS2243464505</t>
  </si>
  <si>
    <t>XS2243464687</t>
  </si>
  <si>
    <t>XS2243464844</t>
  </si>
  <si>
    <t>95bp</t>
  </si>
  <si>
    <t>135bp</t>
  </si>
  <si>
    <t>195bp</t>
  </si>
  <si>
    <t>295bp</t>
  </si>
  <si>
    <t>142.5bp</t>
  </si>
  <si>
    <t>202.5bp</t>
  </si>
  <si>
    <t>247.5bp</t>
  </si>
  <si>
    <t>292.5bp</t>
  </si>
  <si>
    <t xml:space="preserve">including taking into account the interests of our customers, market consultations and the expectations of our regulators (the PRA and FCA). This statement is not relevant to PM28 as SONIA is the PM28 Note Reference Rate (and not LIBOR) and all of the PM28 mortgage assets are fixed rate that revert   </t>
  </si>
  <si>
    <t xml:space="preserve">to the Standard Variable Rate. All converted mortgages revert to the Standard Variable Rate. There are no LIBOR linked mortgage assets in PM28. </t>
  </si>
  <si>
    <t>** For transparency, a table has been included where customers have elected to take a payment holiday, caused by COVID19. Rows 334 - 347 Delinquency Summary (For COVID19 Payment Holiday Cases) are included in the Overall Delinquency Summary in rows 276 - 286.</t>
  </si>
  <si>
    <t xml:space="preserve">Discretionary Payment Holiday Reserve Fund </t>
  </si>
  <si>
    <t>Discretionary Payment Holiday Reserve Fund at Closing</t>
  </si>
  <si>
    <t xml:space="preserve">Last quarter Discretionary Payment Holiday Reserve Fund balance </t>
  </si>
  <si>
    <t>Amounts credited to the Discretionary Payment Holiday Reserve Fund from Revenue during the period</t>
  </si>
  <si>
    <t>Closing Discretionary Payment Holiday Reserve Fund balance</t>
  </si>
  <si>
    <t>Amounts credited to Revenue from the Discretionary Payment Holiday Reserve Fund during the period</t>
  </si>
  <si>
    <t>Payment holidays were extended in June 2020 and November 2020 for Buy to Let landlords who may be experiencing, or continue to experience, difficulties in meeting their buy to let mortgage payments caused by the impact of the COVID19 virus.</t>
  </si>
  <si>
    <t>Accrued Arrears and Interest not Sold to the Issuer</t>
  </si>
  <si>
    <t>PM28 INVESTOR REPORT QUARTER ENDING FEBRUARY 2021</t>
  </si>
  <si>
    <t>Class S VFN Note Interest and Deferred Interest</t>
  </si>
  <si>
    <t>The 31st January 2021 was the deadline for customers to apply for a payment holiday with their lenders. The same principles as outlined above for the "original" payment holiday customers also applies to the "extended" payment holiday customers.</t>
  </si>
  <si>
    <t>PM28 INVESTOR REPORT QUARTER ENDING MAY 2021</t>
  </si>
  <si>
    <t>PM28 INVESTOR REPORT QUARTER ENDING AUGUST 2021</t>
  </si>
  <si>
    <t>All payment holidays expired on 31st July 2021.</t>
  </si>
  <si>
    <t xml:space="preserve">The same principles as outlined above for the "original" payment holiday customers also applies to the "extended" payment holiday customers. </t>
  </si>
  <si>
    <t>libor-mortgages-transition-july-19 (paragonbankinggroup.co.uk)</t>
  </si>
  <si>
    <t>LIBOR transition on the Libor Linked Assets</t>
  </si>
  <si>
    <t>Discretionary Payment Holiday Reserve Fund  (prior to the Step Up Date)</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</si>
  <si>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</si>
  <si>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 xml:space="preserve">For information purpsoes, the Paragon Mortgages (2010) Limited originated mortgages transitioned to a term SONIA basis on 1st July 2021. Please see the below link for further details. </t>
  </si>
  <si>
    <t>PM(2010)/ PB Mandatory Further Advance Pre Funding Reserve diverted to Principal</t>
  </si>
  <si>
    <t xml:space="preserve">Funding of the PM(2010)/ PB Mandatory Further Advances </t>
  </si>
  <si>
    <t>PM(2010)/PB Mandatory Further Advance Pre Funding Reserve diverted to Principal</t>
  </si>
  <si>
    <t xml:space="preserve">Funding of the PM(2010)/PB Mandatory Further Advances </t>
  </si>
  <si>
    <t>PM (2010) Mandatory Further Advances</t>
  </si>
  <si>
    <t>PM (2010) Discretionary Further Advances</t>
  </si>
  <si>
    <t>PM28 INVESTOR REPORT QUARTER ENDING NOVEMBER 2021</t>
  </si>
  <si>
    <t>AA+</t>
  </si>
  <si>
    <t>A+</t>
  </si>
  <si>
    <t>PM28 INVESTOR REPORT QUARTER ENDING FEBRUARY 2022</t>
  </si>
  <si>
    <t>PM28 INVESTOR REPORT QUARTER ENDING MAY 2022</t>
  </si>
  <si>
    <t>PM28 INVESTOR REPORT QUARTER ENDING AUGUST 2022</t>
  </si>
  <si>
    <t>BBB+</t>
  </si>
  <si>
    <t>PM28 INVESTOR REPORT QUARTER ENDING NOVEMBER 2022</t>
  </si>
  <si>
    <t>Mortgage Margin Reserve Fund Release Amount and any excess</t>
  </si>
  <si>
    <t>PM28 INVESTOR REPORT QUARTER ENDING FEBRUARY 2023</t>
  </si>
  <si>
    <t>Current Spread *</t>
  </si>
  <si>
    <t xml:space="preserve">* The negative spread has been capped at zero. The swap receipts in respect of the fixed rate assets and the respective release from the conversion margin reserve fund to the Revenue Ledger are not included in the weighted average interest charging rate. This is the reason for </t>
  </si>
  <si>
    <t xml:space="preserve">reporting on the revenue as a % of the assets in the next row, which is reflected in the excess spread from the PM28 revenue priority of payments on the Interest  Payment Date. </t>
  </si>
  <si>
    <t>PM28 INVESTOR REPORT QUARTER ENDING MAY 2023</t>
  </si>
  <si>
    <t>PM28 INVESTOR REPORT QUARTER ENDING AUGUST 2023</t>
  </si>
  <si>
    <t>Aa2</t>
  </si>
  <si>
    <t>A1</t>
  </si>
  <si>
    <t>Offer Issued/Offer Accepted/Contracts Issued/Contracts Exchanged</t>
  </si>
  <si>
    <t>PM28 INVESTOR REPORT QUARTER ENDING NOVEMBER 2023</t>
  </si>
  <si>
    <t>PM28 INVESTOR REPORT QUARTER ENDING FEBRUARY 2024</t>
  </si>
  <si>
    <t>Total Hedge Amount*</t>
  </si>
  <si>
    <t>Current Spread **</t>
  </si>
  <si>
    <t>* Total Hedge Amount split: Lloyds = 100.00%,  Santander = 0.00%</t>
  </si>
  <si>
    <t>PM28 INVESTOR REPORT QUARTER ENDING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</si>
</sst>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 numFmtId="172" formatCode="0.000%"/>
  </numFmts>
  <fonts count="32"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b/>
      <sz val="12"/>
      <color rgb="FFFF0000"/>
      <name val="Calibri"/>
      <family val="2"/>
      <scheme val="minor"/>
    </font>
    <font>
      <u/>
      <sz val="12"/>
      <color indexed="12"/>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3">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55"/>
      </top>
      <bottom/>
      <diagonal/>
    </border>
    <border>
      <left/>
      <right style="medium">
        <color indexed="8"/>
      </right>
      <top/>
      <bottom style="thin">
        <color indexed="55"/>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
      <left/>
      <right/>
      <top style="thin">
        <color indexed="55"/>
      </top>
      <bottom style="medium">
        <color indexed="8"/>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307">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0" fontId="13" fillId="2" borderId="0" xfId="0" applyNumberFormat="1" applyFont="1" applyFill="1" applyAlignment="1">
      <alignment horizontal="center" wrapText="1"/>
    </xf>
    <xf numFmtId="165" fontId="3"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9" fontId="15" fillId="3" borderId="18" xfId="0" applyNumberFormat="1" applyFont="1" applyFill="1" applyBorder="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9" fontId="12" fillId="2" borderId="20" xfId="0" applyNumberFormat="1" applyFont="1" applyFill="1" applyBorder="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9" fontId="12" fillId="2" borderId="10" xfId="0" applyNumberFormat="1" applyFont="1" applyFill="1" applyBorder="1"/>
    <xf numFmtId="0" fontId="12" fillId="2" borderId="0" xfId="0" applyFont="1" applyFill="1"/>
    <xf numFmtId="0" fontId="13" fillId="2" borderId="0" xfId="0" applyFont="1" applyFill="1"/>
    <xf numFmtId="0" fontId="25" fillId="2" borderId="0" xfId="0" applyFont="1" applyFill="1"/>
    <xf numFmtId="0" fontId="10" fillId="4" borderId="0" xfId="1" applyFont="1" applyFill="1" applyAlignment="1" applyProtection="1"/>
    <xf numFmtId="0" fontId="10" fillId="4" borderId="10" xfId="1" applyFont="1" applyFill="1" applyBorder="1" applyAlignment="1" applyProtection="1"/>
    <xf numFmtId="3" fontId="16" fillId="3" borderId="0" xfId="0" applyNumberFormat="1" applyFont="1" applyFill="1" applyAlignment="1">
      <alignment horizontal="center"/>
    </xf>
    <xf numFmtId="0" fontId="16" fillId="3" borderId="0" xfId="0" applyFont="1" applyFill="1" applyAlignment="1">
      <alignment horizontal="center"/>
    </xf>
    <xf numFmtId="3" fontId="12" fillId="2" borderId="0" xfId="0" applyNumberFormat="1" applyFont="1" applyFill="1"/>
    <xf numFmtId="10" fontId="12" fillId="2" borderId="0" xfId="0" applyNumberFormat="1" applyFont="1" applyFill="1"/>
    <xf numFmtId="3" fontId="12" fillId="2" borderId="10" xfId="0" applyNumberFormat="1" applyFont="1" applyFill="1" applyBorder="1"/>
    <xf numFmtId="10" fontId="12" fillId="2" borderId="21" xfId="0" applyNumberFormat="1" applyFont="1" applyFill="1" applyBorder="1"/>
    <xf numFmtId="10" fontId="12" fillId="2" borderId="10" xfId="0" applyNumberFormat="1" applyFont="1" applyFill="1" applyBorder="1"/>
    <xf numFmtId="9" fontId="12" fillId="2" borderId="20" xfId="0" applyNumberFormat="1" applyFont="1" applyFill="1" applyBorder="1" applyAlignment="1"/>
    <xf numFmtId="0" fontId="3" fillId="0" borderId="0" xfId="0" applyFont="1"/>
    <xf numFmtId="0" fontId="29" fillId="0" borderId="0" xfId="0" applyNumberFormat="1" applyFont="1" applyAlignment="1"/>
    <xf numFmtId="0" fontId="12" fillId="2" borderId="22" xfId="0" applyFont="1" applyFill="1" applyBorder="1"/>
    <xf numFmtId="0" fontId="12" fillId="2" borderId="23" xfId="0" applyFont="1" applyFill="1" applyBorder="1"/>
    <xf numFmtId="0" fontId="3" fillId="2" borderId="23" xfId="0"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0" fillId="0" borderId="0" xfId="0" applyFont="1"/>
    <xf numFmtId="0" fontId="30" fillId="2" borderId="0" xfId="0" applyNumberFormat="1" applyFont="1" applyFill="1" applyAlignment="1"/>
    <xf numFmtId="1" fontId="12" fillId="2" borderId="10" xfId="0" applyNumberFormat="1" applyFont="1" applyFill="1" applyBorder="1" applyAlignment="1"/>
    <xf numFmtId="0" fontId="12" fillId="2" borderId="20" xfId="0" applyNumberFormat="1" applyFont="1" applyFill="1" applyBorder="1" applyAlignment="1"/>
    <xf numFmtId="0" fontId="16" fillId="3" borderId="18" xfId="0" applyFont="1" applyFill="1" applyBorder="1"/>
    <xf numFmtId="0" fontId="12" fillId="2" borderId="25" xfId="0" applyNumberFormat="1" applyFont="1" applyFill="1" applyBorder="1" applyAlignment="1"/>
    <xf numFmtId="0" fontId="15" fillId="3" borderId="24" xfId="0" applyNumberFormat="1" applyFont="1" applyFill="1" applyBorder="1" applyAlignment="1"/>
    <xf numFmtId="10" fontId="13" fillId="2" borderId="18" xfId="0" applyNumberFormat="1" applyFont="1" applyFill="1" applyBorder="1"/>
    <xf numFmtId="10" fontId="13" fillId="2" borderId="18" xfId="0" applyNumberFormat="1" applyFont="1" applyFill="1" applyBorder="1" applyAlignment="1" applyProtection="1">
      <alignment horizontal="right"/>
      <protection locked="0"/>
    </xf>
    <xf numFmtId="0" fontId="12" fillId="2" borderId="18" xfId="0" applyNumberFormat="1" applyFont="1" applyFill="1" applyBorder="1" applyAlignment="1"/>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3" fontId="12" fillId="2" borderId="26" xfId="0" applyNumberFormat="1" applyFont="1" applyFill="1" applyBorder="1"/>
    <xf numFmtId="10" fontId="12" fillId="2" borderId="27" xfId="0" applyNumberFormat="1" applyFont="1" applyFill="1" applyBorder="1"/>
    <xf numFmtId="3" fontId="12" fillId="2" borderId="27" xfId="0" applyNumberFormat="1" applyFont="1" applyFill="1" applyBorder="1" applyAlignment="1" applyProtection="1">
      <alignment horizontal="right"/>
      <protection locked="0"/>
    </xf>
    <xf numFmtId="4" fontId="12" fillId="2" borderId="28" xfId="0" applyNumberFormat="1" applyFont="1" applyFill="1" applyBorder="1" applyAlignment="1"/>
    <xf numFmtId="3" fontId="12" fillId="2" borderId="29" xfId="0" applyNumberFormat="1" applyFont="1" applyFill="1" applyBorder="1"/>
    <xf numFmtId="10" fontId="12" fillId="2" borderId="30" xfId="0" applyNumberFormat="1" applyFont="1" applyFill="1" applyBorder="1"/>
    <xf numFmtId="3" fontId="12" fillId="2" borderId="30" xfId="0" applyNumberFormat="1" applyFont="1" applyFill="1" applyBorder="1" applyAlignment="1" applyProtection="1">
      <alignment horizontal="right"/>
      <protection locked="0"/>
    </xf>
    <xf numFmtId="4" fontId="12" fillId="2" borderId="31" xfId="0" applyNumberFormat="1" applyFont="1" applyFill="1" applyBorder="1" applyAlignment="1"/>
    <xf numFmtId="167" fontId="3" fillId="2" borderId="10" xfId="0" applyNumberFormat="1" applyFont="1" applyFill="1" applyBorder="1" applyAlignment="1">
      <alignment horizontal="center"/>
    </xf>
    <xf numFmtId="0" fontId="3" fillId="2" borderId="10" xfId="0" applyNumberFormat="1" applyFont="1" applyFill="1" applyBorder="1" applyAlignment="1">
      <alignment horizontal="center"/>
    </xf>
    <xf numFmtId="17" fontId="3" fillId="2" borderId="10" xfId="0" applyNumberFormat="1" applyFont="1" applyFill="1" applyBorder="1" applyAlignment="1">
      <alignment horizontal="center"/>
    </xf>
    <xf numFmtId="169" fontId="3" fillId="2" borderId="10" xfId="0" applyNumberFormat="1" applyFont="1" applyFill="1" applyBorder="1" applyAlignment="1">
      <alignment horizontal="center"/>
    </xf>
    <xf numFmtId="171" fontId="3" fillId="2" borderId="10" xfId="0" applyNumberFormat="1" applyFont="1" applyFill="1" applyBorder="1" applyAlignment="1">
      <alignment horizontal="center"/>
    </xf>
    <xf numFmtId="164" fontId="3" fillId="2" borderId="10" xfId="0" applyNumberFormat="1" applyFont="1" applyFill="1" applyBorder="1" applyAlignment="1">
      <alignment horizontal="center"/>
    </xf>
    <xf numFmtId="10" fontId="11" fillId="2" borderId="0" xfId="0" applyNumberFormat="1" applyFont="1" applyFill="1" applyAlignment="1">
      <alignment horizontal="center"/>
    </xf>
    <xf numFmtId="10" fontId="3" fillId="2" borderId="10" xfId="0" applyNumberFormat="1" applyFont="1" applyFill="1" applyBorder="1" applyAlignment="1">
      <alignment horizontal="center"/>
    </xf>
    <xf numFmtId="4" fontId="3" fillId="2" borderId="10" xfId="0" applyNumberFormat="1" applyFont="1" applyFill="1" applyBorder="1" applyAlignment="1">
      <alignment horizontal="center"/>
    </xf>
    <xf numFmtId="0" fontId="3" fillId="2" borderId="7" xfId="0" applyNumberFormat="1" applyFont="1" applyFill="1" applyBorder="1" applyAlignment="1"/>
    <xf numFmtId="0" fontId="3" fillId="2" borderId="32" xfId="0" applyNumberFormat="1" applyFont="1" applyFill="1" applyBorder="1" applyAlignment="1"/>
    <xf numFmtId="172" fontId="12" fillId="2" borderId="10" xfId="0" applyNumberFormat="1" applyFont="1" applyFill="1" applyBorder="1" applyAlignment="1" applyProtection="1">
      <alignment horizontal="right"/>
      <protection locked="0"/>
    </xf>
    <xf numFmtId="0" fontId="31" fillId="0" borderId="0" xfId="1" applyFont="1" applyAlignment="1" applyProtection="1">
      <alignment vertical="center"/>
    </xf>
    <xf numFmtId="0" fontId="29" fillId="0" borderId="1" xfId="0" applyNumberFormat="1" applyFont="1" applyBorder="1"/>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2D2926"/>
      <color rgb="FF008080"/>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8E7D1300-972B-4CFE-A583-D85DBAF3D7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690149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EB9FD11-BC2B-48E7-83E7-46414F5CD68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57E43D94-F014-428F-96BD-0A83D78CD5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8AC74AC-3015-4CFC-835D-B4357517DE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316753</xdr:colOff>
      <xdr:row>52</xdr:row>
      <xdr:rowOff>142768</xdr:rowOff>
    </xdr:to>
    <xdr:pic>
      <xdr:nvPicPr>
        <xdr:cNvPr id="6" name="Picture 5">
          <a:extLst>
            <a:ext uri="{FF2B5EF4-FFF2-40B4-BE49-F238E27FC236}">
              <a16:creationId xmlns:a16="http://schemas.microsoft.com/office/drawing/2014/main" id="{BC7DFA64-A54E-4A67-8200-3BBDD6364596}"/>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199918</xdr:rowOff>
    </xdr:to>
    <xdr:pic>
      <xdr:nvPicPr>
        <xdr:cNvPr id="7" name="Picture 6">
          <a:extLst>
            <a:ext uri="{FF2B5EF4-FFF2-40B4-BE49-F238E27FC236}">
              <a16:creationId xmlns:a16="http://schemas.microsoft.com/office/drawing/2014/main" id="{12FE25D5-C8A5-464B-A40C-7C8ED43E8535}"/>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241</xdr:row>
      <xdr:rowOff>152400</xdr:rowOff>
    </xdr:from>
    <xdr:to>
      <xdr:col>0</xdr:col>
      <xdr:colOff>316753</xdr:colOff>
      <xdr:row>242</xdr:row>
      <xdr:rowOff>180867</xdr:rowOff>
    </xdr:to>
    <xdr:pic>
      <xdr:nvPicPr>
        <xdr:cNvPr id="8" name="Picture 7">
          <a:extLst>
            <a:ext uri="{FF2B5EF4-FFF2-40B4-BE49-F238E27FC236}">
              <a16:creationId xmlns:a16="http://schemas.microsoft.com/office/drawing/2014/main" id="{28166A8E-FD91-4A65-AA72-A5F483FF61DD}"/>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371</xdr:row>
      <xdr:rowOff>127000</xdr:rowOff>
    </xdr:from>
    <xdr:to>
      <xdr:col>0</xdr:col>
      <xdr:colOff>316753</xdr:colOff>
      <xdr:row>372</xdr:row>
      <xdr:rowOff>114647</xdr:rowOff>
    </xdr:to>
    <xdr:pic>
      <xdr:nvPicPr>
        <xdr:cNvPr id="9" name="Picture 8">
          <a:extLst>
            <a:ext uri="{FF2B5EF4-FFF2-40B4-BE49-F238E27FC236}">
              <a16:creationId xmlns:a16="http://schemas.microsoft.com/office/drawing/2014/main" id="{3E7C8145-79D5-410C-AD03-FEA09AFF9D14}"/>
            </a:ext>
          </a:extLst>
        </xdr:cNvPr>
        <xdr:cNvPicPr>
          <a:picLocks noChangeAspect="1"/>
        </xdr:cNvPicPr>
      </xdr:nvPicPr>
      <xdr:blipFill>
        <a:blip xmlns:r="http://schemas.openxmlformats.org/officeDocument/2006/relationships" r:embed="rId3"/>
        <a:stretch>
          <a:fillRect/>
        </a:stretch>
      </xdr:blipFill>
      <xdr:spPr>
        <a:xfrm>
          <a:off x="142875" y="69018150"/>
          <a:ext cx="170703" cy="231668"/>
        </a:xfrm>
        <a:prstGeom prst="rect">
          <a:avLst/>
        </a:prstGeom>
      </xdr:spPr>
    </xdr:pic>
    <xdr:clientData/>
  </xdr:twoCellAnchor>
  <xdr:twoCellAnchor editAs="oneCell">
    <xdr:from>
      <xdr:col>28</xdr:col>
      <xdr:colOff>0</xdr:colOff>
      <xdr:row>371</xdr:row>
      <xdr:rowOff>0</xdr:rowOff>
    </xdr:from>
    <xdr:to>
      <xdr:col>28</xdr:col>
      <xdr:colOff>829128</xdr:colOff>
      <xdr:row>372</xdr:row>
      <xdr:rowOff>48612</xdr:rowOff>
    </xdr:to>
    <xdr:pic>
      <xdr:nvPicPr>
        <xdr:cNvPr id="10" name="Picture 9">
          <a:extLst>
            <a:ext uri="{FF2B5EF4-FFF2-40B4-BE49-F238E27FC236}">
              <a16:creationId xmlns:a16="http://schemas.microsoft.com/office/drawing/2014/main" id="{EDE39628-55C7-4D69-98BE-FF76A491817C}"/>
            </a:ext>
          </a:extLst>
        </xdr:cNvPr>
        <xdr:cNvPicPr>
          <a:picLocks noChangeAspect="1"/>
        </xdr:cNvPicPr>
      </xdr:nvPicPr>
      <xdr:blipFill>
        <a:blip xmlns:r="http://schemas.openxmlformats.org/officeDocument/2006/relationships" r:embed="rId4"/>
        <a:stretch>
          <a:fillRect/>
        </a:stretch>
      </xdr:blipFill>
      <xdr:spPr>
        <a:xfrm>
          <a:off x="27184350" y="68894325"/>
          <a:ext cx="825953" cy="286283"/>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178332</xdr:rowOff>
    </xdr:to>
    <xdr:pic>
      <xdr:nvPicPr>
        <xdr:cNvPr id="11" name="Picture 10">
          <a:extLst>
            <a:ext uri="{FF2B5EF4-FFF2-40B4-BE49-F238E27FC236}">
              <a16:creationId xmlns:a16="http://schemas.microsoft.com/office/drawing/2014/main" id="{FC9F808B-5C76-44FD-BFAA-5C971B0672C1}"/>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159283</xdr:rowOff>
    </xdr:to>
    <xdr:pic>
      <xdr:nvPicPr>
        <xdr:cNvPr id="12" name="Picture 11">
          <a:extLst>
            <a:ext uri="{FF2B5EF4-FFF2-40B4-BE49-F238E27FC236}">
              <a16:creationId xmlns:a16="http://schemas.microsoft.com/office/drawing/2014/main" id="{E913A5E2-B4CC-4AAA-B4EF-0703143B62C0}"/>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51</xdr:row>
      <xdr:rowOff>0</xdr:rowOff>
    </xdr:from>
    <xdr:to>
      <xdr:col>28</xdr:col>
      <xdr:colOff>829128</xdr:colOff>
      <xdr:row>52</xdr:row>
      <xdr:rowOff>83083</xdr:rowOff>
    </xdr:to>
    <xdr:pic>
      <xdr:nvPicPr>
        <xdr:cNvPr id="13" name="Picture 12">
          <a:extLst>
            <a:ext uri="{FF2B5EF4-FFF2-40B4-BE49-F238E27FC236}">
              <a16:creationId xmlns:a16="http://schemas.microsoft.com/office/drawing/2014/main" id="{FEAD4692-EE15-4715-9B3E-F750EACEA2AA}"/>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2AC85B37-36E3-402E-86F1-1BD1FBC1AD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FC15AAD-08DA-4CD0-9987-A436909EC48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7004E39A-E9EC-4E4D-A8A8-71C314BC0A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A7F2E33-7D0B-4BD6-950A-99EEB4C68DD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325008</xdr:colOff>
      <xdr:row>52</xdr:row>
      <xdr:rowOff>136418</xdr:rowOff>
    </xdr:to>
    <xdr:pic>
      <xdr:nvPicPr>
        <xdr:cNvPr id="6" name="Picture 5">
          <a:extLst>
            <a:ext uri="{FF2B5EF4-FFF2-40B4-BE49-F238E27FC236}">
              <a16:creationId xmlns:a16="http://schemas.microsoft.com/office/drawing/2014/main" id="{E5B249DA-5804-4A41-B05B-A982A6EB7062}"/>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31A5901E-161B-4854-9B1A-5F527F9FED3D}"/>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0</xdr:col>
      <xdr:colOff>325008</xdr:colOff>
      <xdr:row>242</xdr:row>
      <xdr:rowOff>174517</xdr:rowOff>
    </xdr:to>
    <xdr:pic>
      <xdr:nvPicPr>
        <xdr:cNvPr id="8" name="Picture 7">
          <a:extLst>
            <a:ext uri="{FF2B5EF4-FFF2-40B4-BE49-F238E27FC236}">
              <a16:creationId xmlns:a16="http://schemas.microsoft.com/office/drawing/2014/main" id="{E63E080C-DC2F-4BD2-AC4D-B548BD53C390}"/>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0</xdr:col>
      <xdr:colOff>325008</xdr:colOff>
      <xdr:row>355</xdr:row>
      <xdr:rowOff>114647</xdr:rowOff>
    </xdr:to>
    <xdr:pic>
      <xdr:nvPicPr>
        <xdr:cNvPr id="9" name="Picture 8">
          <a:extLst>
            <a:ext uri="{FF2B5EF4-FFF2-40B4-BE49-F238E27FC236}">
              <a16:creationId xmlns:a16="http://schemas.microsoft.com/office/drawing/2014/main" id="{6B600F7C-305A-43E7-9B5A-20D752657FC6}"/>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818333</xdr:colOff>
      <xdr:row>355</xdr:row>
      <xdr:rowOff>54962</xdr:rowOff>
    </xdr:to>
    <xdr:pic>
      <xdr:nvPicPr>
        <xdr:cNvPr id="10" name="Picture 9">
          <a:extLst>
            <a:ext uri="{FF2B5EF4-FFF2-40B4-BE49-F238E27FC236}">
              <a16:creationId xmlns:a16="http://schemas.microsoft.com/office/drawing/2014/main" id="{4A79B2FE-2323-45D1-AF2F-0BFDF51BD2E5}"/>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170077</xdr:rowOff>
    </xdr:to>
    <xdr:pic>
      <xdr:nvPicPr>
        <xdr:cNvPr id="11" name="Picture 10">
          <a:extLst>
            <a:ext uri="{FF2B5EF4-FFF2-40B4-BE49-F238E27FC236}">
              <a16:creationId xmlns:a16="http://schemas.microsoft.com/office/drawing/2014/main" id="{343E5A33-43A2-4593-B35C-2B09E3F502F4}"/>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20C6F9BD-8C20-445E-ADC1-203626B199C0}"/>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C7307A45-50E6-46ED-8DE6-4E42BBC37C85}"/>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043CD434-1033-4EBC-A44E-F7CF475840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B779F7E3-D285-44AD-93B1-3C0437B21A8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2D8501D3-5BE3-44F0-A696-DEE2D2703A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C7C54D7E-6C6C-4839-9A0A-E597477F11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0D912D13-2D43-4260-AC70-FE31999C2FF1}"/>
            </a:ext>
          </a:extLst>
        </xdr:cNvPr>
        <xdr:cNvPicPr>
          <a:picLocks noChangeAspect="1"/>
        </xdr:cNvPicPr>
      </xdr:nvPicPr>
      <xdr:blipFill>
        <a:blip xmlns:r="http://schemas.openxmlformats.org/officeDocument/2006/relationships" r:embed="rId3"/>
        <a:stretch>
          <a:fillRect/>
        </a:stretch>
      </xdr:blipFill>
      <xdr:spPr>
        <a:xfrm>
          <a:off x="135890" y="10810875"/>
          <a:ext cx="185308" cy="21833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47AFF3AA-8A68-4D3E-9A9B-9E5299DA319B}"/>
            </a:ext>
          </a:extLst>
        </xdr:cNvPr>
        <xdr:cNvPicPr>
          <a:picLocks noChangeAspect="1"/>
        </xdr:cNvPicPr>
      </xdr:nvPicPr>
      <xdr:blipFill>
        <a:blip xmlns:r="http://schemas.openxmlformats.org/officeDocument/2006/relationships" r:embed="rId3"/>
        <a:stretch>
          <a:fillRect/>
        </a:stretch>
      </xdr:blipFill>
      <xdr:spPr>
        <a:xfrm>
          <a:off x="168910" y="27301190"/>
          <a:ext cx="164988" cy="23293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5F058919-5267-40CA-9BD3-02666C461384}"/>
            </a:ext>
          </a:extLst>
        </xdr:cNvPr>
        <xdr:cNvPicPr>
          <a:picLocks noChangeAspect="1"/>
        </xdr:cNvPicPr>
      </xdr:nvPicPr>
      <xdr:blipFill>
        <a:blip xmlns:r="http://schemas.openxmlformats.org/officeDocument/2006/relationships" r:embed="rId3"/>
        <a:stretch>
          <a:fillRect/>
        </a:stretch>
      </xdr:blipFill>
      <xdr:spPr>
        <a:xfrm>
          <a:off x="135890" y="49596675"/>
          <a:ext cx="185308" cy="21833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DA2238F0-AE02-4E4C-9D9B-A424BC0175E2}"/>
            </a:ext>
          </a:extLst>
        </xdr:cNvPr>
        <xdr:cNvPicPr>
          <a:picLocks noChangeAspect="1"/>
        </xdr:cNvPicPr>
      </xdr:nvPicPr>
      <xdr:blipFill>
        <a:blip xmlns:r="http://schemas.openxmlformats.org/officeDocument/2006/relationships" r:embed="rId3"/>
        <a:stretch>
          <a:fillRect/>
        </a:stretch>
      </xdr:blipFill>
      <xdr:spPr>
        <a:xfrm>
          <a:off x="135890" y="72273160"/>
          <a:ext cx="18530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F147E781-28A2-4C17-963A-647B81BEB97D}"/>
            </a:ext>
          </a:extLst>
        </xdr:cNvPr>
        <xdr:cNvPicPr>
          <a:picLocks noChangeAspect="1"/>
        </xdr:cNvPicPr>
      </xdr:nvPicPr>
      <xdr:blipFill>
        <a:blip xmlns:r="http://schemas.openxmlformats.org/officeDocument/2006/relationships" r:embed="rId4"/>
        <a:stretch>
          <a:fillRect/>
        </a:stretch>
      </xdr:blipFill>
      <xdr:spPr>
        <a:xfrm>
          <a:off x="27517725" y="72142350"/>
          <a:ext cx="822143" cy="28737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CEFF47BF-7FD8-4A66-822E-97C7706B3CF1}"/>
            </a:ext>
          </a:extLst>
        </xdr:cNvPr>
        <xdr:cNvPicPr>
          <a:picLocks noChangeAspect="1"/>
        </xdr:cNvPicPr>
      </xdr:nvPicPr>
      <xdr:blipFill>
        <a:blip xmlns:r="http://schemas.openxmlformats.org/officeDocument/2006/relationships" r:embed="rId4"/>
        <a:stretch>
          <a:fillRect/>
        </a:stretch>
      </xdr:blipFill>
      <xdr:spPr>
        <a:xfrm>
          <a:off x="27577415" y="49536985"/>
          <a:ext cx="836748" cy="28120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6EB937A4-6EE9-4DC5-924D-B6DF0D44B705}"/>
            </a:ext>
          </a:extLst>
        </xdr:cNvPr>
        <xdr:cNvPicPr>
          <a:picLocks noChangeAspect="1"/>
        </xdr:cNvPicPr>
      </xdr:nvPicPr>
      <xdr:blipFill>
        <a:blip xmlns:r="http://schemas.openxmlformats.org/officeDocument/2006/relationships" r:embed="rId4"/>
        <a:stretch>
          <a:fillRect/>
        </a:stretch>
      </xdr:blipFill>
      <xdr:spPr>
        <a:xfrm>
          <a:off x="27539315" y="27203400"/>
          <a:ext cx="836748" cy="29580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5BD1667C-BB0E-44F2-A94C-A8DF875FBE88}"/>
            </a:ext>
          </a:extLst>
        </xdr:cNvPr>
        <xdr:cNvPicPr>
          <a:picLocks noChangeAspect="1"/>
        </xdr:cNvPicPr>
      </xdr:nvPicPr>
      <xdr:blipFill>
        <a:blip xmlns:r="http://schemas.openxmlformats.org/officeDocument/2006/relationships" r:embed="rId4"/>
        <a:stretch>
          <a:fillRect/>
        </a:stretch>
      </xdr:blipFill>
      <xdr:spPr>
        <a:xfrm>
          <a:off x="27517725" y="10696575"/>
          <a:ext cx="822143" cy="2958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51E9233C-4B9D-461A-AF16-D77992F9D2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AF905DB-6225-4550-A788-BDF5AB50C97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BEEB09B4-9FC8-4E91-BB77-FCDB216E5E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C590187-AA39-4882-A317-4070EB93F6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813E78ED-57F5-4967-9BC9-F5AED652F3EF}"/>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8C95625B-BD1D-4FFF-8591-DBC8D09D10C0}"/>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9250D7F4-9BFB-4D2B-B59C-E9D1761FD813}"/>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2544B4A8-19A3-4A65-8852-661F28891AEB}"/>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B3ED35A4-3FEC-4B82-94C9-B7BA8F69465F}"/>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10CD22D3-4224-40E0-A13A-571456CB6CB4}"/>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5407DBC9-D709-48B3-98B4-7123E35EBC39}"/>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C0E0C91D-3C17-4EAF-AFE0-2C525BEE315B}"/>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BF69196A-5B92-47E8-8FA5-DD86D50353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E3A70836-14EF-49B5-9002-B34B4B13560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A7FD2569-8858-489E-8A06-B00100199B7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8F30E101-2F0D-4FAC-8266-33B70AA52A0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140228</xdr:rowOff>
    </xdr:to>
    <xdr:pic>
      <xdr:nvPicPr>
        <xdr:cNvPr id="6" name="Picture 5">
          <a:extLst>
            <a:ext uri="{FF2B5EF4-FFF2-40B4-BE49-F238E27FC236}">
              <a16:creationId xmlns:a16="http://schemas.microsoft.com/office/drawing/2014/main" id="{C03F2EB2-D13E-4F5C-9F59-7FEBD1B219AF}"/>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214523</xdr:rowOff>
    </xdr:to>
    <xdr:pic>
      <xdr:nvPicPr>
        <xdr:cNvPr id="7" name="Picture 6">
          <a:extLst>
            <a:ext uri="{FF2B5EF4-FFF2-40B4-BE49-F238E27FC236}">
              <a16:creationId xmlns:a16="http://schemas.microsoft.com/office/drawing/2014/main" id="{C432F403-37EF-4B16-91BC-3877DDDABCE6}"/>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1</xdr:col>
      <xdr:colOff>2247</xdr:colOff>
      <xdr:row>242</xdr:row>
      <xdr:rowOff>178327</xdr:rowOff>
    </xdr:to>
    <xdr:pic>
      <xdr:nvPicPr>
        <xdr:cNvPr id="8" name="Picture 7">
          <a:extLst>
            <a:ext uri="{FF2B5EF4-FFF2-40B4-BE49-F238E27FC236}">
              <a16:creationId xmlns:a16="http://schemas.microsoft.com/office/drawing/2014/main" id="{85F5FA0E-2264-42C7-98EA-84153B56CE19}"/>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1</xdr:col>
      <xdr:colOff>2247</xdr:colOff>
      <xdr:row>355</xdr:row>
      <xdr:rowOff>114647</xdr:rowOff>
    </xdr:to>
    <xdr:pic>
      <xdr:nvPicPr>
        <xdr:cNvPr id="9" name="Picture 8">
          <a:extLst>
            <a:ext uri="{FF2B5EF4-FFF2-40B4-BE49-F238E27FC236}">
              <a16:creationId xmlns:a16="http://schemas.microsoft.com/office/drawing/2014/main" id="{6E6EA268-95EE-4C4F-AE0C-48CF433ED766}"/>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823413</xdr:colOff>
      <xdr:row>355</xdr:row>
      <xdr:rowOff>60042</xdr:rowOff>
    </xdr:to>
    <xdr:pic>
      <xdr:nvPicPr>
        <xdr:cNvPr id="10" name="Picture 9">
          <a:extLst>
            <a:ext uri="{FF2B5EF4-FFF2-40B4-BE49-F238E27FC236}">
              <a16:creationId xmlns:a16="http://schemas.microsoft.com/office/drawing/2014/main" id="{51D768EC-3582-46F7-A75C-93BED6748F4D}"/>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897708</xdr:colOff>
      <xdr:row>242</xdr:row>
      <xdr:rowOff>175157</xdr:rowOff>
    </xdr:to>
    <xdr:pic>
      <xdr:nvPicPr>
        <xdr:cNvPr id="11" name="Picture 10">
          <a:extLst>
            <a:ext uri="{FF2B5EF4-FFF2-40B4-BE49-F238E27FC236}">
              <a16:creationId xmlns:a16="http://schemas.microsoft.com/office/drawing/2014/main" id="{1F351248-9B8E-4F9A-8276-E040EB66FB16}"/>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859608</xdr:colOff>
      <xdr:row>131</xdr:row>
      <xdr:rowOff>173253</xdr:rowOff>
    </xdr:to>
    <xdr:pic>
      <xdr:nvPicPr>
        <xdr:cNvPr id="12" name="Picture 11">
          <a:extLst>
            <a:ext uri="{FF2B5EF4-FFF2-40B4-BE49-F238E27FC236}">
              <a16:creationId xmlns:a16="http://schemas.microsoft.com/office/drawing/2014/main" id="{45CC9674-E48A-404C-9172-38A8CD042CC5}"/>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823413</xdr:colOff>
      <xdr:row>52</xdr:row>
      <xdr:rowOff>97053</xdr:rowOff>
    </xdr:to>
    <xdr:pic>
      <xdr:nvPicPr>
        <xdr:cNvPr id="13" name="Picture 12">
          <a:extLst>
            <a:ext uri="{FF2B5EF4-FFF2-40B4-BE49-F238E27FC236}">
              <a16:creationId xmlns:a16="http://schemas.microsoft.com/office/drawing/2014/main" id="{B79C1096-68B1-4E2C-8D70-E7A24A77D8E3}"/>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E4218650-0FC0-4670-9410-5164615753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723423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9CB8F4E0-D67E-4EDF-9713-E34D8BBC8E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49644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E5FA84CE-22D4-4276-A15D-DFAA0299F7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91B87F63-789B-4BD3-9EA7-4D5E869651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138958</xdr:rowOff>
    </xdr:to>
    <xdr:pic>
      <xdr:nvPicPr>
        <xdr:cNvPr id="6" name="Picture 5">
          <a:extLst>
            <a:ext uri="{FF2B5EF4-FFF2-40B4-BE49-F238E27FC236}">
              <a16:creationId xmlns:a16="http://schemas.microsoft.com/office/drawing/2014/main" id="{39DF866A-4B71-48FE-9B2C-51028AB815C9}"/>
            </a:ext>
          </a:extLst>
        </xdr:cNvPr>
        <xdr:cNvPicPr>
          <a:picLocks noChangeAspect="1"/>
        </xdr:cNvPicPr>
      </xdr:nvPicPr>
      <xdr:blipFill>
        <a:blip xmlns:r="http://schemas.openxmlformats.org/officeDocument/2006/relationships" r:embed="rId3"/>
        <a:stretch>
          <a:fillRect/>
        </a:stretch>
      </xdr:blipFill>
      <xdr:spPr>
        <a:xfrm>
          <a:off x="139700" y="10829925"/>
          <a:ext cx="181498" cy="21833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213253</xdr:rowOff>
    </xdr:to>
    <xdr:pic>
      <xdr:nvPicPr>
        <xdr:cNvPr id="7" name="Picture 6">
          <a:extLst>
            <a:ext uri="{FF2B5EF4-FFF2-40B4-BE49-F238E27FC236}">
              <a16:creationId xmlns:a16="http://schemas.microsoft.com/office/drawing/2014/main" id="{9BD7307D-8C36-490D-86F7-28B0F7572907}"/>
            </a:ext>
          </a:extLst>
        </xdr:cNvPr>
        <xdr:cNvPicPr>
          <a:picLocks noChangeAspect="1"/>
        </xdr:cNvPicPr>
      </xdr:nvPicPr>
      <xdr:blipFill>
        <a:blip xmlns:r="http://schemas.openxmlformats.org/officeDocument/2006/relationships" r:embed="rId3"/>
        <a:stretch>
          <a:fillRect/>
        </a:stretch>
      </xdr:blipFill>
      <xdr:spPr>
        <a:xfrm>
          <a:off x="165100" y="27343100"/>
          <a:ext cx="178323" cy="229128"/>
        </a:xfrm>
        <a:prstGeom prst="rect">
          <a:avLst/>
        </a:prstGeom>
      </xdr:spPr>
    </xdr:pic>
    <xdr:clientData/>
  </xdr:twoCellAnchor>
  <xdr:twoCellAnchor editAs="oneCell">
    <xdr:from>
      <xdr:col>0</xdr:col>
      <xdr:colOff>139700</xdr:colOff>
      <xdr:row>241</xdr:row>
      <xdr:rowOff>152400</xdr:rowOff>
    </xdr:from>
    <xdr:to>
      <xdr:col>1</xdr:col>
      <xdr:colOff>2247</xdr:colOff>
      <xdr:row>242</xdr:row>
      <xdr:rowOff>177057</xdr:rowOff>
    </xdr:to>
    <xdr:pic>
      <xdr:nvPicPr>
        <xdr:cNvPr id="8" name="Picture 7">
          <a:extLst>
            <a:ext uri="{FF2B5EF4-FFF2-40B4-BE49-F238E27FC236}">
              <a16:creationId xmlns:a16="http://schemas.microsoft.com/office/drawing/2014/main" id="{88C58595-A032-43B2-A5AC-B7409CD78E99}"/>
            </a:ext>
          </a:extLst>
        </xdr:cNvPr>
        <xdr:cNvPicPr>
          <a:picLocks noChangeAspect="1"/>
        </xdr:cNvPicPr>
      </xdr:nvPicPr>
      <xdr:blipFill>
        <a:blip xmlns:r="http://schemas.openxmlformats.org/officeDocument/2006/relationships" r:embed="rId3"/>
        <a:stretch>
          <a:fillRect/>
        </a:stretch>
      </xdr:blipFill>
      <xdr:spPr>
        <a:xfrm>
          <a:off x="139700" y="49644300"/>
          <a:ext cx="181498" cy="218332"/>
        </a:xfrm>
        <a:prstGeom prst="rect">
          <a:avLst/>
        </a:prstGeom>
      </xdr:spPr>
    </xdr:pic>
    <xdr:clientData/>
  </xdr:twoCellAnchor>
  <xdr:twoCellAnchor editAs="oneCell">
    <xdr:from>
      <xdr:col>0</xdr:col>
      <xdr:colOff>139700</xdr:colOff>
      <xdr:row>354</xdr:row>
      <xdr:rowOff>127000</xdr:rowOff>
    </xdr:from>
    <xdr:to>
      <xdr:col>1</xdr:col>
      <xdr:colOff>2247</xdr:colOff>
      <xdr:row>355</xdr:row>
      <xdr:rowOff>114647</xdr:rowOff>
    </xdr:to>
    <xdr:pic>
      <xdr:nvPicPr>
        <xdr:cNvPr id="9" name="Picture 8">
          <a:extLst>
            <a:ext uri="{FF2B5EF4-FFF2-40B4-BE49-F238E27FC236}">
              <a16:creationId xmlns:a16="http://schemas.microsoft.com/office/drawing/2014/main" id="{60E02229-E6D8-498D-AC3F-A796583DC66A}"/>
            </a:ext>
          </a:extLst>
        </xdr:cNvPr>
        <xdr:cNvPicPr>
          <a:picLocks noChangeAspect="1"/>
        </xdr:cNvPicPr>
      </xdr:nvPicPr>
      <xdr:blipFill>
        <a:blip xmlns:r="http://schemas.openxmlformats.org/officeDocument/2006/relationships" r:embed="rId3"/>
        <a:stretch>
          <a:fillRect/>
        </a:stretch>
      </xdr:blipFill>
      <xdr:spPr>
        <a:xfrm>
          <a:off x="139700" y="72345550"/>
          <a:ext cx="181498" cy="225772"/>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7022F9E0-5BFA-4BC7-B238-780819E3BAC6}"/>
            </a:ext>
          </a:extLst>
        </xdr:cNvPr>
        <xdr:cNvPicPr>
          <a:picLocks noChangeAspect="1"/>
        </xdr:cNvPicPr>
      </xdr:nvPicPr>
      <xdr:blipFill>
        <a:blip xmlns:r="http://schemas.openxmlformats.org/officeDocument/2006/relationships" r:embed="rId4"/>
        <a:stretch>
          <a:fillRect/>
        </a:stretch>
      </xdr:blipFill>
      <xdr:spPr>
        <a:xfrm>
          <a:off x="28136850" y="72218550"/>
          <a:ext cx="822143" cy="296897"/>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EEA256CD-96CD-4EF7-BAB2-BC70C5AA4E97}"/>
            </a:ext>
          </a:extLst>
        </xdr:cNvPr>
        <xdr:cNvPicPr>
          <a:picLocks noChangeAspect="1"/>
        </xdr:cNvPicPr>
      </xdr:nvPicPr>
      <xdr:blipFill>
        <a:blip xmlns:r="http://schemas.openxmlformats.org/officeDocument/2006/relationships" r:embed="rId4"/>
        <a:stretch>
          <a:fillRect/>
        </a:stretch>
      </xdr:blipFill>
      <xdr:spPr>
        <a:xfrm>
          <a:off x="28200350" y="49580800"/>
          <a:ext cx="832938" cy="28501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178333</xdr:rowOff>
    </xdr:to>
    <xdr:pic>
      <xdr:nvPicPr>
        <xdr:cNvPr id="12" name="Picture 11">
          <a:extLst>
            <a:ext uri="{FF2B5EF4-FFF2-40B4-BE49-F238E27FC236}">
              <a16:creationId xmlns:a16="http://schemas.microsoft.com/office/drawing/2014/main" id="{FCDE6D53-B9AE-454D-9257-AF2795E72C27}"/>
            </a:ext>
          </a:extLst>
        </xdr:cNvPr>
        <xdr:cNvPicPr>
          <a:picLocks noChangeAspect="1"/>
        </xdr:cNvPicPr>
      </xdr:nvPicPr>
      <xdr:blipFill>
        <a:blip xmlns:r="http://schemas.openxmlformats.org/officeDocument/2006/relationships" r:embed="rId4"/>
        <a:stretch>
          <a:fillRect/>
        </a:stretch>
      </xdr:blipFill>
      <xdr:spPr>
        <a:xfrm>
          <a:off x="28162250" y="27241500"/>
          <a:ext cx="832938" cy="295808"/>
        </a:xfrm>
        <a:prstGeom prst="rect">
          <a:avLst/>
        </a:prstGeom>
      </xdr:spPr>
    </xdr:pic>
    <xdr:clientData/>
  </xdr:twoCellAnchor>
  <xdr:twoCellAnchor editAs="oneCell">
    <xdr:from>
      <xdr:col>28</xdr:col>
      <xdr:colOff>0</xdr:colOff>
      <xdr:row>51</xdr:row>
      <xdr:rowOff>0</xdr:rowOff>
    </xdr:from>
    <xdr:to>
      <xdr:col>28</xdr:col>
      <xdr:colOff>822143</xdr:colOff>
      <xdr:row>52</xdr:row>
      <xdr:rowOff>102133</xdr:rowOff>
    </xdr:to>
    <xdr:pic>
      <xdr:nvPicPr>
        <xdr:cNvPr id="13" name="Picture 12">
          <a:extLst>
            <a:ext uri="{FF2B5EF4-FFF2-40B4-BE49-F238E27FC236}">
              <a16:creationId xmlns:a16="http://schemas.microsoft.com/office/drawing/2014/main" id="{E6E9967E-660A-43A8-80D1-5DACA6F60F19}"/>
            </a:ext>
          </a:extLst>
        </xdr:cNvPr>
        <xdr:cNvPicPr>
          <a:picLocks noChangeAspect="1"/>
        </xdr:cNvPicPr>
      </xdr:nvPicPr>
      <xdr:blipFill>
        <a:blip xmlns:r="http://schemas.openxmlformats.org/officeDocument/2006/relationships" r:embed="rId4"/>
        <a:stretch>
          <a:fillRect/>
        </a:stretch>
      </xdr:blipFill>
      <xdr:spPr>
        <a:xfrm>
          <a:off x="28136850" y="10715625"/>
          <a:ext cx="822143" cy="2958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2CA7348F-5D2F-4BB2-B01B-0167605F760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879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ED693D11-511C-4203-BFA2-FD2C4EB319B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689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0EF08AD1-2A78-4996-8F73-6739F3C2DFE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6260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A352B5CD-2099-4322-846A-00DDC9E000D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6260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135148</xdr:rowOff>
    </xdr:to>
    <xdr:pic>
      <xdr:nvPicPr>
        <xdr:cNvPr id="6" name="Picture 5">
          <a:extLst>
            <a:ext uri="{FF2B5EF4-FFF2-40B4-BE49-F238E27FC236}">
              <a16:creationId xmlns:a16="http://schemas.microsoft.com/office/drawing/2014/main" id="{96130A8B-2A6E-403B-A677-7A5F68AF63BE}"/>
            </a:ext>
          </a:extLst>
        </xdr:cNvPr>
        <xdr:cNvPicPr>
          <a:picLocks noChangeAspect="1"/>
        </xdr:cNvPicPr>
      </xdr:nvPicPr>
      <xdr:blipFill>
        <a:blip xmlns:r="http://schemas.openxmlformats.org/officeDocument/2006/relationships" r:embed="rId3"/>
        <a:stretch>
          <a:fillRect/>
        </a:stretch>
      </xdr:blipFill>
      <xdr:spPr>
        <a:xfrm>
          <a:off x="135890" y="10810875"/>
          <a:ext cx="199732" cy="21706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214523</xdr:rowOff>
    </xdr:to>
    <xdr:pic>
      <xdr:nvPicPr>
        <xdr:cNvPr id="7" name="Picture 6">
          <a:extLst>
            <a:ext uri="{FF2B5EF4-FFF2-40B4-BE49-F238E27FC236}">
              <a16:creationId xmlns:a16="http://schemas.microsoft.com/office/drawing/2014/main" id="{32BBB128-E86D-402A-BCDF-DFBAB8E77129}"/>
            </a:ext>
          </a:extLst>
        </xdr:cNvPr>
        <xdr:cNvPicPr>
          <a:picLocks noChangeAspect="1"/>
        </xdr:cNvPicPr>
      </xdr:nvPicPr>
      <xdr:blipFill>
        <a:blip xmlns:r="http://schemas.openxmlformats.org/officeDocument/2006/relationships" r:embed="rId3"/>
        <a:stretch>
          <a:fillRect/>
        </a:stretch>
      </xdr:blipFill>
      <xdr:spPr>
        <a:xfrm>
          <a:off x="168910" y="27301190"/>
          <a:ext cx="164988" cy="238018"/>
        </a:xfrm>
        <a:prstGeom prst="rect">
          <a:avLst/>
        </a:prstGeom>
      </xdr:spPr>
    </xdr:pic>
    <xdr:clientData/>
  </xdr:twoCellAnchor>
  <xdr:twoCellAnchor editAs="oneCell">
    <xdr:from>
      <xdr:col>0</xdr:col>
      <xdr:colOff>139700</xdr:colOff>
      <xdr:row>241</xdr:row>
      <xdr:rowOff>152400</xdr:rowOff>
    </xdr:from>
    <xdr:to>
      <xdr:col>1</xdr:col>
      <xdr:colOff>2247</xdr:colOff>
      <xdr:row>242</xdr:row>
      <xdr:rowOff>173247</xdr:rowOff>
    </xdr:to>
    <xdr:pic>
      <xdr:nvPicPr>
        <xdr:cNvPr id="8" name="Picture 7">
          <a:extLst>
            <a:ext uri="{FF2B5EF4-FFF2-40B4-BE49-F238E27FC236}">
              <a16:creationId xmlns:a16="http://schemas.microsoft.com/office/drawing/2014/main" id="{508F973A-B033-4381-A381-44B322419EB7}"/>
            </a:ext>
          </a:extLst>
        </xdr:cNvPr>
        <xdr:cNvPicPr>
          <a:picLocks noChangeAspect="1"/>
        </xdr:cNvPicPr>
      </xdr:nvPicPr>
      <xdr:blipFill>
        <a:blip xmlns:r="http://schemas.openxmlformats.org/officeDocument/2006/relationships" r:embed="rId3"/>
        <a:stretch>
          <a:fillRect/>
        </a:stretch>
      </xdr:blipFill>
      <xdr:spPr>
        <a:xfrm>
          <a:off x="135890" y="49596675"/>
          <a:ext cx="199732" cy="217062"/>
        </a:xfrm>
        <a:prstGeom prst="rect">
          <a:avLst/>
        </a:prstGeom>
      </xdr:spPr>
    </xdr:pic>
    <xdr:clientData/>
  </xdr:twoCellAnchor>
  <xdr:twoCellAnchor editAs="oneCell">
    <xdr:from>
      <xdr:col>0</xdr:col>
      <xdr:colOff>139700</xdr:colOff>
      <xdr:row>354</xdr:row>
      <xdr:rowOff>127000</xdr:rowOff>
    </xdr:from>
    <xdr:to>
      <xdr:col>1</xdr:col>
      <xdr:colOff>2247</xdr:colOff>
      <xdr:row>355</xdr:row>
      <xdr:rowOff>114647</xdr:rowOff>
    </xdr:to>
    <xdr:pic>
      <xdr:nvPicPr>
        <xdr:cNvPr id="9" name="Picture 8">
          <a:extLst>
            <a:ext uri="{FF2B5EF4-FFF2-40B4-BE49-F238E27FC236}">
              <a16:creationId xmlns:a16="http://schemas.microsoft.com/office/drawing/2014/main" id="{568B9C22-9BFF-4144-8D62-3D68DA52704F}"/>
            </a:ext>
          </a:extLst>
        </xdr:cNvPr>
        <xdr:cNvPicPr>
          <a:picLocks noChangeAspect="1"/>
        </xdr:cNvPicPr>
      </xdr:nvPicPr>
      <xdr:blipFill>
        <a:blip xmlns:r="http://schemas.openxmlformats.org/officeDocument/2006/relationships" r:embed="rId3"/>
        <a:stretch>
          <a:fillRect/>
        </a:stretch>
      </xdr:blipFill>
      <xdr:spPr>
        <a:xfrm>
          <a:off x="135890" y="72273160"/>
          <a:ext cx="199732" cy="212437"/>
        </a:xfrm>
        <a:prstGeom prst="rect">
          <a:avLst/>
        </a:prstGeom>
      </xdr:spPr>
    </xdr:pic>
    <xdr:clientData/>
  </xdr:twoCellAnchor>
  <xdr:twoCellAnchor editAs="oneCell">
    <xdr:from>
      <xdr:col>28</xdr:col>
      <xdr:colOff>0</xdr:colOff>
      <xdr:row>354</xdr:row>
      <xdr:rowOff>0</xdr:rowOff>
    </xdr:from>
    <xdr:to>
      <xdr:col>28</xdr:col>
      <xdr:colOff>823413</xdr:colOff>
      <xdr:row>355</xdr:row>
      <xdr:rowOff>58772</xdr:rowOff>
    </xdr:to>
    <xdr:pic>
      <xdr:nvPicPr>
        <xdr:cNvPr id="10" name="Picture 9">
          <a:extLst>
            <a:ext uri="{FF2B5EF4-FFF2-40B4-BE49-F238E27FC236}">
              <a16:creationId xmlns:a16="http://schemas.microsoft.com/office/drawing/2014/main" id="{D2424978-D9B0-4808-9A7D-F2F8FBCEFACC}"/>
            </a:ext>
          </a:extLst>
        </xdr:cNvPr>
        <xdr:cNvPicPr>
          <a:picLocks noChangeAspect="1"/>
        </xdr:cNvPicPr>
      </xdr:nvPicPr>
      <xdr:blipFill>
        <a:blip xmlns:r="http://schemas.openxmlformats.org/officeDocument/2006/relationships" r:embed="rId4"/>
        <a:stretch>
          <a:fillRect/>
        </a:stretch>
      </xdr:blipFill>
      <xdr:spPr>
        <a:xfrm>
          <a:off x="27470100" y="72142350"/>
          <a:ext cx="820873" cy="286102"/>
        </a:xfrm>
        <a:prstGeom prst="rect">
          <a:avLst/>
        </a:prstGeom>
      </xdr:spPr>
    </xdr:pic>
    <xdr:clientData/>
  </xdr:twoCellAnchor>
  <xdr:twoCellAnchor editAs="oneCell">
    <xdr:from>
      <xdr:col>28</xdr:col>
      <xdr:colOff>63500</xdr:colOff>
      <xdr:row>241</xdr:row>
      <xdr:rowOff>88900</xdr:rowOff>
    </xdr:from>
    <xdr:to>
      <xdr:col>28</xdr:col>
      <xdr:colOff>898978</xdr:colOff>
      <xdr:row>242</xdr:row>
      <xdr:rowOff>175157</xdr:rowOff>
    </xdr:to>
    <xdr:pic>
      <xdr:nvPicPr>
        <xdr:cNvPr id="11" name="Picture 10">
          <a:extLst>
            <a:ext uri="{FF2B5EF4-FFF2-40B4-BE49-F238E27FC236}">
              <a16:creationId xmlns:a16="http://schemas.microsoft.com/office/drawing/2014/main" id="{32CC80E9-84A3-4335-8487-6E1FAF1DBB2B}"/>
            </a:ext>
          </a:extLst>
        </xdr:cNvPr>
        <xdr:cNvPicPr>
          <a:picLocks noChangeAspect="1"/>
        </xdr:cNvPicPr>
      </xdr:nvPicPr>
      <xdr:blipFill>
        <a:blip xmlns:r="http://schemas.openxmlformats.org/officeDocument/2006/relationships" r:embed="rId4"/>
        <a:stretch>
          <a:fillRect/>
        </a:stretch>
      </xdr:blipFill>
      <xdr:spPr>
        <a:xfrm>
          <a:off x="27529790" y="49536985"/>
          <a:ext cx="835478" cy="279932"/>
        </a:xfrm>
        <a:prstGeom prst="rect">
          <a:avLst/>
        </a:prstGeom>
      </xdr:spPr>
    </xdr:pic>
    <xdr:clientData/>
  </xdr:twoCellAnchor>
  <xdr:twoCellAnchor editAs="oneCell">
    <xdr:from>
      <xdr:col>28</xdr:col>
      <xdr:colOff>25400</xdr:colOff>
      <xdr:row>130</xdr:row>
      <xdr:rowOff>76200</xdr:rowOff>
    </xdr:from>
    <xdr:to>
      <xdr:col>28</xdr:col>
      <xdr:colOff>860878</xdr:colOff>
      <xdr:row>131</xdr:row>
      <xdr:rowOff>174523</xdr:rowOff>
    </xdr:to>
    <xdr:pic>
      <xdr:nvPicPr>
        <xdr:cNvPr id="12" name="Picture 11">
          <a:extLst>
            <a:ext uri="{FF2B5EF4-FFF2-40B4-BE49-F238E27FC236}">
              <a16:creationId xmlns:a16="http://schemas.microsoft.com/office/drawing/2014/main" id="{76F93302-401E-4D1E-9DE6-CBB0EE91F69A}"/>
            </a:ext>
          </a:extLst>
        </xdr:cNvPr>
        <xdr:cNvPicPr>
          <a:picLocks noChangeAspect="1"/>
        </xdr:cNvPicPr>
      </xdr:nvPicPr>
      <xdr:blipFill>
        <a:blip xmlns:r="http://schemas.openxmlformats.org/officeDocument/2006/relationships" r:embed="rId4"/>
        <a:stretch>
          <a:fillRect/>
        </a:stretch>
      </xdr:blipFill>
      <xdr:spPr>
        <a:xfrm>
          <a:off x="27491690" y="27203400"/>
          <a:ext cx="835478" cy="294538"/>
        </a:xfrm>
        <a:prstGeom prst="rect">
          <a:avLst/>
        </a:prstGeom>
      </xdr:spPr>
    </xdr:pic>
    <xdr:clientData/>
  </xdr:twoCellAnchor>
  <xdr:twoCellAnchor editAs="oneCell">
    <xdr:from>
      <xdr:col>28</xdr:col>
      <xdr:colOff>0</xdr:colOff>
      <xdr:row>51</xdr:row>
      <xdr:rowOff>0</xdr:rowOff>
    </xdr:from>
    <xdr:to>
      <xdr:col>28</xdr:col>
      <xdr:colOff>823413</xdr:colOff>
      <xdr:row>52</xdr:row>
      <xdr:rowOff>98323</xdr:rowOff>
    </xdr:to>
    <xdr:pic>
      <xdr:nvPicPr>
        <xdr:cNvPr id="13" name="Picture 12">
          <a:extLst>
            <a:ext uri="{FF2B5EF4-FFF2-40B4-BE49-F238E27FC236}">
              <a16:creationId xmlns:a16="http://schemas.microsoft.com/office/drawing/2014/main" id="{21724D12-3FC2-4E77-A95C-B3D729CB4E54}"/>
            </a:ext>
          </a:extLst>
        </xdr:cNvPr>
        <xdr:cNvPicPr>
          <a:picLocks noChangeAspect="1"/>
        </xdr:cNvPicPr>
      </xdr:nvPicPr>
      <xdr:blipFill>
        <a:blip xmlns:r="http://schemas.openxmlformats.org/officeDocument/2006/relationships" r:embed="rId4"/>
        <a:stretch>
          <a:fillRect/>
        </a:stretch>
      </xdr:blipFill>
      <xdr:spPr>
        <a:xfrm>
          <a:off x="27470100" y="10696575"/>
          <a:ext cx="820873" cy="294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3D8E17CE-CD42-4012-88F3-131B9FCCBC9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E6811B6-F386-4D24-A097-64059927A7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2B0BE14F-F688-45B3-ACFE-1B79B011AF7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869F3E3-A378-4758-8BAA-B85F356AFA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C0F1DFAC-9338-45D0-861A-67A7537850D0}"/>
            </a:ext>
          </a:extLst>
        </xdr:cNvPr>
        <xdr:cNvPicPr>
          <a:picLocks noChangeAspect="1"/>
        </xdr:cNvPicPr>
      </xdr:nvPicPr>
      <xdr:blipFill>
        <a:blip xmlns:r="http://schemas.openxmlformats.org/officeDocument/2006/relationships" r:embed="rId3"/>
        <a:stretch>
          <a:fillRect/>
        </a:stretch>
      </xdr:blipFill>
      <xdr:spPr>
        <a:xfrm>
          <a:off x="142875" y="10810875"/>
          <a:ext cx="170703" cy="23166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203093</xdr:rowOff>
    </xdr:to>
    <xdr:pic>
      <xdr:nvPicPr>
        <xdr:cNvPr id="7" name="Picture 6">
          <a:extLst>
            <a:ext uri="{FF2B5EF4-FFF2-40B4-BE49-F238E27FC236}">
              <a16:creationId xmlns:a16="http://schemas.microsoft.com/office/drawing/2014/main" id="{5E9FCD9E-071F-47FB-B44A-299AD0B11D7F}"/>
            </a:ext>
          </a:extLst>
        </xdr:cNvPr>
        <xdr:cNvPicPr>
          <a:picLocks noChangeAspect="1"/>
        </xdr:cNvPicPr>
      </xdr:nvPicPr>
      <xdr:blipFill>
        <a:blip xmlns:r="http://schemas.openxmlformats.org/officeDocument/2006/relationships" r:embed="rId3"/>
        <a:stretch>
          <a:fillRect/>
        </a:stretch>
      </xdr:blipFill>
      <xdr:spPr>
        <a:xfrm>
          <a:off x="161925" y="27317700"/>
          <a:ext cx="171973" cy="222143"/>
        </a:xfrm>
        <a:prstGeom prst="rect">
          <a:avLst/>
        </a:prstGeom>
      </xdr:spPr>
    </xdr:pic>
    <xdr:clientData/>
  </xdr:twoCellAnchor>
  <xdr:twoCellAnchor editAs="oneCell">
    <xdr:from>
      <xdr:col>0</xdr:col>
      <xdr:colOff>139700</xdr:colOff>
      <xdr:row>241</xdr:row>
      <xdr:rowOff>152400</xdr:rowOff>
    </xdr:from>
    <xdr:to>
      <xdr:col>0</xdr:col>
      <xdr:colOff>313578</xdr:colOff>
      <xdr:row>242</xdr:row>
      <xdr:rowOff>184042</xdr:rowOff>
    </xdr:to>
    <xdr:pic>
      <xdr:nvPicPr>
        <xdr:cNvPr id="8" name="Picture 7">
          <a:extLst>
            <a:ext uri="{FF2B5EF4-FFF2-40B4-BE49-F238E27FC236}">
              <a16:creationId xmlns:a16="http://schemas.microsoft.com/office/drawing/2014/main" id="{9811EE00-E740-433F-B312-4005EC144A14}"/>
            </a:ext>
          </a:extLst>
        </xdr:cNvPr>
        <xdr:cNvPicPr>
          <a:picLocks noChangeAspect="1"/>
        </xdr:cNvPicPr>
      </xdr:nvPicPr>
      <xdr:blipFill>
        <a:blip xmlns:r="http://schemas.openxmlformats.org/officeDocument/2006/relationships" r:embed="rId3"/>
        <a:stretch>
          <a:fillRect/>
        </a:stretch>
      </xdr:blipFill>
      <xdr:spPr>
        <a:xfrm>
          <a:off x="142875" y="49530000"/>
          <a:ext cx="170703" cy="231667"/>
        </a:xfrm>
        <a:prstGeom prst="rect">
          <a:avLst/>
        </a:prstGeom>
      </xdr:spPr>
    </xdr:pic>
    <xdr:clientData/>
  </xdr:twoCellAnchor>
  <xdr:twoCellAnchor editAs="oneCell">
    <xdr:from>
      <xdr:col>0</xdr:col>
      <xdr:colOff>139700</xdr:colOff>
      <xdr:row>371</xdr:row>
      <xdr:rowOff>127000</xdr:rowOff>
    </xdr:from>
    <xdr:to>
      <xdr:col>0</xdr:col>
      <xdr:colOff>313578</xdr:colOff>
      <xdr:row>372</xdr:row>
      <xdr:rowOff>114647</xdr:rowOff>
    </xdr:to>
    <xdr:pic>
      <xdr:nvPicPr>
        <xdr:cNvPr id="9" name="Picture 8">
          <a:extLst>
            <a:ext uri="{FF2B5EF4-FFF2-40B4-BE49-F238E27FC236}">
              <a16:creationId xmlns:a16="http://schemas.microsoft.com/office/drawing/2014/main" id="{FEFBB37A-5458-4CA8-B15E-40656DD9728B}"/>
            </a:ext>
          </a:extLst>
        </xdr:cNvPr>
        <xdr:cNvPicPr>
          <a:picLocks noChangeAspect="1"/>
        </xdr:cNvPicPr>
      </xdr:nvPicPr>
      <xdr:blipFill>
        <a:blip xmlns:r="http://schemas.openxmlformats.org/officeDocument/2006/relationships" r:embed="rId3"/>
        <a:stretch>
          <a:fillRect/>
        </a:stretch>
      </xdr:blipFill>
      <xdr:spPr>
        <a:xfrm>
          <a:off x="142875" y="75618975"/>
          <a:ext cx="170703" cy="228947"/>
        </a:xfrm>
        <a:prstGeom prst="rect">
          <a:avLst/>
        </a:prstGeom>
      </xdr:spPr>
    </xdr:pic>
    <xdr:clientData/>
  </xdr:twoCellAnchor>
  <xdr:twoCellAnchor editAs="oneCell">
    <xdr:from>
      <xdr:col>28</xdr:col>
      <xdr:colOff>0</xdr:colOff>
      <xdr:row>371</xdr:row>
      <xdr:rowOff>0</xdr:rowOff>
    </xdr:from>
    <xdr:to>
      <xdr:col>28</xdr:col>
      <xdr:colOff>825953</xdr:colOff>
      <xdr:row>372</xdr:row>
      <xdr:rowOff>45437</xdr:rowOff>
    </xdr:to>
    <xdr:pic>
      <xdr:nvPicPr>
        <xdr:cNvPr id="10" name="Picture 9">
          <a:extLst>
            <a:ext uri="{FF2B5EF4-FFF2-40B4-BE49-F238E27FC236}">
              <a16:creationId xmlns:a16="http://schemas.microsoft.com/office/drawing/2014/main" id="{2E6CEC84-87D9-434B-A4CF-E80E15036E94}"/>
            </a:ext>
          </a:extLst>
        </xdr:cNvPr>
        <xdr:cNvPicPr>
          <a:picLocks noChangeAspect="1"/>
        </xdr:cNvPicPr>
      </xdr:nvPicPr>
      <xdr:blipFill>
        <a:blip xmlns:r="http://schemas.openxmlformats.org/officeDocument/2006/relationships" r:embed="rId4"/>
        <a:stretch>
          <a:fillRect/>
        </a:stretch>
      </xdr:blipFill>
      <xdr:spPr>
        <a:xfrm>
          <a:off x="27184350" y="75495150"/>
          <a:ext cx="825953" cy="283562"/>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181507</xdr:rowOff>
    </xdr:to>
    <xdr:pic>
      <xdr:nvPicPr>
        <xdr:cNvPr id="11" name="Picture 10">
          <a:extLst>
            <a:ext uri="{FF2B5EF4-FFF2-40B4-BE49-F238E27FC236}">
              <a16:creationId xmlns:a16="http://schemas.microsoft.com/office/drawing/2014/main" id="{C0323725-09D7-401B-B06B-207F692B5028}"/>
            </a:ext>
          </a:extLst>
        </xdr:cNvPr>
        <xdr:cNvPicPr>
          <a:picLocks noChangeAspect="1"/>
        </xdr:cNvPicPr>
      </xdr:nvPicPr>
      <xdr:blipFill>
        <a:blip xmlns:r="http://schemas.openxmlformats.org/officeDocument/2006/relationships" r:embed="rId4"/>
        <a:stretch>
          <a:fillRect/>
        </a:stretch>
      </xdr:blipFill>
      <xdr:spPr>
        <a:xfrm>
          <a:off x="27251025" y="49463325"/>
          <a:ext cx="825953" cy="29580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162458</xdr:rowOff>
    </xdr:to>
    <xdr:pic>
      <xdr:nvPicPr>
        <xdr:cNvPr id="12" name="Picture 11">
          <a:extLst>
            <a:ext uri="{FF2B5EF4-FFF2-40B4-BE49-F238E27FC236}">
              <a16:creationId xmlns:a16="http://schemas.microsoft.com/office/drawing/2014/main" id="{65F654AB-1753-4108-8044-9995DDFD5531}"/>
            </a:ext>
          </a:extLst>
        </xdr:cNvPr>
        <xdr:cNvPicPr>
          <a:picLocks noChangeAspect="1"/>
        </xdr:cNvPicPr>
      </xdr:nvPicPr>
      <xdr:blipFill>
        <a:blip xmlns:r="http://schemas.openxmlformats.org/officeDocument/2006/relationships" r:embed="rId4"/>
        <a:stretch>
          <a:fillRect/>
        </a:stretch>
      </xdr:blipFill>
      <xdr:spPr>
        <a:xfrm>
          <a:off x="27212925" y="27212925"/>
          <a:ext cx="825953" cy="286283"/>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C17BEF1C-61B9-4F83-84FA-A726864C28A9}"/>
            </a:ext>
          </a:extLst>
        </xdr:cNvPr>
        <xdr:cNvPicPr>
          <a:picLocks noChangeAspect="1"/>
        </xdr:cNvPicPr>
      </xdr:nvPicPr>
      <xdr:blipFill>
        <a:blip xmlns:r="http://schemas.openxmlformats.org/officeDocument/2006/relationships" r:embed="rId4"/>
        <a:stretch>
          <a:fillRect/>
        </a:stretch>
      </xdr:blipFill>
      <xdr:spPr>
        <a:xfrm>
          <a:off x="27184350" y="10696575"/>
          <a:ext cx="825953" cy="286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282E4620-3702-40E8-8A73-3FE994F167A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BE7B1CE-B298-4804-B82F-D0D3B712F49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CAB819F0-DDA2-4A14-B8FC-D07DC26BB3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C44A057A-27F5-491F-BEC8-E7382A2D0C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639F8F2B-3098-43C8-B922-E5FBC5B94813}"/>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203093</xdr:rowOff>
    </xdr:to>
    <xdr:pic>
      <xdr:nvPicPr>
        <xdr:cNvPr id="7" name="Picture 6">
          <a:extLst>
            <a:ext uri="{FF2B5EF4-FFF2-40B4-BE49-F238E27FC236}">
              <a16:creationId xmlns:a16="http://schemas.microsoft.com/office/drawing/2014/main" id="{755FD172-5637-4B27-9CEC-7972FDC65965}"/>
            </a:ext>
          </a:extLst>
        </xdr:cNvPr>
        <xdr:cNvPicPr>
          <a:picLocks noChangeAspect="1"/>
        </xdr:cNvPicPr>
      </xdr:nvPicPr>
      <xdr:blipFill>
        <a:blip xmlns:r="http://schemas.openxmlformats.org/officeDocument/2006/relationships" r:embed="rId3"/>
        <a:stretch>
          <a:fillRect/>
        </a:stretch>
      </xdr:blipFill>
      <xdr:spPr>
        <a:xfrm>
          <a:off x="161925" y="27317700"/>
          <a:ext cx="171973" cy="218968"/>
        </a:xfrm>
        <a:prstGeom prst="rect">
          <a:avLst/>
        </a:prstGeom>
      </xdr:spPr>
    </xdr:pic>
    <xdr:clientData/>
  </xdr:twoCellAnchor>
  <xdr:twoCellAnchor editAs="oneCell">
    <xdr:from>
      <xdr:col>0</xdr:col>
      <xdr:colOff>139700</xdr:colOff>
      <xdr:row>241</xdr:row>
      <xdr:rowOff>152400</xdr:rowOff>
    </xdr:from>
    <xdr:to>
      <xdr:col>0</xdr:col>
      <xdr:colOff>313578</xdr:colOff>
      <xdr:row>242</xdr:row>
      <xdr:rowOff>184042</xdr:rowOff>
    </xdr:to>
    <xdr:pic>
      <xdr:nvPicPr>
        <xdr:cNvPr id="8" name="Picture 7">
          <a:extLst>
            <a:ext uri="{FF2B5EF4-FFF2-40B4-BE49-F238E27FC236}">
              <a16:creationId xmlns:a16="http://schemas.microsoft.com/office/drawing/2014/main" id="{CF67D725-4C9D-46F1-8D83-FF8A97BAA0D8}"/>
            </a:ext>
          </a:extLst>
        </xdr:cNvPr>
        <xdr:cNvPicPr>
          <a:picLocks noChangeAspect="1"/>
        </xdr:cNvPicPr>
      </xdr:nvPicPr>
      <xdr:blipFill>
        <a:blip xmlns:r="http://schemas.openxmlformats.org/officeDocument/2006/relationships" r:embed="rId3"/>
        <a:stretch>
          <a:fillRect/>
        </a:stretch>
      </xdr:blipFill>
      <xdr:spPr>
        <a:xfrm>
          <a:off x="142875" y="49530000"/>
          <a:ext cx="173878" cy="228492"/>
        </a:xfrm>
        <a:prstGeom prst="rect">
          <a:avLst/>
        </a:prstGeom>
      </xdr:spPr>
    </xdr:pic>
    <xdr:clientData/>
  </xdr:twoCellAnchor>
  <xdr:twoCellAnchor editAs="oneCell">
    <xdr:from>
      <xdr:col>0</xdr:col>
      <xdr:colOff>139700</xdr:colOff>
      <xdr:row>371</xdr:row>
      <xdr:rowOff>127000</xdr:rowOff>
    </xdr:from>
    <xdr:to>
      <xdr:col>0</xdr:col>
      <xdr:colOff>313578</xdr:colOff>
      <xdr:row>372</xdr:row>
      <xdr:rowOff>114647</xdr:rowOff>
    </xdr:to>
    <xdr:pic>
      <xdr:nvPicPr>
        <xdr:cNvPr id="9" name="Picture 8">
          <a:extLst>
            <a:ext uri="{FF2B5EF4-FFF2-40B4-BE49-F238E27FC236}">
              <a16:creationId xmlns:a16="http://schemas.microsoft.com/office/drawing/2014/main" id="{EB917956-E2C3-4B15-B517-E3AAE6A6E98B}"/>
            </a:ext>
          </a:extLst>
        </xdr:cNvPr>
        <xdr:cNvPicPr>
          <a:picLocks noChangeAspect="1"/>
        </xdr:cNvPicPr>
      </xdr:nvPicPr>
      <xdr:blipFill>
        <a:blip xmlns:r="http://schemas.openxmlformats.org/officeDocument/2006/relationships" r:embed="rId3"/>
        <a:stretch>
          <a:fillRect/>
        </a:stretch>
      </xdr:blipFill>
      <xdr:spPr>
        <a:xfrm>
          <a:off x="142875" y="75618975"/>
          <a:ext cx="173878" cy="228947"/>
        </a:xfrm>
        <a:prstGeom prst="rect">
          <a:avLst/>
        </a:prstGeom>
      </xdr:spPr>
    </xdr:pic>
    <xdr:clientData/>
  </xdr:twoCellAnchor>
  <xdr:twoCellAnchor editAs="oneCell">
    <xdr:from>
      <xdr:col>28</xdr:col>
      <xdr:colOff>0</xdr:colOff>
      <xdr:row>371</xdr:row>
      <xdr:rowOff>0</xdr:rowOff>
    </xdr:from>
    <xdr:to>
      <xdr:col>28</xdr:col>
      <xdr:colOff>825953</xdr:colOff>
      <xdr:row>372</xdr:row>
      <xdr:rowOff>45437</xdr:rowOff>
    </xdr:to>
    <xdr:pic>
      <xdr:nvPicPr>
        <xdr:cNvPr id="10" name="Picture 9">
          <a:extLst>
            <a:ext uri="{FF2B5EF4-FFF2-40B4-BE49-F238E27FC236}">
              <a16:creationId xmlns:a16="http://schemas.microsoft.com/office/drawing/2014/main" id="{98C47165-0239-4668-8D36-6208A67FD990}"/>
            </a:ext>
          </a:extLst>
        </xdr:cNvPr>
        <xdr:cNvPicPr>
          <a:picLocks noChangeAspect="1"/>
        </xdr:cNvPicPr>
      </xdr:nvPicPr>
      <xdr:blipFill>
        <a:blip xmlns:r="http://schemas.openxmlformats.org/officeDocument/2006/relationships" r:embed="rId4"/>
        <a:stretch>
          <a:fillRect/>
        </a:stretch>
      </xdr:blipFill>
      <xdr:spPr>
        <a:xfrm>
          <a:off x="27184350" y="75495150"/>
          <a:ext cx="829128" cy="28673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181507</xdr:rowOff>
    </xdr:to>
    <xdr:pic>
      <xdr:nvPicPr>
        <xdr:cNvPr id="11" name="Picture 10">
          <a:extLst>
            <a:ext uri="{FF2B5EF4-FFF2-40B4-BE49-F238E27FC236}">
              <a16:creationId xmlns:a16="http://schemas.microsoft.com/office/drawing/2014/main" id="{34C553E0-7E6D-4511-B8B3-814BF703786B}"/>
            </a:ext>
          </a:extLst>
        </xdr:cNvPr>
        <xdr:cNvPicPr>
          <a:picLocks noChangeAspect="1"/>
        </xdr:cNvPicPr>
      </xdr:nvPicPr>
      <xdr:blipFill>
        <a:blip xmlns:r="http://schemas.openxmlformats.org/officeDocument/2006/relationships" r:embed="rId4"/>
        <a:stretch>
          <a:fillRect/>
        </a:stretch>
      </xdr:blipFill>
      <xdr:spPr>
        <a:xfrm>
          <a:off x="27251025" y="49463325"/>
          <a:ext cx="825953" cy="29263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162458</xdr:rowOff>
    </xdr:to>
    <xdr:pic>
      <xdr:nvPicPr>
        <xdr:cNvPr id="12" name="Picture 11">
          <a:extLst>
            <a:ext uri="{FF2B5EF4-FFF2-40B4-BE49-F238E27FC236}">
              <a16:creationId xmlns:a16="http://schemas.microsoft.com/office/drawing/2014/main" id="{48D27117-CF45-4435-8C62-E74E2DA9580F}"/>
            </a:ext>
          </a:extLst>
        </xdr:cNvPr>
        <xdr:cNvPicPr>
          <a:picLocks noChangeAspect="1"/>
        </xdr:cNvPicPr>
      </xdr:nvPicPr>
      <xdr:blipFill>
        <a:blip xmlns:r="http://schemas.openxmlformats.org/officeDocument/2006/relationships" r:embed="rId4"/>
        <a:stretch>
          <a:fillRect/>
        </a:stretch>
      </xdr:blipFill>
      <xdr:spPr>
        <a:xfrm>
          <a:off x="27212925" y="27212925"/>
          <a:ext cx="825953" cy="283108"/>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36138C27-0E4B-4DCB-A309-980B913D1CC2}"/>
            </a:ext>
          </a:extLst>
        </xdr:cNvPr>
        <xdr:cNvPicPr>
          <a:picLocks noChangeAspect="1"/>
        </xdr:cNvPicPr>
      </xdr:nvPicPr>
      <xdr:blipFill>
        <a:blip xmlns:r="http://schemas.openxmlformats.org/officeDocument/2006/relationships" r:embed="rId4"/>
        <a:stretch>
          <a:fillRect/>
        </a:stretch>
      </xdr:blipFill>
      <xdr:spPr>
        <a:xfrm>
          <a:off x="27184350" y="10696575"/>
          <a:ext cx="829128" cy="283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6979078F-836B-459D-AE0C-56A35B6DDB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C47F3FA-A351-4DAD-A738-00316BB3BE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07DB9AC7-786E-4575-88A9-C3955CC9CF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5D988A6-EDDC-4103-8C3A-D3E835A32F4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F1897203-0880-4CB6-8F00-B9636CC8C61A}"/>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5F5069BC-3261-4139-AF59-E462848482B4}"/>
            </a:ext>
          </a:extLst>
        </xdr:cNvPr>
        <xdr:cNvPicPr>
          <a:picLocks noChangeAspect="1"/>
        </xdr:cNvPicPr>
      </xdr:nvPicPr>
      <xdr:blipFill>
        <a:blip xmlns:r="http://schemas.openxmlformats.org/officeDocument/2006/relationships" r:embed="rId3"/>
        <a:stretch>
          <a:fillRect/>
        </a:stretch>
      </xdr:blipFill>
      <xdr:spPr>
        <a:xfrm>
          <a:off x="161925" y="27317700"/>
          <a:ext cx="171973" cy="218968"/>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E85CCAC4-2BB3-4C50-9439-805030DF457B}"/>
            </a:ext>
          </a:extLst>
        </xdr:cNvPr>
        <xdr:cNvPicPr>
          <a:picLocks noChangeAspect="1"/>
        </xdr:cNvPicPr>
      </xdr:nvPicPr>
      <xdr:blipFill>
        <a:blip xmlns:r="http://schemas.openxmlformats.org/officeDocument/2006/relationships" r:embed="rId3"/>
        <a:stretch>
          <a:fillRect/>
        </a:stretch>
      </xdr:blipFill>
      <xdr:spPr>
        <a:xfrm>
          <a:off x="142875" y="49530000"/>
          <a:ext cx="173878" cy="228492"/>
        </a:xfrm>
        <a:prstGeom prst="rect">
          <a:avLst/>
        </a:prstGeom>
      </xdr:spPr>
    </xdr:pic>
    <xdr:clientData/>
  </xdr:twoCellAnchor>
  <xdr:twoCellAnchor editAs="oneCell">
    <xdr:from>
      <xdr:col>0</xdr:col>
      <xdr:colOff>139700</xdr:colOff>
      <xdr:row>371</xdr:row>
      <xdr:rowOff>127000</xdr:rowOff>
    </xdr:from>
    <xdr:to>
      <xdr:col>0</xdr:col>
      <xdr:colOff>317388</xdr:colOff>
      <xdr:row>372</xdr:row>
      <xdr:rowOff>114647</xdr:rowOff>
    </xdr:to>
    <xdr:pic>
      <xdr:nvPicPr>
        <xdr:cNvPr id="9" name="Picture 8">
          <a:extLst>
            <a:ext uri="{FF2B5EF4-FFF2-40B4-BE49-F238E27FC236}">
              <a16:creationId xmlns:a16="http://schemas.microsoft.com/office/drawing/2014/main" id="{B8ECF294-BED6-4DE1-9EC8-41365DFE7C50}"/>
            </a:ext>
          </a:extLst>
        </xdr:cNvPr>
        <xdr:cNvPicPr>
          <a:picLocks noChangeAspect="1"/>
        </xdr:cNvPicPr>
      </xdr:nvPicPr>
      <xdr:blipFill>
        <a:blip xmlns:r="http://schemas.openxmlformats.org/officeDocument/2006/relationships" r:embed="rId3"/>
        <a:stretch>
          <a:fillRect/>
        </a:stretch>
      </xdr:blipFill>
      <xdr:spPr>
        <a:xfrm>
          <a:off x="142875" y="75618975"/>
          <a:ext cx="173878" cy="228947"/>
        </a:xfrm>
        <a:prstGeom prst="rect">
          <a:avLst/>
        </a:prstGeom>
      </xdr:spPr>
    </xdr:pic>
    <xdr:clientData/>
  </xdr:twoCellAnchor>
  <xdr:twoCellAnchor editAs="oneCell">
    <xdr:from>
      <xdr:col>28</xdr:col>
      <xdr:colOff>0</xdr:colOff>
      <xdr:row>371</xdr:row>
      <xdr:rowOff>0</xdr:rowOff>
    </xdr:from>
    <xdr:to>
      <xdr:col>28</xdr:col>
      <xdr:colOff>818333</xdr:colOff>
      <xdr:row>372</xdr:row>
      <xdr:rowOff>49247</xdr:rowOff>
    </xdr:to>
    <xdr:pic>
      <xdr:nvPicPr>
        <xdr:cNvPr id="10" name="Picture 9">
          <a:extLst>
            <a:ext uri="{FF2B5EF4-FFF2-40B4-BE49-F238E27FC236}">
              <a16:creationId xmlns:a16="http://schemas.microsoft.com/office/drawing/2014/main" id="{87EFFB18-757E-4071-B8DC-83DEA5519360}"/>
            </a:ext>
          </a:extLst>
        </xdr:cNvPr>
        <xdr:cNvPicPr>
          <a:picLocks noChangeAspect="1"/>
        </xdr:cNvPicPr>
      </xdr:nvPicPr>
      <xdr:blipFill>
        <a:blip xmlns:r="http://schemas.openxmlformats.org/officeDocument/2006/relationships" r:embed="rId4"/>
        <a:stretch>
          <a:fillRect/>
        </a:stretch>
      </xdr:blipFill>
      <xdr:spPr>
        <a:xfrm>
          <a:off x="27184350" y="75495150"/>
          <a:ext cx="829128" cy="28673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67436D2A-BD14-4F20-9D87-AE0D359108F2}"/>
            </a:ext>
          </a:extLst>
        </xdr:cNvPr>
        <xdr:cNvPicPr>
          <a:picLocks noChangeAspect="1"/>
        </xdr:cNvPicPr>
      </xdr:nvPicPr>
      <xdr:blipFill>
        <a:blip xmlns:r="http://schemas.openxmlformats.org/officeDocument/2006/relationships" r:embed="rId4"/>
        <a:stretch>
          <a:fillRect/>
        </a:stretch>
      </xdr:blipFill>
      <xdr:spPr>
        <a:xfrm>
          <a:off x="27251025" y="49463325"/>
          <a:ext cx="825953" cy="29263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EFF7DEC9-04ED-4376-A354-D97DB179804D}"/>
            </a:ext>
          </a:extLst>
        </xdr:cNvPr>
        <xdr:cNvPicPr>
          <a:picLocks noChangeAspect="1"/>
        </xdr:cNvPicPr>
      </xdr:nvPicPr>
      <xdr:blipFill>
        <a:blip xmlns:r="http://schemas.openxmlformats.org/officeDocument/2006/relationships" r:embed="rId4"/>
        <a:stretch>
          <a:fillRect/>
        </a:stretch>
      </xdr:blipFill>
      <xdr:spPr>
        <a:xfrm>
          <a:off x="27212925" y="27212925"/>
          <a:ext cx="825953" cy="283108"/>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AFA3AE5D-2600-414D-AE7C-338DD398AB9E}"/>
            </a:ext>
          </a:extLst>
        </xdr:cNvPr>
        <xdr:cNvPicPr>
          <a:picLocks noChangeAspect="1"/>
        </xdr:cNvPicPr>
      </xdr:nvPicPr>
      <xdr:blipFill>
        <a:blip xmlns:r="http://schemas.openxmlformats.org/officeDocument/2006/relationships" r:embed="rId4"/>
        <a:stretch>
          <a:fillRect/>
        </a:stretch>
      </xdr:blipFill>
      <xdr:spPr>
        <a:xfrm>
          <a:off x="27184350" y="10696575"/>
          <a:ext cx="829128" cy="283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1E339E32-A514-496B-B2E1-17139061263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745521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4A969E03-52F0-454E-98DE-D5783E2FBAC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510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6A6EDD8B-4FE1-438B-B43D-4688137A7AA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865969A2-BEE6-4BD9-82D4-59641158347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84E168D7-F01B-42C5-85B7-62278EF8B1DF}"/>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E1B18420-7BA2-4FAC-82CA-7AA77E613BCA}"/>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CABDF841-8D2E-49F9-9191-8FC12754CE0D}"/>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04D4E219-CB48-4798-8B0F-FBA20D075B44}"/>
            </a:ext>
          </a:extLst>
        </xdr:cNvPr>
        <xdr:cNvPicPr>
          <a:picLocks noChangeAspect="1"/>
        </xdr:cNvPicPr>
      </xdr:nvPicPr>
      <xdr:blipFill>
        <a:blip xmlns:r="http://schemas.openxmlformats.org/officeDocument/2006/relationships" r:embed="rId3"/>
        <a:stretch>
          <a:fillRect/>
        </a:stretch>
      </xdr:blipFill>
      <xdr:spPr>
        <a:xfrm>
          <a:off x="139700" y="7455535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E6269DCC-1AD7-4174-9760-C69C80F9AF50}"/>
            </a:ext>
          </a:extLst>
        </xdr:cNvPr>
        <xdr:cNvPicPr>
          <a:picLocks noChangeAspect="1"/>
        </xdr:cNvPicPr>
      </xdr:nvPicPr>
      <xdr:blipFill>
        <a:blip xmlns:r="http://schemas.openxmlformats.org/officeDocument/2006/relationships" r:embed="rId4"/>
        <a:stretch>
          <a:fillRect/>
        </a:stretch>
      </xdr:blipFill>
      <xdr:spPr>
        <a:xfrm>
          <a:off x="27127200" y="7442835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27F1D46F-DEDA-4FA0-85BB-6072995C460D}"/>
            </a:ext>
          </a:extLst>
        </xdr:cNvPr>
        <xdr:cNvPicPr>
          <a:picLocks noChangeAspect="1"/>
        </xdr:cNvPicPr>
      </xdr:nvPicPr>
      <xdr:blipFill>
        <a:blip xmlns:r="http://schemas.openxmlformats.org/officeDocument/2006/relationships" r:embed="rId4"/>
        <a:stretch>
          <a:fillRect/>
        </a:stretch>
      </xdr:blipFill>
      <xdr:spPr>
        <a:xfrm>
          <a:off x="271907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3FB293AB-F918-4DEF-BD95-B59E7E29DCD7}"/>
            </a:ext>
          </a:extLst>
        </xdr:cNvPr>
        <xdr:cNvPicPr>
          <a:picLocks noChangeAspect="1"/>
        </xdr:cNvPicPr>
      </xdr:nvPicPr>
      <xdr:blipFill>
        <a:blip xmlns:r="http://schemas.openxmlformats.org/officeDocument/2006/relationships" r:embed="rId4"/>
        <a:stretch>
          <a:fillRect/>
        </a:stretch>
      </xdr:blipFill>
      <xdr:spPr>
        <a:xfrm>
          <a:off x="271526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214B7357-334A-4322-8423-4740D9EEE1C6}"/>
            </a:ext>
          </a:extLst>
        </xdr:cNvPr>
        <xdr:cNvPicPr>
          <a:picLocks noChangeAspect="1"/>
        </xdr:cNvPicPr>
      </xdr:nvPicPr>
      <xdr:blipFill>
        <a:blip xmlns:r="http://schemas.openxmlformats.org/officeDocument/2006/relationships" r:embed="rId4"/>
        <a:stretch>
          <a:fillRect/>
        </a:stretch>
      </xdr:blipFill>
      <xdr:spPr>
        <a:xfrm>
          <a:off x="27127200" y="10547350"/>
          <a:ext cx="818333" cy="2888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81C4E5F5-C7CB-4720-9E1F-479319F9420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71180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5B64F109-46D0-4D53-98F2-90C5130785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6065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4F8BD700-1364-41D2-A08F-399B5B3499B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AADA0190-FC97-4AA7-BEDD-BB1AFAC88B5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31AF8997-C246-4CE9-B13B-6D3BA4734CCB}"/>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1743C1FA-309D-42D4-84FD-5C838EBA1B8C}"/>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B90F86B9-1BDE-44B6-A93B-A22D84D200D4}"/>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291B48A1-70F3-4B7A-B30B-70CA3A775231}"/>
            </a:ext>
          </a:extLst>
        </xdr:cNvPr>
        <xdr:cNvPicPr>
          <a:picLocks noChangeAspect="1"/>
        </xdr:cNvPicPr>
      </xdr:nvPicPr>
      <xdr:blipFill>
        <a:blip xmlns:r="http://schemas.openxmlformats.org/officeDocument/2006/relationships" r:embed="rId3"/>
        <a:stretch>
          <a:fillRect/>
        </a:stretch>
      </xdr:blipFill>
      <xdr:spPr>
        <a:xfrm>
          <a:off x="139700" y="7118350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16490CAD-CD65-4C57-BE46-78F8670576F9}"/>
            </a:ext>
          </a:extLst>
        </xdr:cNvPr>
        <xdr:cNvPicPr>
          <a:picLocks noChangeAspect="1"/>
        </xdr:cNvPicPr>
      </xdr:nvPicPr>
      <xdr:blipFill>
        <a:blip xmlns:r="http://schemas.openxmlformats.org/officeDocument/2006/relationships" r:embed="rId4"/>
        <a:stretch>
          <a:fillRect/>
        </a:stretch>
      </xdr:blipFill>
      <xdr:spPr>
        <a:xfrm>
          <a:off x="27076400" y="7105650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27AD9438-1CF4-47F4-9BB9-58C759DBDF9E}"/>
            </a:ext>
          </a:extLst>
        </xdr:cNvPr>
        <xdr:cNvPicPr>
          <a:picLocks noChangeAspect="1"/>
        </xdr:cNvPicPr>
      </xdr:nvPicPr>
      <xdr:blipFill>
        <a:blip xmlns:r="http://schemas.openxmlformats.org/officeDocument/2006/relationships" r:embed="rId4"/>
        <a:stretch>
          <a:fillRect/>
        </a:stretch>
      </xdr:blipFill>
      <xdr:spPr>
        <a:xfrm>
          <a:off x="271399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74A23790-6DD4-4DF3-9D3E-3F96D07D92F1}"/>
            </a:ext>
          </a:extLst>
        </xdr:cNvPr>
        <xdr:cNvPicPr>
          <a:picLocks noChangeAspect="1"/>
        </xdr:cNvPicPr>
      </xdr:nvPicPr>
      <xdr:blipFill>
        <a:blip xmlns:r="http://schemas.openxmlformats.org/officeDocument/2006/relationships" r:embed="rId4"/>
        <a:stretch>
          <a:fillRect/>
        </a:stretch>
      </xdr:blipFill>
      <xdr:spPr>
        <a:xfrm>
          <a:off x="271018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F3A51C04-85A7-4EE2-B014-D50802DA48C3}"/>
            </a:ext>
          </a:extLst>
        </xdr:cNvPr>
        <xdr:cNvPicPr>
          <a:picLocks noChangeAspect="1"/>
        </xdr:cNvPicPr>
      </xdr:nvPicPr>
      <xdr:blipFill>
        <a:blip xmlns:r="http://schemas.openxmlformats.org/officeDocument/2006/relationships" r:embed="rId4"/>
        <a:stretch>
          <a:fillRect/>
        </a:stretch>
      </xdr:blipFill>
      <xdr:spPr>
        <a:xfrm>
          <a:off x="27076400" y="10547350"/>
          <a:ext cx="818333" cy="288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D47EF156-E1A6-458F-9EB6-70DC07FB34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71180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C1C8317-E7BE-4EF2-A281-E793EAC33B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6065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9641CDAE-88E3-4C70-805C-BE0697BC3D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345DD558-1726-457D-87CD-083188997B6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2581F97B-00C5-4A6A-85F9-F80F9E21C014}"/>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2953DC6B-B106-4BE1-9FC2-943028A10388}"/>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D30AD829-D0B9-4036-92FF-CEACC9708C6A}"/>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D15DAF8A-4ADE-4323-8B3F-725061A88B51}"/>
            </a:ext>
          </a:extLst>
        </xdr:cNvPr>
        <xdr:cNvPicPr>
          <a:picLocks noChangeAspect="1"/>
        </xdr:cNvPicPr>
      </xdr:nvPicPr>
      <xdr:blipFill>
        <a:blip xmlns:r="http://schemas.openxmlformats.org/officeDocument/2006/relationships" r:embed="rId3"/>
        <a:stretch>
          <a:fillRect/>
        </a:stretch>
      </xdr:blipFill>
      <xdr:spPr>
        <a:xfrm>
          <a:off x="139700" y="7118350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1F52C3D2-0E19-43D4-9BE4-DA0B1B8DE873}"/>
            </a:ext>
          </a:extLst>
        </xdr:cNvPr>
        <xdr:cNvPicPr>
          <a:picLocks noChangeAspect="1"/>
        </xdr:cNvPicPr>
      </xdr:nvPicPr>
      <xdr:blipFill>
        <a:blip xmlns:r="http://schemas.openxmlformats.org/officeDocument/2006/relationships" r:embed="rId4"/>
        <a:stretch>
          <a:fillRect/>
        </a:stretch>
      </xdr:blipFill>
      <xdr:spPr>
        <a:xfrm>
          <a:off x="27076400" y="7105650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185DA991-6F36-4426-B9C5-A172E33F7DCC}"/>
            </a:ext>
          </a:extLst>
        </xdr:cNvPr>
        <xdr:cNvPicPr>
          <a:picLocks noChangeAspect="1"/>
        </xdr:cNvPicPr>
      </xdr:nvPicPr>
      <xdr:blipFill>
        <a:blip xmlns:r="http://schemas.openxmlformats.org/officeDocument/2006/relationships" r:embed="rId4"/>
        <a:stretch>
          <a:fillRect/>
        </a:stretch>
      </xdr:blipFill>
      <xdr:spPr>
        <a:xfrm>
          <a:off x="271399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14A858F8-5053-4687-9A57-AF9D35937900}"/>
            </a:ext>
          </a:extLst>
        </xdr:cNvPr>
        <xdr:cNvPicPr>
          <a:picLocks noChangeAspect="1"/>
        </xdr:cNvPicPr>
      </xdr:nvPicPr>
      <xdr:blipFill>
        <a:blip xmlns:r="http://schemas.openxmlformats.org/officeDocument/2006/relationships" r:embed="rId4"/>
        <a:stretch>
          <a:fillRect/>
        </a:stretch>
      </xdr:blipFill>
      <xdr:spPr>
        <a:xfrm>
          <a:off x="271018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5129853C-625E-4B19-9E1B-8A09EA54B95E}"/>
            </a:ext>
          </a:extLst>
        </xdr:cNvPr>
        <xdr:cNvPicPr>
          <a:picLocks noChangeAspect="1"/>
        </xdr:cNvPicPr>
      </xdr:nvPicPr>
      <xdr:blipFill>
        <a:blip xmlns:r="http://schemas.openxmlformats.org/officeDocument/2006/relationships" r:embed="rId4"/>
        <a:stretch>
          <a:fillRect/>
        </a:stretch>
      </xdr:blipFill>
      <xdr:spPr>
        <a:xfrm>
          <a:off x="27076400" y="10547350"/>
          <a:ext cx="818333" cy="2888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102E4787-FCAC-4F12-B3F2-945A8EB472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7B390D4-E21F-4176-B9AF-D72FD8482A0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E2AD7B17-884E-4B44-8ABB-70B20DB8D99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0E6506C-08B4-4141-8304-F0206D12200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A2B2D142-D120-4999-B53F-DD40A4328FB3}"/>
            </a:ext>
          </a:extLst>
        </xdr:cNvPr>
        <xdr:cNvPicPr>
          <a:picLocks noChangeAspect="1"/>
        </xdr:cNvPicPr>
      </xdr:nvPicPr>
      <xdr:blipFill>
        <a:blip xmlns:r="http://schemas.openxmlformats.org/officeDocument/2006/relationships" r:embed="rId3"/>
        <a:stretch>
          <a:fillRect/>
        </a:stretch>
      </xdr:blipFill>
      <xdr:spPr>
        <a:xfrm>
          <a:off x="135890" y="10810875"/>
          <a:ext cx="185308" cy="22595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D853E659-1E25-43AB-9314-B4C49D226C21}"/>
            </a:ext>
          </a:extLst>
        </xdr:cNvPr>
        <xdr:cNvPicPr>
          <a:picLocks noChangeAspect="1"/>
        </xdr:cNvPicPr>
      </xdr:nvPicPr>
      <xdr:blipFill>
        <a:blip xmlns:r="http://schemas.openxmlformats.org/officeDocument/2006/relationships" r:embed="rId3"/>
        <a:stretch>
          <a:fillRect/>
        </a:stretch>
      </xdr:blipFill>
      <xdr:spPr>
        <a:xfrm>
          <a:off x="168910" y="27301190"/>
          <a:ext cx="164988" cy="23293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015420E7-6D8F-4874-B953-529406E35FEB}"/>
            </a:ext>
          </a:extLst>
        </xdr:cNvPr>
        <xdr:cNvPicPr>
          <a:picLocks noChangeAspect="1"/>
        </xdr:cNvPicPr>
      </xdr:nvPicPr>
      <xdr:blipFill>
        <a:blip xmlns:r="http://schemas.openxmlformats.org/officeDocument/2006/relationships" r:embed="rId3"/>
        <a:stretch>
          <a:fillRect/>
        </a:stretch>
      </xdr:blipFill>
      <xdr:spPr>
        <a:xfrm>
          <a:off x="135890" y="49596675"/>
          <a:ext cx="185308" cy="22595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E936CE12-63E8-42E1-98B7-0A562E545BB7}"/>
            </a:ext>
          </a:extLst>
        </xdr:cNvPr>
        <xdr:cNvPicPr>
          <a:picLocks noChangeAspect="1"/>
        </xdr:cNvPicPr>
      </xdr:nvPicPr>
      <xdr:blipFill>
        <a:blip xmlns:r="http://schemas.openxmlformats.org/officeDocument/2006/relationships" r:embed="rId3"/>
        <a:stretch>
          <a:fillRect/>
        </a:stretch>
      </xdr:blipFill>
      <xdr:spPr>
        <a:xfrm>
          <a:off x="135890" y="72273160"/>
          <a:ext cx="18530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E80CDE74-4790-464E-8F21-594D89246A13}"/>
            </a:ext>
          </a:extLst>
        </xdr:cNvPr>
        <xdr:cNvPicPr>
          <a:picLocks noChangeAspect="1"/>
        </xdr:cNvPicPr>
      </xdr:nvPicPr>
      <xdr:blipFill>
        <a:blip xmlns:r="http://schemas.openxmlformats.org/officeDocument/2006/relationships" r:embed="rId4"/>
        <a:stretch>
          <a:fillRect/>
        </a:stretch>
      </xdr:blipFill>
      <xdr:spPr>
        <a:xfrm>
          <a:off x="27517725" y="72142350"/>
          <a:ext cx="822143" cy="27975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6698F63B-52A2-435F-A1B7-1265787485D7}"/>
            </a:ext>
          </a:extLst>
        </xdr:cNvPr>
        <xdr:cNvPicPr>
          <a:picLocks noChangeAspect="1"/>
        </xdr:cNvPicPr>
      </xdr:nvPicPr>
      <xdr:blipFill>
        <a:blip xmlns:r="http://schemas.openxmlformats.org/officeDocument/2006/relationships" r:embed="rId4"/>
        <a:stretch>
          <a:fillRect/>
        </a:stretch>
      </xdr:blipFill>
      <xdr:spPr>
        <a:xfrm>
          <a:off x="27577415" y="49536985"/>
          <a:ext cx="836748" cy="28120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739B2A47-0E1F-48B9-B090-0CE750C72204}"/>
            </a:ext>
          </a:extLst>
        </xdr:cNvPr>
        <xdr:cNvPicPr>
          <a:picLocks noChangeAspect="1"/>
        </xdr:cNvPicPr>
      </xdr:nvPicPr>
      <xdr:blipFill>
        <a:blip xmlns:r="http://schemas.openxmlformats.org/officeDocument/2006/relationships" r:embed="rId4"/>
        <a:stretch>
          <a:fillRect/>
        </a:stretch>
      </xdr:blipFill>
      <xdr:spPr>
        <a:xfrm>
          <a:off x="27539315" y="27203400"/>
          <a:ext cx="836748" cy="29580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90A89D8E-4CAF-4F62-90F1-1A101B6DC1CC}"/>
            </a:ext>
          </a:extLst>
        </xdr:cNvPr>
        <xdr:cNvPicPr>
          <a:picLocks noChangeAspect="1"/>
        </xdr:cNvPicPr>
      </xdr:nvPicPr>
      <xdr:blipFill>
        <a:blip xmlns:r="http://schemas.openxmlformats.org/officeDocument/2006/relationships" r:embed="rId4"/>
        <a:stretch>
          <a:fillRect/>
        </a:stretch>
      </xdr:blipFill>
      <xdr:spPr>
        <a:xfrm>
          <a:off x="27517725" y="10696575"/>
          <a:ext cx="822143" cy="2958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BEC25D9F-7DC1-40A8-B156-771C071951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96895" y="7159942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B27927FD-1E68-422A-BDA0-382166EB69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94990" y="491413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002CD1C5-1E8C-408E-AA33-C95B6D293D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00705" y="27060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31B92D7-97FF-47E1-A8C6-47E0B2609A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00705" y="1076896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69C0262E-95CB-411F-9207-52408FBD2BC7}"/>
            </a:ext>
          </a:extLst>
        </xdr:cNvPr>
        <xdr:cNvPicPr>
          <a:picLocks noChangeAspect="1"/>
        </xdr:cNvPicPr>
      </xdr:nvPicPr>
      <xdr:blipFill>
        <a:blip xmlns:r="http://schemas.openxmlformats.org/officeDocument/2006/relationships" r:embed="rId3"/>
        <a:stretch>
          <a:fillRect/>
        </a:stretch>
      </xdr:blipFill>
      <xdr:spPr>
        <a:xfrm>
          <a:off x="139700" y="10721340"/>
          <a:ext cx="181498" cy="21642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7C87328C-7A0F-4028-AA77-596B998ACB5A}"/>
            </a:ext>
          </a:extLst>
        </xdr:cNvPr>
        <xdr:cNvPicPr>
          <a:picLocks noChangeAspect="1"/>
        </xdr:cNvPicPr>
      </xdr:nvPicPr>
      <xdr:blipFill>
        <a:blip xmlns:r="http://schemas.openxmlformats.org/officeDocument/2006/relationships" r:embed="rId3"/>
        <a:stretch>
          <a:fillRect/>
        </a:stretch>
      </xdr:blipFill>
      <xdr:spPr>
        <a:xfrm>
          <a:off x="165100" y="27076400"/>
          <a:ext cx="170703" cy="227223"/>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A17DCA36-C28D-46FA-A60B-00332F1624B7}"/>
            </a:ext>
          </a:extLst>
        </xdr:cNvPr>
        <xdr:cNvPicPr>
          <a:picLocks noChangeAspect="1"/>
        </xdr:cNvPicPr>
      </xdr:nvPicPr>
      <xdr:blipFill>
        <a:blip xmlns:r="http://schemas.openxmlformats.org/officeDocument/2006/relationships" r:embed="rId3"/>
        <a:stretch>
          <a:fillRect/>
        </a:stretch>
      </xdr:blipFill>
      <xdr:spPr>
        <a:xfrm>
          <a:off x="139700" y="49141380"/>
          <a:ext cx="181498" cy="216427"/>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90588BA6-2F83-4CB0-B205-6370FDC66A6D}"/>
            </a:ext>
          </a:extLst>
        </xdr:cNvPr>
        <xdr:cNvPicPr>
          <a:picLocks noChangeAspect="1"/>
        </xdr:cNvPicPr>
      </xdr:nvPicPr>
      <xdr:blipFill>
        <a:blip xmlns:r="http://schemas.openxmlformats.org/officeDocument/2006/relationships" r:embed="rId3"/>
        <a:stretch>
          <a:fillRect/>
        </a:stretch>
      </xdr:blipFill>
      <xdr:spPr>
        <a:xfrm>
          <a:off x="139700" y="71602600"/>
          <a:ext cx="181498" cy="21624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3536E50B-258C-43EE-B740-5F252FCE1A50}"/>
            </a:ext>
          </a:extLst>
        </xdr:cNvPr>
        <xdr:cNvPicPr>
          <a:picLocks noChangeAspect="1"/>
        </xdr:cNvPicPr>
      </xdr:nvPicPr>
      <xdr:blipFill>
        <a:blip xmlns:r="http://schemas.openxmlformats.org/officeDocument/2006/relationships" r:embed="rId4"/>
        <a:stretch>
          <a:fillRect/>
        </a:stretch>
      </xdr:blipFill>
      <xdr:spPr>
        <a:xfrm>
          <a:off x="27500580" y="71475600"/>
          <a:ext cx="822143" cy="28737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0B66DB90-2553-438E-9868-2CD05752CD3E}"/>
            </a:ext>
          </a:extLst>
        </xdr:cNvPr>
        <xdr:cNvPicPr>
          <a:picLocks noChangeAspect="1"/>
        </xdr:cNvPicPr>
      </xdr:nvPicPr>
      <xdr:blipFill>
        <a:blip xmlns:r="http://schemas.openxmlformats.org/officeDocument/2006/relationships" r:embed="rId4"/>
        <a:stretch>
          <a:fillRect/>
        </a:stretch>
      </xdr:blipFill>
      <xdr:spPr>
        <a:xfrm>
          <a:off x="27564080" y="49077880"/>
          <a:ext cx="832938" cy="283107"/>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B12625AE-266C-4332-B623-C4346FC165F5}"/>
            </a:ext>
          </a:extLst>
        </xdr:cNvPr>
        <xdr:cNvPicPr>
          <a:picLocks noChangeAspect="1"/>
        </xdr:cNvPicPr>
      </xdr:nvPicPr>
      <xdr:blipFill>
        <a:blip xmlns:r="http://schemas.openxmlformats.org/officeDocument/2006/relationships" r:embed="rId4"/>
        <a:stretch>
          <a:fillRect/>
        </a:stretch>
      </xdr:blipFill>
      <xdr:spPr>
        <a:xfrm>
          <a:off x="27525980" y="26974800"/>
          <a:ext cx="832938" cy="293903"/>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69F564CF-2233-4F0E-8267-BE3C7A833F11}"/>
            </a:ext>
          </a:extLst>
        </xdr:cNvPr>
        <xdr:cNvPicPr>
          <a:picLocks noChangeAspect="1"/>
        </xdr:cNvPicPr>
      </xdr:nvPicPr>
      <xdr:blipFill>
        <a:blip xmlns:r="http://schemas.openxmlformats.org/officeDocument/2006/relationships" r:embed="rId4"/>
        <a:stretch>
          <a:fillRect/>
        </a:stretch>
      </xdr:blipFill>
      <xdr:spPr>
        <a:xfrm>
          <a:off x="27500580" y="10607040"/>
          <a:ext cx="822143" cy="2939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4E9-ED8F-47AF-8D09-0861D784C18A}">
  <sheetPr>
    <tabColor rgb="FF89CB31"/>
  </sheetPr>
  <dimension ref="A1:JB393"/>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2.3365359223598774E-2</v>
      </c>
      <c r="Z17" s="29" t="s">
        <v>259</v>
      </c>
      <c r="AA17" s="29">
        <v>0.97663464077640116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44187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v>0</v>
      </c>
      <c r="G30" s="54"/>
      <c r="H30" s="54">
        <v>0</v>
      </c>
      <c r="I30" s="54"/>
      <c r="J30" s="54">
        <v>0</v>
      </c>
      <c r="K30" s="54"/>
      <c r="L30" s="54">
        <v>0</v>
      </c>
      <c r="M30" s="54"/>
      <c r="N30" s="54">
        <v>0</v>
      </c>
      <c r="O30" s="54"/>
      <c r="P30" s="54">
        <v>0</v>
      </c>
      <c r="Q30" s="54"/>
      <c r="R30" s="54">
        <v>0</v>
      </c>
      <c r="S30" s="54"/>
      <c r="T30" s="54" t="s">
        <v>83</v>
      </c>
      <c r="U30" s="54"/>
      <c r="V30" s="54" t="s">
        <v>83</v>
      </c>
      <c r="W30" s="54"/>
      <c r="X30" s="54" t="s">
        <v>83</v>
      </c>
      <c r="Y30" s="54" t="s">
        <v>83</v>
      </c>
      <c r="Z30" s="54"/>
      <c r="AA30" s="49"/>
      <c r="AB30" s="50">
        <f>SUM(F30:N30)</f>
        <v>0</v>
      </c>
      <c r="AC30" s="51"/>
      <c r="AD30" s="22"/>
    </row>
    <row r="31" spans="1:33" s="23" customFormat="1" x14ac:dyDescent="0.3">
      <c r="A31" s="47"/>
      <c r="B31" s="44" t="s">
        <v>92</v>
      </c>
      <c r="C31" s="49"/>
      <c r="D31" s="56"/>
      <c r="E31" s="56"/>
      <c r="F31" s="56">
        <f>F29*F32</f>
        <v>622664.18592000008</v>
      </c>
      <c r="G31" s="56"/>
      <c r="H31" s="56">
        <f>H29</f>
        <v>39664</v>
      </c>
      <c r="I31" s="56"/>
      <c r="J31" s="56">
        <f>J29</f>
        <v>21635</v>
      </c>
      <c r="K31" s="56"/>
      <c r="L31" s="56">
        <f>L29</f>
        <v>18029</v>
      </c>
      <c r="M31" s="56"/>
      <c r="N31" s="56">
        <f>N29</f>
        <v>18031</v>
      </c>
      <c r="O31" s="56"/>
      <c r="P31" s="56">
        <f>P29*P32</f>
        <v>10843.102199999999</v>
      </c>
      <c r="Q31" s="56"/>
      <c r="R31" s="56">
        <v>1142</v>
      </c>
      <c r="S31" s="56"/>
      <c r="T31" s="56" t="s">
        <v>83</v>
      </c>
      <c r="U31" s="56"/>
      <c r="V31" s="56" t="s">
        <v>83</v>
      </c>
      <c r="W31" s="56"/>
      <c r="X31" s="56" t="s">
        <v>83</v>
      </c>
      <c r="Y31" s="56" t="s">
        <v>83</v>
      </c>
      <c r="Z31" s="56"/>
      <c r="AA31" s="49"/>
      <c r="AB31" s="55">
        <f>SUM(F31:N31)</f>
        <v>720023.18592000008</v>
      </c>
      <c r="AC31" s="51"/>
      <c r="AD31" s="22"/>
      <c r="AE31" s="231"/>
    </row>
    <row r="32" spans="1:33" s="64" customFormat="1" x14ac:dyDescent="0.3">
      <c r="A32" s="57"/>
      <c r="B32" s="163" t="s">
        <v>88</v>
      </c>
      <c r="C32" s="60"/>
      <c r="D32" s="59"/>
      <c r="E32" s="59"/>
      <c r="F32" s="59">
        <v>0.99816000000000005</v>
      </c>
      <c r="G32" s="59"/>
      <c r="H32" s="59">
        <v>1</v>
      </c>
      <c r="I32" s="59"/>
      <c r="J32" s="59">
        <v>1</v>
      </c>
      <c r="K32" s="59"/>
      <c r="L32" s="59">
        <v>1</v>
      </c>
      <c r="M32" s="59"/>
      <c r="N32" s="59">
        <v>1</v>
      </c>
      <c r="O32" s="59"/>
      <c r="P32" s="59">
        <v>0.97265000000000001</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222">
        <v>1</v>
      </c>
      <c r="G33" s="222"/>
      <c r="H33" s="222">
        <v>1</v>
      </c>
      <c r="I33" s="222"/>
      <c r="J33" s="222">
        <v>1</v>
      </c>
      <c r="K33" s="222"/>
      <c r="L33" s="222">
        <v>1</v>
      </c>
      <c r="M33" s="222"/>
      <c r="N33" s="222">
        <v>1</v>
      </c>
      <c r="O33" s="222"/>
      <c r="P33" s="59">
        <v>1</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1.00331E-2</v>
      </c>
      <c r="G35" s="236"/>
      <c r="H35" s="236">
        <v>1.40331E-2</v>
      </c>
      <c r="I35" s="236"/>
      <c r="J35" s="236">
        <v>1.7033099999999999E-2</v>
      </c>
      <c r="K35" s="236"/>
      <c r="L35" s="236">
        <v>2.0033100000000002E-2</v>
      </c>
      <c r="M35" s="236"/>
      <c r="N35" s="236">
        <v>3.0003309999999998E-2</v>
      </c>
      <c r="O35" s="236"/>
      <c r="P35" s="236">
        <v>4.0533100000000002E-2</v>
      </c>
      <c r="Q35" s="236"/>
      <c r="R35" s="236">
        <v>4.0533100000000002E-2</v>
      </c>
      <c r="S35" s="67"/>
      <c r="T35" s="67" t="s">
        <v>83</v>
      </c>
      <c r="U35" s="67"/>
      <c r="V35" s="67" t="s">
        <v>83</v>
      </c>
      <c r="W35" s="67"/>
      <c r="X35" s="67" t="s">
        <v>83</v>
      </c>
      <c r="Y35" s="67" t="s">
        <v>83</v>
      </c>
      <c r="Z35" s="67"/>
      <c r="AA35" s="40"/>
      <c r="AB35" s="66">
        <f>SUMPRODUCT(D35:N35,D29:N29)/AB29</f>
        <v>1.121239569618024E-2</v>
      </c>
      <c r="AC35" s="43"/>
      <c r="AD35" s="22"/>
    </row>
    <row r="36" spans="1:30" s="23" customFormat="1" x14ac:dyDescent="0.3">
      <c r="A36" s="47"/>
      <c r="B36" s="40" t="s">
        <v>10</v>
      </c>
      <c r="C36" s="68"/>
      <c r="D36" s="236"/>
      <c r="E36" s="236"/>
      <c r="F36" s="236">
        <v>0</v>
      </c>
      <c r="G36" s="236"/>
      <c r="H36" s="236">
        <v>0</v>
      </c>
      <c r="I36" s="236"/>
      <c r="J36" s="236">
        <v>0</v>
      </c>
      <c r="K36" s="236"/>
      <c r="L36" s="236">
        <v>0</v>
      </c>
      <c r="M36" s="236"/>
      <c r="N36" s="236">
        <v>0</v>
      </c>
      <c r="O36" s="236"/>
      <c r="P36" s="236">
        <v>0</v>
      </c>
      <c r="Q36" s="236"/>
      <c r="R36" s="236">
        <v>0</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0.15635875998898174</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44180</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40"/>
      <c r="Y47" s="40"/>
      <c r="Z47" s="75"/>
      <c r="AA47" s="76"/>
      <c r="AB47" s="75"/>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34</v>
      </c>
      <c r="Y48" s="40"/>
      <c r="Z48" s="75">
        <v>44146</v>
      </c>
      <c r="AA48" s="76"/>
      <c r="AB48" s="75">
        <v>44179</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44179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310</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720120</v>
      </c>
      <c r="S57" s="234"/>
      <c r="T57" s="233">
        <f>233+12</f>
        <v>245</v>
      </c>
      <c r="U57" s="234"/>
      <c r="V57" s="234">
        <v>907</v>
      </c>
      <c r="W57" s="234"/>
      <c r="X57" s="234">
        <v>66</v>
      </c>
      <c r="Y57" s="234"/>
      <c r="Z57" s="234">
        <v>0</v>
      </c>
      <c r="AA57" s="234"/>
      <c r="AB57" s="233">
        <f>R57-T57-V57+X57-Z57</f>
        <v>719034</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720120</v>
      </c>
      <c r="S60" s="234"/>
      <c r="T60" s="234">
        <f>T57+T58</f>
        <v>245</v>
      </c>
      <c r="U60" s="234"/>
      <c r="V60" s="234">
        <f>SUM(V57:V59)</f>
        <v>907</v>
      </c>
      <c r="W60" s="234"/>
      <c r="X60" s="234">
        <f>SUM(X57:X59)</f>
        <v>66</v>
      </c>
      <c r="Y60" s="234"/>
      <c r="Z60" s="234">
        <f>SUM(Z57:Z59)</f>
        <v>0</v>
      </c>
      <c r="AA60" s="234"/>
      <c r="AB60" s="234">
        <f>SUM(AB57:AB59)</f>
        <v>719034</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0</v>
      </c>
      <c r="S63" s="234"/>
      <c r="T63" s="234">
        <v>0</v>
      </c>
      <c r="U63" s="234"/>
      <c r="V63" s="234">
        <v>4</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1051</v>
      </c>
      <c r="S64" s="234"/>
      <c r="T64" s="234"/>
      <c r="U64" s="234"/>
      <c r="V64" s="234"/>
      <c r="W64" s="234"/>
      <c r="X64" s="234">
        <f>-X57</f>
        <v>-66</v>
      </c>
      <c r="Y64" s="234"/>
      <c r="Z64" s="234"/>
      <c r="AA64" s="234"/>
      <c r="AB64" s="234">
        <f>+R64+X64</f>
        <v>985</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721171</v>
      </c>
      <c r="S66" s="234"/>
      <c r="T66" s="234"/>
      <c r="U66" s="234"/>
      <c r="V66" s="234"/>
      <c r="W66" s="234"/>
      <c r="X66" s="234"/>
      <c r="Y66" s="234"/>
      <c r="Z66" s="234"/>
      <c r="AA66" s="234"/>
      <c r="AB66" s="234">
        <f>SUM(AB60:AB65)</f>
        <v>720023</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44165</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0</v>
      </c>
      <c r="AA70" s="37"/>
      <c r="AB70" s="106">
        <v>0</v>
      </c>
      <c r="AC70" s="21"/>
      <c r="AD70" s="22"/>
    </row>
    <row r="71" spans="1:30" s="23" customFormat="1" x14ac:dyDescent="0.3">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66</v>
      </c>
      <c r="AA71" s="40"/>
      <c r="AB71" s="97"/>
      <c r="AC71" s="43"/>
      <c r="AD71" s="22"/>
    </row>
    <row r="72" spans="1:30" s="23" customFormat="1" x14ac:dyDescent="0.3">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-66</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1151</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2132+58-238-13-25+29</f>
        <v>1943</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0</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0</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1151</v>
      </c>
      <c r="AA83" s="40"/>
      <c r="AB83" s="96">
        <f>SUM(AB70:AB82)</f>
        <v>1943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1151</v>
      </c>
      <c r="AA86" s="40"/>
      <c r="AB86" s="96">
        <f>AB83+AB84+AB85</f>
        <v>1943</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-758</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-3</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-79-3</f>
        <v>-82</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32</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-583</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-52</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-34</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-34</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-30</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-50</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-42</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-305</v>
      </c>
      <c r="AC108" s="113"/>
      <c r="AD108" s="5"/>
    </row>
    <row r="109" spans="1:30" x14ac:dyDescent="0.3">
      <c r="A109" s="109">
        <v>22</v>
      </c>
      <c r="B109" s="58" t="s">
        <v>254</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v>0</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0</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0</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-1148</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-1148</v>
      </c>
      <c r="AA128" s="96"/>
      <c r="AB128" s="96">
        <f>SUM(AB87:AB126)</f>
        <v>-1943</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NOVEMBER 2020</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SUM(F29:H29)*0.015</f>
        <v>9952.14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v>0</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9952.14</v>
      </c>
      <c r="AC144" s="43"/>
      <c r="AD144" s="22"/>
    </row>
    <row r="145" spans="1:30"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SUM(J29:L29)*0.015</f>
        <v>594.95999999999992</v>
      </c>
      <c r="AC148" s="43"/>
      <c r="AD148" s="22"/>
    </row>
    <row r="149" spans="1:30"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v>1051</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-66</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985</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v>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AB200-AB202+AB203</f>
        <v>301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v>0</v>
      </c>
      <c r="Z217" s="97">
        <v>0</v>
      </c>
      <c r="AA217" s="40"/>
      <c r="AB217" s="97">
        <f>Y217+Z217</f>
        <v>0</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66</v>
      </c>
      <c r="AA218" s="40"/>
      <c r="AB218" s="97">
        <f>Y218+Z218</f>
        <v>66</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66</v>
      </c>
      <c r="AA219" s="40"/>
      <c r="AB219" s="97">
        <f>Y219+Z219</f>
        <v>66</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117287.76000000001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719034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966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1.9416809605488852</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1.94</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10.557692307692308</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10.56</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14.617647058823529</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14.62</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13.617647058823529</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13.62</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8.58</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8.58</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NOVEMBER 2020</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44165</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f>+AB35</f>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1.121239569618024E-2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2.3257604303819762E-2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1.6875331925437934E-3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21.24</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1.5974020031310188E-3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1.7600000000000001E-2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
        <v>1</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3824</v>
      </c>
      <c r="Y286" s="189">
        <f>X286/$X$295</f>
        <v>1</v>
      </c>
      <c r="Z286" s="106">
        <f t="shared" ref="Z286:Z293" si="1">+Z298+Z310+Z332</f>
        <v>719034</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3824</v>
      </c>
      <c r="Y295" s="195">
        <f>SUM(Y286:Y294)</f>
        <v>1</v>
      </c>
      <c r="Z295" s="97">
        <f>SUM(Z286:Z294)</f>
        <v>719034</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3824</v>
      </c>
      <c r="Y298" s="189">
        <f>X298/$X$307</f>
        <v>1</v>
      </c>
      <c r="Z298" s="106">
        <v>719034</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3824</v>
      </c>
      <c r="Y307" s="195">
        <f>SUM(Y298:Y306)</f>
        <v>1</v>
      </c>
      <c r="Z307" s="97">
        <f>SUM(Z298:Z306)</f>
        <v>719034</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13</v>
      </c>
      <c r="Y344" s="260">
        <f>+X344/X353</f>
        <v>1</v>
      </c>
      <c r="Z344" s="212">
        <v>4751</v>
      </c>
      <c r="AA344" s="260">
        <f>+Z344/Z353</f>
        <v>1</v>
      </c>
      <c r="AB344" s="276"/>
      <c r="AC344" s="278"/>
      <c r="AD344" s="22"/>
    </row>
    <row r="345" spans="1:30" s="23" customFormat="1" x14ac:dyDescent="0.3">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13</v>
      </c>
      <c r="Y353" s="263">
        <f>SUM(Y344:Y351)</f>
        <v>1</v>
      </c>
      <c r="Z353" s="97">
        <f>SUM(Z344:Z351)</f>
        <v>4751</v>
      </c>
      <c r="AA353" s="263">
        <f>SUM(AA344:AA351)</f>
        <v>1</v>
      </c>
      <c r="AB353" s="40"/>
      <c r="AC353" s="43"/>
      <c r="AD353" s="22"/>
    </row>
    <row r="354" spans="1:30" s="23" customFormat="1" ht="16.2" thickBot="1" x14ac:dyDescent="0.35">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3.3995815899581592E-3</v>
      </c>
      <c r="Z354" s="281"/>
      <c r="AA354" s="280">
        <f>+Z353/Z358</f>
        <v>6.607476141601093E-3</v>
      </c>
      <c r="AB354" s="282"/>
      <c r="AC354" s="43"/>
      <c r="AD354" s="22"/>
    </row>
    <row r="355" spans="1:30" s="23" customFormat="1" ht="16.2" thickTop="1" x14ac:dyDescent="0.3">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6</v>
      </c>
      <c r="Y355" s="286">
        <f>X355/X353</f>
        <v>0.46153846153846156</v>
      </c>
      <c r="Z355" s="287">
        <v>2033</v>
      </c>
      <c r="AA355" s="286">
        <f>Z355/Z353</f>
        <v>0.42790991370237846</v>
      </c>
      <c r="AB355" s="288">
        <v>1.3333333333333335</v>
      </c>
      <c r="AC355" s="43"/>
      <c r="AD355" s="22"/>
    </row>
    <row r="356" spans="1:30" s="23" customFormat="1" ht="16.2" thickBot="1" x14ac:dyDescent="0.35">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7</v>
      </c>
      <c r="Y356" s="290">
        <f>X356/X353</f>
        <v>0.53846153846153844</v>
      </c>
      <c r="Z356" s="291">
        <v>2718</v>
      </c>
      <c r="AA356" s="290">
        <f>Z356/Z353</f>
        <v>0.57209008629762159</v>
      </c>
      <c r="AB356" s="292">
        <v>1.8387096774193548</v>
      </c>
      <c r="AC356" s="43"/>
      <c r="AD356" s="22"/>
    </row>
    <row r="357" spans="1:30" s="23" customFormat="1" ht="16.2" thickTop="1" x14ac:dyDescent="0.3">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3824</v>
      </c>
      <c r="Y358" s="195"/>
      <c r="Z358" s="208">
        <f>+Z341+Z319+Z307</f>
        <v>719034</v>
      </c>
      <c r="AA358" s="195"/>
      <c r="AB358" s="40"/>
      <c r="AC358" s="43"/>
      <c r="AD358" s="22"/>
    </row>
    <row r="359" spans="1:30" s="23" customFormat="1" x14ac:dyDescent="0.3">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989</v>
      </c>
      <c r="AA359" s="195"/>
      <c r="AB359" s="40"/>
      <c r="AC359" s="43"/>
      <c r="AD359" s="22"/>
    </row>
    <row r="360" spans="1:30" s="23" customFormat="1" x14ac:dyDescent="0.3">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720023</v>
      </c>
      <c r="AA360" s="195"/>
      <c r="AB360" s="40"/>
      <c r="AC360" s="43"/>
      <c r="AD360" s="22"/>
    </row>
    <row r="361" spans="1:30" s="23" customFormat="1" x14ac:dyDescent="0.3">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720023</v>
      </c>
      <c r="AA361" s="195"/>
      <c r="AB361" s="40"/>
      <c r="AC361" s="43"/>
      <c r="AD361" s="22"/>
    </row>
    <row r="362" spans="1:30" s="23" customFormat="1" x14ac:dyDescent="0.3">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 x14ac:dyDescent="0.3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 x14ac:dyDescent="0.3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8.600000000000001" thickBot="1" x14ac:dyDescent="0.4">
      <c r="A374" s="215"/>
      <c r="B374" s="219" t="str">
        <f>B243</f>
        <v>PM28 INVESTOR REPORT QUARTER ENDING NOVEMBER 2020</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
      <c r="B377" s="273" t="s">
        <v>277</v>
      </c>
    </row>
    <row r="378" spans="1:30" x14ac:dyDescent="0.3">
      <c r="B378" s="265" t="s">
        <v>278</v>
      </c>
    </row>
    <row r="379" spans="1:30" x14ac:dyDescent="0.3">
      <c r="B379" s="265" t="s">
        <v>279</v>
      </c>
    </row>
    <row r="380" spans="1:30" x14ac:dyDescent="0.3">
      <c r="B380" s="265" t="s">
        <v>280</v>
      </c>
    </row>
    <row r="381" spans="1:30" x14ac:dyDescent="0.3">
      <c r="B381" s="265" t="s">
        <v>281</v>
      </c>
    </row>
    <row r="382" spans="1:30" x14ac:dyDescent="0.3">
      <c r="B382" s="265" t="s">
        <v>282</v>
      </c>
    </row>
    <row r="383" spans="1:30" x14ac:dyDescent="0.3">
      <c r="B383" s="265" t="s">
        <v>283</v>
      </c>
    </row>
    <row r="384" spans="1:30" x14ac:dyDescent="0.3">
      <c r="B384" s="265" t="s">
        <v>284</v>
      </c>
    </row>
    <row r="385" spans="2:19" x14ac:dyDescent="0.3">
      <c r="B385" s="265"/>
    </row>
    <row r="386" spans="2:19" x14ac:dyDescent="0.3">
      <c r="B386" s="273" t="s">
        <v>300</v>
      </c>
    </row>
    <row r="387" spans="2:19" x14ac:dyDescent="0.3">
      <c r="B387" s="265" t="s">
        <v>339</v>
      </c>
    </row>
    <row r="388" spans="2:19" x14ac:dyDescent="0.3">
      <c r="B388" s="265" t="s">
        <v>351</v>
      </c>
    </row>
    <row r="389" spans="2:19" x14ac:dyDescent="0.3">
      <c r="B389" s="265"/>
    </row>
    <row r="390" spans="2:19" x14ac:dyDescent="0.3">
      <c r="B390" s="273" t="s">
        <v>285</v>
      </c>
    </row>
    <row r="391" spans="2:19" x14ac:dyDescent="0.3">
      <c r="B391" s="265" t="s">
        <v>286</v>
      </c>
    </row>
    <row r="392" spans="2:19" x14ac:dyDescent="0.3">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9653096F-AE09-4E5E-99FA-10377205F0EA}"/>
    <hyperlink ref="P372" r:id="rId2" xr:uid="{DB066EFA-9420-4F0B-8D41-3E40C5E82DDE}"/>
    <hyperlink ref="P283" r:id="rId3" xr:uid="{2F4B0982-4266-4DD6-9FF0-5BA0D73405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C163-9996-40DC-B904-54064B4494E6}">
  <sheetPr>
    <tabColor rgb="FF2D2926"/>
  </sheetPr>
  <dimension ref="A1:JB364"/>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2.2634445236975824E-2</v>
      </c>
      <c r="Z17" s="299" t="s">
        <v>259</v>
      </c>
      <c r="AA17" s="299">
        <v>0.97736555476302422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45007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537301.75184000004</v>
      </c>
      <c r="G30" s="54"/>
      <c r="H30" s="54">
        <f>H29</f>
        <v>39664</v>
      </c>
      <c r="I30" s="54"/>
      <c r="J30" s="54">
        <f>J29</f>
        <v>21635</v>
      </c>
      <c r="K30" s="54"/>
      <c r="L30" s="54">
        <f>L29</f>
        <v>18029</v>
      </c>
      <c r="M30" s="54"/>
      <c r="N30" s="54">
        <f>N29</f>
        <v>18031</v>
      </c>
      <c r="O30" s="54"/>
      <c r="P30" s="54">
        <f>P29*P33</f>
        <v>9607.1234399999994</v>
      </c>
      <c r="Q30" s="54"/>
      <c r="R30" s="54">
        <v>0</v>
      </c>
      <c r="S30" s="54"/>
      <c r="T30" s="54" t="s">
        <v>83</v>
      </c>
      <c r="U30" s="54"/>
      <c r="V30" s="54" t="s">
        <v>83</v>
      </c>
      <c r="W30" s="54"/>
      <c r="X30" s="54" t="s">
        <v>83</v>
      </c>
      <c r="Y30" s="54" t="s">
        <v>83</v>
      </c>
      <c r="Z30" s="54"/>
      <c r="AA30" s="49"/>
      <c r="AB30" s="50">
        <f>SUM(F30:N30)</f>
        <v>634660.75184000004</v>
      </c>
      <c r="AC30" s="51"/>
      <c r="AD30" s="22"/>
    </row>
    <row r="31" spans="1:33" s="23" customFormat="1" x14ac:dyDescent="0.3">
      <c r="A31" s="47"/>
      <c r="B31" s="44" t="s">
        <v>92</v>
      </c>
      <c r="C31" s="49"/>
      <c r="D31" s="56"/>
      <c r="E31" s="56"/>
      <c r="F31" s="56">
        <f>F29*F32</f>
        <v>529460.43500000006</v>
      </c>
      <c r="G31" s="56"/>
      <c r="H31" s="56">
        <f>H29</f>
        <v>39664</v>
      </c>
      <c r="I31" s="56"/>
      <c r="J31" s="56">
        <f>J29</f>
        <v>21635</v>
      </c>
      <c r="K31" s="56"/>
      <c r="L31" s="56">
        <f>L29</f>
        <v>18029</v>
      </c>
      <c r="M31" s="56"/>
      <c r="N31" s="56">
        <f>N29</f>
        <v>18031</v>
      </c>
      <c r="O31" s="56"/>
      <c r="P31" s="56">
        <f>P29*P32</f>
        <v>9249.2726399999992</v>
      </c>
      <c r="Q31" s="56"/>
      <c r="R31" s="56">
        <v>0</v>
      </c>
      <c r="S31" s="56"/>
      <c r="T31" s="56" t="s">
        <v>83</v>
      </c>
      <c r="U31" s="56"/>
      <c r="V31" s="56" t="s">
        <v>83</v>
      </c>
      <c r="W31" s="56"/>
      <c r="X31" s="56" t="s">
        <v>83</v>
      </c>
      <c r="Y31" s="56" t="s">
        <v>83</v>
      </c>
      <c r="Z31" s="56"/>
      <c r="AA31" s="49"/>
      <c r="AB31" s="55">
        <f>SUM(F31:N31)</f>
        <v>626819.43500000006</v>
      </c>
      <c r="AC31" s="51"/>
      <c r="AD31" s="22"/>
      <c r="AE31" s="231"/>
    </row>
    <row r="32" spans="1:33" s="64" customFormat="1" x14ac:dyDescent="0.3">
      <c r="A32" s="57"/>
      <c r="B32" s="163" t="s">
        <v>88</v>
      </c>
      <c r="C32" s="60"/>
      <c r="D32" s="59"/>
      <c r="E32" s="59"/>
      <c r="F32" s="59">
        <v>0.84875</v>
      </c>
      <c r="G32" s="59"/>
      <c r="H32" s="59">
        <v>1</v>
      </c>
      <c r="I32" s="59"/>
      <c r="J32" s="59">
        <v>1</v>
      </c>
      <c r="K32" s="59"/>
      <c r="L32" s="59">
        <v>1</v>
      </c>
      <c r="M32" s="59"/>
      <c r="N32" s="59">
        <v>1</v>
      </c>
      <c r="O32" s="59"/>
      <c r="P32" s="59">
        <v>0.82967999999999997</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0.86131999999999997</v>
      </c>
      <c r="G33" s="59"/>
      <c r="H33" s="59">
        <v>1</v>
      </c>
      <c r="I33" s="59"/>
      <c r="J33" s="59">
        <v>1</v>
      </c>
      <c r="K33" s="59"/>
      <c r="L33" s="59">
        <v>1</v>
      </c>
      <c r="M33" s="59"/>
      <c r="N33" s="59">
        <v>1</v>
      </c>
      <c r="O33" s="59"/>
      <c r="P33" s="59">
        <v>0.86177999999999999</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4.5429200000000003E-2</v>
      </c>
      <c r="G35" s="236"/>
      <c r="H35" s="236">
        <v>4.94292E-2</v>
      </c>
      <c r="I35" s="236"/>
      <c r="J35" s="236">
        <v>5.2429200000000002E-2</v>
      </c>
      <c r="K35" s="236"/>
      <c r="L35" s="236">
        <v>5.5429199999999998E-2</v>
      </c>
      <c r="M35" s="236"/>
      <c r="N35" s="236">
        <v>6.5429200000000007E-2</v>
      </c>
      <c r="O35" s="236"/>
      <c r="P35" s="236">
        <v>7.5929200000000002E-2</v>
      </c>
      <c r="Q35" s="236"/>
      <c r="R35" s="236">
        <v>7.5929200000000002E-2</v>
      </c>
      <c r="S35" s="67"/>
      <c r="T35" s="67" t="s">
        <v>83</v>
      </c>
      <c r="U35" s="67"/>
      <c r="V35" s="67" t="s">
        <v>83</v>
      </c>
      <c r="W35" s="67"/>
      <c r="X35" s="67" t="s">
        <v>83</v>
      </c>
      <c r="Y35" s="67" t="s">
        <v>83</v>
      </c>
      <c r="Z35" s="67"/>
      <c r="AA35" s="40"/>
      <c r="AB35" s="66">
        <f>SUMPRODUCT(D35:N35,D30:N30)/AB30</f>
        <v>4.6770091173012923E-2</v>
      </c>
      <c r="AC35" s="43"/>
      <c r="AD35" s="22"/>
    </row>
    <row r="36" spans="1:30" s="23" customFormat="1" x14ac:dyDescent="0.3">
      <c r="A36" s="47"/>
      <c r="B36" s="40" t="s">
        <v>10</v>
      </c>
      <c r="C36" s="68"/>
      <c r="D36" s="236"/>
      <c r="E36" s="236"/>
      <c r="F36" s="236">
        <v>3.3522900000000001E-2</v>
      </c>
      <c r="G36" s="236"/>
      <c r="H36" s="236">
        <v>3.7522899999999998E-2</v>
      </c>
      <c r="I36" s="236"/>
      <c r="J36" s="236">
        <v>4.0522900000000001E-2</v>
      </c>
      <c r="K36" s="236"/>
      <c r="L36" s="236">
        <v>4.3522900000000003E-2</v>
      </c>
      <c r="M36" s="236"/>
      <c r="N36" s="236">
        <v>5.3522899999999998E-2</v>
      </c>
      <c r="O36" s="236"/>
      <c r="P36" s="236">
        <v>6.4022899999999994E-2</v>
      </c>
      <c r="Q36" s="236"/>
      <c r="R36" s="236">
        <v>6.4022899999999994E-2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0.18388342841897146</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45000</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44819</v>
      </c>
      <c r="AA47" s="76"/>
      <c r="AB47" s="75">
        <v>44909</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44910</v>
      </c>
      <c r="AA48" s="76"/>
      <c r="AB48" s="75">
        <v>44999</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44999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368</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634375</v>
      </c>
      <c r="S57" s="234"/>
      <c r="T57" s="233">
        <f>356+16</f>
        <v>372</v>
      </c>
      <c r="U57" s="234"/>
      <c r="V57" s="234">
        <v>7185</v>
      </c>
      <c r="W57" s="234"/>
      <c r="X57" s="234">
        <v>0</v>
      </c>
      <c r="Y57" s="234"/>
      <c r="Z57" s="234">
        <v>0</v>
      </c>
      <c r="AA57" s="234"/>
      <c r="AB57" s="233">
        <f>R57-T57-V57+X57-Z57</f>
        <v>626818</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634375</v>
      </c>
      <c r="S60" s="234"/>
      <c r="T60" s="234">
        <f>T57+T58</f>
        <v>372</v>
      </c>
      <c r="U60" s="234"/>
      <c r="V60" s="234">
        <f>SUM(V57:V59)</f>
        <v>7185</v>
      </c>
      <c r="W60" s="234"/>
      <c r="X60" s="234">
        <f>SUM(X57:X59)</f>
        <v>0</v>
      </c>
      <c r="Y60" s="234"/>
      <c r="Z60" s="234">
        <f>SUM(Z57:Z59)</f>
        <v>0</v>
      </c>
      <c r="AA60" s="234"/>
      <c r="AB60" s="234">
        <f>SUM(AB57:AB59)</f>
        <v>626818</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2</v>
      </c>
      <c r="S63" s="234"/>
      <c r="T63" s="234">
        <v>0</v>
      </c>
      <c r="U63" s="234"/>
      <c r="V63" s="234">
        <v>-1</v>
      </c>
      <c r="W63" s="234"/>
      <c r="X63" s="234"/>
      <c r="Y63" s="234"/>
      <c r="Z63" s="234"/>
      <c r="AA63" s="234"/>
      <c r="AB63" s="234">
        <f>R63+V63</f>
        <v>1</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284</v>
      </c>
      <c r="S64" s="234"/>
      <c r="T64" s="234"/>
      <c r="U64" s="234"/>
      <c r="V64" s="234"/>
      <c r="W64" s="234"/>
      <c r="X64" s="234">
        <f>-X57-284</f>
        <v>-284</v>
      </c>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634661</v>
      </c>
      <c r="S66" s="234"/>
      <c r="T66" s="234"/>
      <c r="U66" s="234"/>
      <c r="V66" s="234"/>
      <c r="W66" s="234"/>
      <c r="X66" s="234"/>
      <c r="Y66" s="234"/>
      <c r="Z66" s="234"/>
      <c r="AA66" s="234"/>
      <c r="AB66" s="234">
        <f>SUM(AB60:AB65)</f>
        <v>626819</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44985</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2</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284</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-Z71+284</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7557</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6280+150-563-17</f>
        <v>5850</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148+3</f>
        <v>151</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222</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358</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3475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7843</v>
      </c>
      <c r="AA83" s="40"/>
      <c r="AB83" s="96">
        <f>SUM(AB70:AB82)</f>
        <v>10056</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7843</v>
      </c>
      <c r="AA86" s="40"/>
      <c r="AB86" s="96">
        <f>AB83+AB84+AB85</f>
        <v>10056</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-313-7-9</f>
        <v>-329</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4532</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-6020</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-484</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-280</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-246</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-291</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-180</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-358</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-15-63</f>
        <v>-78</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-3793</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-7842</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-7842</v>
      </c>
      <c r="AA128" s="96"/>
      <c r="AB128" s="96">
        <f>SUM(AB87:AB126)</f>
        <v>-10056</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1</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FEBRUARY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22'!AB144</f>
        <v>9012.14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-358</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8654.14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22'!AB157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22'!AB163</f>
        <v>284</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X64+284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-284</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22'!AB196</f>
        <v>4209</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2515</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3475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3249</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22'!AB204</f>
        <v>2554</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2515</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2539</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22'!AB212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22'!Y219</f>
        <v>0</v>
      </c>
      <c r="Z217" s="97">
        <f>+'November 22'!Z219</f>
        <v>485</v>
      </c>
      <c r="AA217" s="40"/>
      <c r="AB217" s="97">
        <f>Y217+Z217</f>
        <v>485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485</v>
      </c>
      <c r="AA219" s="40"/>
      <c r="AB219" s="97">
        <f>Y219+Z219</f>
        <v>485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611368</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-2468</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2.3682724252491694</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2.92</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17.018595041322314</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23.07</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27.689285714285713</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35.72</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30.378048780487806</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37.31</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24.835051546391753</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26.93</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FEBRUARY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44985</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3.6781043855263498E-2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4.6770091173012923E-2</v>
      </c>
      <c r="AA250" s="40"/>
      <c r="AB250" s="40"/>
      <c r="AC250" s="43"/>
      <c r="AD250" s="22"/>
    </row>
    <row r="251" spans="1:30" s="23" customFormat="1" x14ac:dyDescent="0.3">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2.2985499345319786E-2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18.97</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1.1907144128912917E-2</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5.7700000000000001E-2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22'!Z273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3269</v>
      </c>
      <c r="Y286" s="189">
        <f>X286/$X$295</f>
        <v>0.99877787962114273</v>
      </c>
      <c r="Z286" s="106">
        <f t="shared" ref="Z286:Z293" si="1">+Z298+Z310+Z332</f>
        <v>626232</v>
      </c>
      <c r="AA286" s="189">
        <f>Z286/$Z$295</f>
        <v>0.99906511938074527</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3</v>
      </c>
      <c r="Y287" s="193">
        <f t="shared" ref="Y287:Y293" si="2">X287/$X$295</f>
        <v>9.1659028414298811E-4</v>
      </c>
      <c r="Z287" s="194">
        <f t="shared" si="1"/>
        <v>330</v>
      </c>
      <c r="AA287" s="195">
        <f>Z287/$Z$295</f>
        <v>5.2646860811272173E-4</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1</v>
      </c>
      <c r="Y289" s="197">
        <f t="shared" si="2"/>
        <v>3.0553009471432935E-4</v>
      </c>
      <c r="Z289" s="130">
        <f t="shared" si="1"/>
        <v>256</v>
      </c>
      <c r="AA289" s="195">
        <f t="shared" si="3"/>
        <v>4.084120111419902E-4</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3273</v>
      </c>
      <c r="Y295" s="195">
        <f>SUM(Y286:Y294)</f>
        <v>1</v>
      </c>
      <c r="Z295" s="97">
        <f>SUM(Z286:Z294)</f>
        <v>626818</v>
      </c>
      <c r="AA295" s="195">
        <f>SUM(AA286:AA294)</f>
        <v>0.99999999999999989</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3269</v>
      </c>
      <c r="Y298" s="189">
        <f>X298/$X$307</f>
        <v>0.99877787962114273</v>
      </c>
      <c r="Z298" s="106">
        <v>626232</v>
      </c>
      <c r="AA298" s="189">
        <f>Z298/$Z$307</f>
        <v>0.99906511938074527</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3</v>
      </c>
      <c r="Y299" s="195">
        <f t="shared" ref="Y299:Y305" si="4">X299/$X$307</f>
        <v>9.1659028414298811E-4</v>
      </c>
      <c r="Z299" s="97">
        <v>330</v>
      </c>
      <c r="AA299" s="195">
        <f t="shared" ref="AA299:AA305" si="5">Z299/$Z$307</f>
        <v>5.2646860811272173E-4</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1</v>
      </c>
      <c r="Y301" s="195">
        <f t="shared" si="4"/>
        <v>3.0553009471432935E-4</v>
      </c>
      <c r="Z301" s="97">
        <v>256</v>
      </c>
      <c r="AA301" s="195">
        <f t="shared" si="5"/>
        <v>4.084120111419902E-4</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3273</v>
      </c>
      <c r="Y307" s="195">
        <f>SUM(Y298:Y306)</f>
        <v>1</v>
      </c>
      <c r="Z307" s="97">
        <f>SUM(Z298:Z306)</f>
        <v>626818</v>
      </c>
      <c r="AA307" s="195">
        <f>SUM(AA298:AA306)</f>
        <v>0.99999999999999989</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3273</v>
      </c>
      <c r="Y343" s="195"/>
      <c r="Z343" s="208">
        <f>+Z341+Z319+Z307</f>
        <v>626818</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1</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626819</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626819</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FEBRUARY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370</v>
      </c>
    </row>
    <row r="364" spans="1:30" x14ac:dyDescent="0.3">
      <c r="B364" s="265" t="s">
        <v>371</v>
      </c>
    </row>
  </sheetData>
  <hyperlinks>
    <hyperlink ref="K9" r:id="rId1" display="http://www.paragon-group.co.uk" xr:uid="{8912FAA2-93E1-40D8-9C44-F971D64D19DE}"/>
    <hyperlink ref="P355" r:id="rId2" xr:uid="{EEEA81F1-5206-45F5-B67A-713E5C348D6D}"/>
    <hyperlink ref="P283" r:id="rId3" xr:uid="{109BC2C0-8AC9-4468-A6C4-3A40699268A9}"/>
    <hyperlink ref="B361" r:id="rId4" display="https://investorreporting.paragonbankinggroup.co.uk/bondinvestor_viewer/resources/bondinvestor/pdf/investornews/2021/libor-mortgages-transition-july-19" xr:uid="{48D61DC0-E653-432C-B39E-3AD68E37B60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72A9-D127-4F44-AA24-6FA23EEE0425}">
  <sheetPr>
    <tabColor rgb="FF89CB31"/>
  </sheetPr>
  <dimension ref="A1:JB364"/>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2.23529915442694E-2</v>
      </c>
      <c r="Z17" s="299" t="s">
        <v>259</v>
      </c>
      <c r="AA17" s="299">
        <v>0.9776470084557306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45099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529460.43500000006</v>
      </c>
      <c r="G30" s="54"/>
      <c r="H30" s="54">
        <f>H29</f>
        <v>39664</v>
      </c>
      <c r="I30" s="54"/>
      <c r="J30" s="54">
        <f>J29</f>
        <v>21635</v>
      </c>
      <c r="K30" s="54"/>
      <c r="L30" s="54">
        <f>L29</f>
        <v>18029</v>
      </c>
      <c r="M30" s="54"/>
      <c r="N30" s="54">
        <f>N29</f>
        <v>18031</v>
      </c>
      <c r="O30" s="54"/>
      <c r="P30" s="54">
        <f>P29*P33</f>
        <v>9249.2726399999992</v>
      </c>
      <c r="Q30" s="54"/>
      <c r="R30" s="54">
        <v>0</v>
      </c>
      <c r="S30" s="54"/>
      <c r="T30" s="54" t="s">
        <v>83</v>
      </c>
      <c r="U30" s="54"/>
      <c r="V30" s="54" t="s">
        <v>83</v>
      </c>
      <c r="W30" s="54"/>
      <c r="X30" s="54" t="s">
        <v>83</v>
      </c>
      <c r="Y30" s="54" t="s">
        <v>83</v>
      </c>
      <c r="Z30" s="54"/>
      <c r="AA30" s="49"/>
      <c r="AB30" s="50">
        <f>SUM(F30:N30)</f>
        <v>626819.43500000006</v>
      </c>
      <c r="AC30" s="51"/>
      <c r="AD30" s="22"/>
    </row>
    <row r="31" spans="1:33" s="23" customFormat="1" x14ac:dyDescent="0.3">
      <c r="A31" s="47"/>
      <c r="B31" s="44" t="s">
        <v>92</v>
      </c>
      <c r="C31" s="49"/>
      <c r="D31" s="56"/>
      <c r="E31" s="56"/>
      <c r="F31" s="56">
        <f>F29*F32</f>
        <v>524413.79591999995</v>
      </c>
      <c r="G31" s="56"/>
      <c r="H31" s="56">
        <f>H29</f>
        <v>39664</v>
      </c>
      <c r="I31" s="56"/>
      <c r="J31" s="56">
        <f>J29</f>
        <v>21635</v>
      </c>
      <c r="K31" s="56"/>
      <c r="L31" s="56">
        <f>L29</f>
        <v>18029</v>
      </c>
      <c r="M31" s="56"/>
      <c r="N31" s="56">
        <f>N29</f>
        <v>18031</v>
      </c>
      <c r="O31" s="56"/>
      <c r="P31" s="56">
        <f>P29*P32</f>
        <v>9131.6612399999995</v>
      </c>
      <c r="Q31" s="56"/>
      <c r="R31" s="56">
        <v>0</v>
      </c>
      <c r="S31" s="56"/>
      <c r="T31" s="56" t="s">
        <v>83</v>
      </c>
      <c r="U31" s="56"/>
      <c r="V31" s="56" t="s">
        <v>83</v>
      </c>
      <c r="W31" s="56"/>
      <c r="X31" s="56" t="s">
        <v>83</v>
      </c>
      <c r="Y31" s="56" t="s">
        <v>83</v>
      </c>
      <c r="Z31" s="56"/>
      <c r="AA31" s="49"/>
      <c r="AB31" s="55">
        <f>SUM(F31:N31)-2</f>
        <v>621770.79591999995</v>
      </c>
      <c r="AC31" s="51"/>
      <c r="AD31" s="22"/>
      <c r="AE31" s="231"/>
    </row>
    <row r="32" spans="1:33" s="64" customFormat="1" x14ac:dyDescent="0.3">
      <c r="A32" s="57"/>
      <c r="B32" s="163" t="s">
        <v>88</v>
      </c>
      <c r="C32" s="60"/>
      <c r="D32" s="59"/>
      <c r="E32" s="59"/>
      <c r="F32" s="59">
        <v>0.84065999999999996</v>
      </c>
      <c r="G32" s="59"/>
      <c r="H32" s="59">
        <v>1</v>
      </c>
      <c r="I32" s="59"/>
      <c r="J32" s="59">
        <v>1</v>
      </c>
      <c r="K32" s="59"/>
      <c r="L32" s="59">
        <v>1</v>
      </c>
      <c r="M32" s="59"/>
      <c r="N32" s="59">
        <v>1</v>
      </c>
      <c r="O32" s="59"/>
      <c r="P32" s="59">
        <v>0.81913000000000002</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0.84875</v>
      </c>
      <c r="G33" s="59"/>
      <c r="H33" s="59">
        <v>1</v>
      </c>
      <c r="I33" s="59"/>
      <c r="J33" s="59">
        <v>1</v>
      </c>
      <c r="K33" s="59"/>
      <c r="L33" s="59">
        <v>1</v>
      </c>
      <c r="M33" s="59"/>
      <c r="N33" s="59">
        <v>1</v>
      </c>
      <c r="O33" s="59"/>
      <c r="P33" s="59">
        <v>0.82967999999999997</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5.1846499999999997E-2</v>
      </c>
      <c r="G35" s="236"/>
      <c r="H35" s="236">
        <v>5.58465E-2</v>
      </c>
      <c r="I35" s="236"/>
      <c r="J35" s="236">
        <v>5.8846500000000003E-2</v>
      </c>
      <c r="K35" s="236"/>
      <c r="L35" s="236">
        <v>6.1846499999999999E-2</v>
      </c>
      <c r="M35" s="236"/>
      <c r="N35" s="236">
        <v>7.1846499999999994E-2</v>
      </c>
      <c r="O35" s="236"/>
      <c r="P35" s="236">
        <v>8.2346500000000003E-2</v>
      </c>
      <c r="Q35" s="236"/>
      <c r="R35" s="236">
        <v>8.2346500000000003E-2</v>
      </c>
      <c r="S35" s="67"/>
      <c r="T35" s="67" t="s">
        <v>83</v>
      </c>
      <c r="U35" s="67"/>
      <c r="V35" s="67" t="s">
        <v>83</v>
      </c>
      <c r="W35" s="67"/>
      <c r="X35" s="67" t="s">
        <v>83</v>
      </c>
      <c r="Y35" s="67" t="s">
        <v>83</v>
      </c>
      <c r="Z35" s="67"/>
      <c r="AA35" s="40"/>
      <c r="AB35" s="66">
        <f>SUMPRODUCT(D35:N35,D30:N30)/AB30</f>
        <v>5.3204165305958472E-2</v>
      </c>
      <c r="AC35" s="43"/>
      <c r="AD35" s="22"/>
    </row>
    <row r="36" spans="1:30" s="23" customFormat="1" x14ac:dyDescent="0.3">
      <c r="A36" s="47"/>
      <c r="B36" s="40" t="s">
        <v>10</v>
      </c>
      <c r="C36" s="68"/>
      <c r="D36" s="236"/>
      <c r="E36" s="236"/>
      <c r="F36" s="236">
        <v>4.5429200000000003E-2</v>
      </c>
      <c r="G36" s="236"/>
      <c r="H36" s="236">
        <v>4.94292E-2</v>
      </c>
      <c r="I36" s="236"/>
      <c r="J36" s="236">
        <v>5.2429200000000002E-2</v>
      </c>
      <c r="K36" s="236"/>
      <c r="L36" s="236">
        <v>5.5429199999999998E-2</v>
      </c>
      <c r="M36" s="236"/>
      <c r="N36" s="236">
        <v>6.5429200000000007E-2</v>
      </c>
      <c r="O36" s="236"/>
      <c r="P36" s="236">
        <v>7.5929200000000002E-2</v>
      </c>
      <c r="Q36" s="236"/>
      <c r="R36" s="236">
        <v>7.5929200000000002E-2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0.18565301057574055</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45092</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44910</v>
      </c>
      <c r="AA47" s="76"/>
      <c r="AB47" s="75">
        <v>44999</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45000</v>
      </c>
      <c r="AA48" s="76"/>
      <c r="AB48" s="75">
        <v>45091</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45091</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372</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626818</v>
      </c>
      <c r="S57" s="234"/>
      <c r="T57" s="233">
        <f>359+17</f>
        <v>376</v>
      </c>
      <c r="U57" s="234"/>
      <c r="V57" s="234">
        <v>4676</v>
      </c>
      <c r="W57" s="234"/>
      <c r="X57" s="234">
        <v>3</v>
      </c>
      <c r="Y57" s="234"/>
      <c r="Z57" s="234">
        <v>0</v>
      </c>
      <c r="AA57" s="234"/>
      <c r="AB57" s="233">
        <f>R57-T57-V57+X57-Z57</f>
        <v>621769</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626818</v>
      </c>
      <c r="S60" s="234"/>
      <c r="T60" s="234">
        <f>T57+T58</f>
        <v>376</v>
      </c>
      <c r="U60" s="234"/>
      <c r="V60" s="234">
        <f>SUM(V57:V59)</f>
        <v>4676</v>
      </c>
      <c r="W60" s="234"/>
      <c r="X60" s="234">
        <f>SUM(X57:X59)</f>
        <v>3</v>
      </c>
      <c r="Y60" s="234"/>
      <c r="Z60" s="234">
        <f>SUM(Z57:Z59)</f>
        <v>0</v>
      </c>
      <c r="AA60" s="234"/>
      <c r="AB60" s="234">
        <f>SUM(AB57:AB59)</f>
        <v>621769</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1</v>
      </c>
      <c r="S63" s="234"/>
      <c r="T63" s="234">
        <v>0</v>
      </c>
      <c r="U63" s="234"/>
      <c r="V63" s="234">
        <v>1</v>
      </c>
      <c r="W63" s="234"/>
      <c r="X63" s="234"/>
      <c r="Y63" s="234"/>
      <c r="Z63" s="234"/>
      <c r="AA63" s="234"/>
      <c r="AB63" s="234">
        <f>R63+V63</f>
        <v>2</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626819</v>
      </c>
      <c r="S66" s="234"/>
      <c r="T66" s="234"/>
      <c r="U66" s="234"/>
      <c r="V66" s="234"/>
      <c r="W66" s="234"/>
      <c r="X66" s="234"/>
      <c r="Y66" s="234"/>
      <c r="Z66" s="234"/>
      <c r="AA66" s="234"/>
      <c r="AB66" s="234">
        <f>SUM(AB60:AB65)</f>
        <v>621771</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45077</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1</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5052</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6071+149-466-18</f>
        <v>5736</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63+9</f>
        <v>72</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251</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117</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2980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5053</v>
      </c>
      <c r="AA83" s="40"/>
      <c r="AB83" s="96">
        <f>SUM(AB70:AB82)</f>
        <v>9156</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5053</v>
      </c>
      <c r="AA86" s="40"/>
      <c r="AB86" s="96">
        <f>AB83+AB84+AB85</f>
        <v>9156</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-316-3-9</f>
        <v>-328</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5617</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-6918</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-559</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-321</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-281</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-327</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-192</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-117</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-15-63</f>
        <v>-78</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-3623</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-3</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-5048</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-5051</v>
      </c>
      <c r="AA128" s="96"/>
      <c r="AB128" s="96">
        <f>SUM(AB87:AB126)</f>
        <v>-9156</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2</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MAY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23'!AB144</f>
        <v>8654.14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-117</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8537.14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23'!AB157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23'!AB163</f>
        <v>0</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23'!AB196</f>
        <v>3249</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2511</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2980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2780</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23'!AB204</f>
        <v>2539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2511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2028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23'!AB212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23'!Y219</f>
        <v>0</v>
      </c>
      <c r="Z217" s="97">
        <f>+'February 23'!Z219</f>
        <v>485</v>
      </c>
      <c r="AA217" s="40"/>
      <c r="AB217" s="97">
        <f>Y217+Z217</f>
        <v>485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3</v>
      </c>
      <c r="AA218" s="40"/>
      <c r="AB218" s="97">
        <f>Y218+Z218</f>
        <v>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610224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-1324</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2.0877421220005781</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2.74</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13.461538461538462</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21.05</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21.700934579439252</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32.950000000000003</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23.647686832740213</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34.729999999999997</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19.461773700305809</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25.68</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MAY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45077</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3.6642296322643916E-2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5.3204165305958472E-2</v>
      </c>
      <c r="AA250" s="40"/>
      <c r="AB250" s="40"/>
      <c r="AC250" s="43"/>
      <c r="AD250" s="22"/>
    </row>
    <row r="251" spans="1:30" s="23" customFormat="1" x14ac:dyDescent="0.3">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2.3568207090085017E-2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18.71</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8.0597429241934266E-3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5.5300000000000002E-2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23'!Z273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3245</v>
      </c>
      <c r="Y286" s="189">
        <f>X286/$X$295</f>
        <v>0.99938404681244231</v>
      </c>
      <c r="Z286" s="106">
        <f t="shared" ref="Z286:Z293" si="1">+Z298+Z310+Z332</f>
        <v>621379</v>
      </c>
      <c r="AA286" s="189">
        <f>Z286/$Z$295</f>
        <v>0.99937275740668963</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1</v>
      </c>
      <c r="Y287" s="193">
        <f t="shared" ref="Y287:Y293" si="2">X287/$X$295</f>
        <v>3.0797659377887281E-4</v>
      </c>
      <c r="Z287" s="194">
        <f t="shared" si="1"/>
        <v>321</v>
      </c>
      <c r="AA287" s="195">
        <f>Z287/$Z$295</f>
        <v>5.1626890372469519E-4</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1</v>
      </c>
      <c r="Y288" s="197">
        <f t="shared" si="2"/>
        <v>3.0797659377887281E-4</v>
      </c>
      <c r="Z288" s="130">
        <f t="shared" si="1"/>
        <v>69</v>
      </c>
      <c r="AA288" s="195">
        <f t="shared" ref="AA288:AA293" si="3">Z288/$Z$295</f>
        <v>1.1097368958568215E-4</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3247</v>
      </c>
      <c r="Y295" s="195">
        <f>SUM(Y286:Y294)</f>
        <v>1</v>
      </c>
      <c r="Z295" s="97">
        <f>SUM(Z286:Z294)</f>
        <v>621769</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3245</v>
      </c>
      <c r="Y298" s="189">
        <f>X298/$X$307</f>
        <v>0.99938404681244231</v>
      </c>
      <c r="Z298" s="106">
        <v>621379</v>
      </c>
      <c r="AA298" s="189">
        <f>Z298/$Z$307</f>
        <v>0.99937275740668963</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1</v>
      </c>
      <c r="Y299" s="195">
        <f t="shared" ref="Y299:Y305" si="4">X299/$X$307</f>
        <v>3.0797659377887281E-4</v>
      </c>
      <c r="Z299" s="97">
        <v>321</v>
      </c>
      <c r="AA299" s="195">
        <f t="shared" ref="AA299:AA305" si="5">Z299/$Z$307</f>
        <v>5.1626890372469519E-4</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1</v>
      </c>
      <c r="Y300" s="195">
        <f t="shared" si="4"/>
        <v>3.0797659377887281E-4</v>
      </c>
      <c r="Z300" s="97">
        <v>69</v>
      </c>
      <c r="AA300" s="195">
        <f t="shared" si="5"/>
        <v>1.1097368958568215E-4</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3247</v>
      </c>
      <c r="Y307" s="195">
        <f>SUM(Y298:Y306)</f>
        <v>1</v>
      </c>
      <c r="Z307" s="97">
        <f>SUM(Z298:Z306)</f>
        <v>621769</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3247</v>
      </c>
      <c r="Y343" s="195"/>
      <c r="Z343" s="208">
        <f>+Z341+Z319+Z307</f>
        <v>621769</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2</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621771</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621771</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1.0000032166193928</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MAY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370</v>
      </c>
    </row>
    <row r="364" spans="1:30" x14ac:dyDescent="0.3">
      <c r="B364" s="265" t="s">
        <v>371</v>
      </c>
    </row>
  </sheetData>
  <hyperlinks>
    <hyperlink ref="K9" r:id="rId1" display="http://www.paragon-group.co.uk" xr:uid="{3789C4C7-DD2E-44D3-B1C2-39B1FF9A71E6}"/>
    <hyperlink ref="P355" r:id="rId2" xr:uid="{7196ED29-CF9C-4219-AA8B-EC6271396336}"/>
    <hyperlink ref="P283" r:id="rId3" xr:uid="{20E9B621-9F65-4594-ADDA-D124630522F9}"/>
    <hyperlink ref="B361" r:id="rId4" display="https://investorreporting.paragonbankinggroup.co.uk/bondinvestor_viewer/resources/bondinvestor/pdf/investornews/2021/libor-mortgages-transition-july-19" xr:uid="{9DCC2DC5-15F9-402E-9CF0-03F35AFCA3B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5EB-7F97-426B-913E-2355D3218FE8}">
  <sheetPr>
    <tabColor rgb="FF2D2926"/>
  </sheetPr>
  <dimension ref="A1:JB364"/>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2.2443145802738991E-2</v>
      </c>
      <c r="Z17" s="299" t="s">
        <v>259</v>
      </c>
      <c r="AA17" s="299">
        <v>0.97755685419726102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45191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524413.79591999995</v>
      </c>
      <c r="G30" s="54"/>
      <c r="H30" s="54">
        <f>H29</f>
        <v>39664</v>
      </c>
      <c r="I30" s="54"/>
      <c r="J30" s="54">
        <f>J29</f>
        <v>21635</v>
      </c>
      <c r="K30" s="54"/>
      <c r="L30" s="54">
        <f>L29</f>
        <v>18029</v>
      </c>
      <c r="M30" s="54"/>
      <c r="N30" s="54">
        <f>N29</f>
        <v>18031</v>
      </c>
      <c r="O30" s="54"/>
      <c r="P30" s="54">
        <f>P29*P33</f>
        <v>9131.6612399999995</v>
      </c>
      <c r="Q30" s="54"/>
      <c r="R30" s="54">
        <v>0</v>
      </c>
      <c r="S30" s="54"/>
      <c r="T30" s="54" t="s">
        <v>83</v>
      </c>
      <c r="U30" s="54"/>
      <c r="V30" s="54" t="s">
        <v>83</v>
      </c>
      <c r="W30" s="54"/>
      <c r="X30" s="54" t="s">
        <v>83</v>
      </c>
      <c r="Y30" s="54" t="s">
        <v>83</v>
      </c>
      <c r="Z30" s="54"/>
      <c r="AA30" s="49"/>
      <c r="AB30" s="50">
        <f>SUM(F30:N30)-2</f>
        <v>621770.79591999995</v>
      </c>
      <c r="AC30" s="51"/>
      <c r="AD30" s="22"/>
    </row>
    <row r="31" spans="1:33" s="23" customFormat="1" x14ac:dyDescent="0.3">
      <c r="A31" s="47"/>
      <c r="B31" s="44" t="s">
        <v>92</v>
      </c>
      <c r="C31" s="49"/>
      <c r="D31" s="56"/>
      <c r="E31" s="56"/>
      <c r="F31" s="56">
        <f>F29*F32</f>
        <v>521269.78344000003</v>
      </c>
      <c r="G31" s="56"/>
      <c r="H31" s="56">
        <f>H29</f>
        <v>39664</v>
      </c>
      <c r="I31" s="56"/>
      <c r="J31" s="56">
        <f>J29</f>
        <v>21635</v>
      </c>
      <c r="K31" s="56"/>
      <c r="L31" s="56">
        <f>L29</f>
        <v>18029</v>
      </c>
      <c r="M31" s="56"/>
      <c r="N31" s="56">
        <f>N29</f>
        <v>18031</v>
      </c>
      <c r="O31" s="56"/>
      <c r="P31" s="56">
        <f>P29*P32</f>
        <v>9055.9663199999995</v>
      </c>
      <c r="Q31" s="56"/>
      <c r="R31" s="56">
        <v>0</v>
      </c>
      <c r="S31" s="56"/>
      <c r="T31" s="56" t="s">
        <v>83</v>
      </c>
      <c r="U31" s="56"/>
      <c r="V31" s="56" t="s">
        <v>83</v>
      </c>
      <c r="W31" s="56"/>
      <c r="X31" s="56" t="s">
        <v>83</v>
      </c>
      <c r="Y31" s="56" t="s">
        <v>83</v>
      </c>
      <c r="Z31" s="56"/>
      <c r="AA31" s="49"/>
      <c r="AB31" s="55">
        <f>SUM(F31:N31)-1</f>
        <v>618627.78344000003</v>
      </c>
      <c r="AC31" s="51"/>
      <c r="AD31" s="22"/>
      <c r="AE31" s="231"/>
    </row>
    <row r="32" spans="1:33" s="64" customFormat="1" x14ac:dyDescent="0.3">
      <c r="A32" s="57"/>
      <c r="B32" s="163" t="s">
        <v>88</v>
      </c>
      <c r="C32" s="60"/>
      <c r="D32" s="59"/>
      <c r="E32" s="59"/>
      <c r="F32" s="59">
        <v>0.83562000000000003</v>
      </c>
      <c r="G32" s="59"/>
      <c r="H32" s="59">
        <v>1</v>
      </c>
      <c r="I32" s="59"/>
      <c r="J32" s="59">
        <v>1</v>
      </c>
      <c r="K32" s="59"/>
      <c r="L32" s="59">
        <v>1</v>
      </c>
      <c r="M32" s="59"/>
      <c r="N32" s="59">
        <v>1</v>
      </c>
      <c r="O32" s="59"/>
      <c r="P32" s="59">
        <v>0.81233999999999995</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0.84065999999999996</v>
      </c>
      <c r="G33" s="59"/>
      <c r="H33" s="59">
        <v>1</v>
      </c>
      <c r="I33" s="59"/>
      <c r="J33" s="59">
        <v>1</v>
      </c>
      <c r="K33" s="59"/>
      <c r="L33" s="59">
        <v>1</v>
      </c>
      <c r="M33" s="59"/>
      <c r="N33" s="59">
        <v>1</v>
      </c>
      <c r="O33" s="59"/>
      <c r="P33" s="59">
        <v>0.81913000000000002</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5.93336E-2</v>
      </c>
      <c r="G35" s="236"/>
      <c r="H35" s="236">
        <v>6.3333600000000004E-2</v>
      </c>
      <c r="I35" s="236"/>
      <c r="J35" s="236">
        <v>6.6333600000000006E-2</v>
      </c>
      <c r="K35" s="236"/>
      <c r="L35" s="236">
        <v>6.9333599999999995E-2</v>
      </c>
      <c r="M35" s="236"/>
      <c r="N35" s="236">
        <v>7.9333600000000004E-2</v>
      </c>
      <c r="O35" s="236"/>
      <c r="P35" s="236">
        <v>8.98336E-2</v>
      </c>
      <c r="Q35" s="236"/>
      <c r="R35" s="236">
        <v>8.98336E-2</v>
      </c>
      <c r="S35" s="67"/>
      <c r="T35" s="67" t="s">
        <v>83</v>
      </c>
      <c r="U35" s="67"/>
      <c r="V35" s="67" t="s">
        <v>83</v>
      </c>
      <c r="W35" s="67"/>
      <c r="X35" s="67" t="s">
        <v>83</v>
      </c>
      <c r="Y35" s="67" t="s">
        <v>83</v>
      </c>
      <c r="Z35" s="67"/>
      <c r="AA35" s="40"/>
      <c r="AB35" s="66">
        <f>SUMPRODUCT(D35:N35,D30:N30)/AB30</f>
        <v>6.0702480096628909E-2</v>
      </c>
      <c r="AC35" s="43"/>
      <c r="AD35" s="22"/>
    </row>
    <row r="36" spans="1:30" s="23" customFormat="1" x14ac:dyDescent="0.3">
      <c r="A36" s="47"/>
      <c r="B36" s="40" t="s">
        <v>10</v>
      </c>
      <c r="C36" s="68"/>
      <c r="D36" s="236"/>
      <c r="E36" s="236"/>
      <c r="F36" s="236">
        <v>5.1846499999999997E-2</v>
      </c>
      <c r="G36" s="236"/>
      <c r="H36" s="236">
        <v>5.58465E-2</v>
      </c>
      <c r="I36" s="236"/>
      <c r="J36" s="236">
        <v>5.8846500000000003E-2</v>
      </c>
      <c r="K36" s="236"/>
      <c r="L36" s="236">
        <v>6.1846499999999999E-2</v>
      </c>
      <c r="M36" s="236"/>
      <c r="N36" s="236">
        <v>7.1846499999999994E-2</v>
      </c>
      <c r="O36" s="236"/>
      <c r="P36" s="236">
        <v>8.2346500000000003E-2</v>
      </c>
      <c r="Q36" s="236"/>
      <c r="R36" s="236">
        <v>8.2346500000000003E-2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0.18677276737105625</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45184</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45000</v>
      </c>
      <c r="AA47" s="76"/>
      <c r="AB47" s="75">
        <v>45091</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45092</v>
      </c>
      <c r="AA48" s="76"/>
      <c r="AB48" s="75">
        <v>45183</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45183</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373</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621769</v>
      </c>
      <c r="S57" s="234"/>
      <c r="T57" s="233">
        <f>360+17</f>
        <v>377</v>
      </c>
      <c r="U57" s="234"/>
      <c r="V57" s="234">
        <v>2768</v>
      </c>
      <c r="W57" s="234"/>
      <c r="X57" s="234">
        <v>0</v>
      </c>
      <c r="Y57" s="234"/>
      <c r="Z57" s="234">
        <v>0</v>
      </c>
      <c r="AA57" s="234"/>
      <c r="AB57" s="233">
        <f>R57-T57-V57+X57-Z57</f>
        <v>618624</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621769</v>
      </c>
      <c r="S60" s="234"/>
      <c r="T60" s="234">
        <f>T57+T58</f>
        <v>377</v>
      </c>
      <c r="U60" s="234"/>
      <c r="V60" s="234">
        <f>SUM(V57:V59)</f>
        <v>2768</v>
      </c>
      <c r="W60" s="234"/>
      <c r="X60" s="234">
        <f>SUM(X57:X59)</f>
        <v>0</v>
      </c>
      <c r="Y60" s="234"/>
      <c r="Z60" s="234">
        <f>SUM(Z57:Z59)</f>
        <v>0</v>
      </c>
      <c r="AA60" s="234"/>
      <c r="AB60" s="234">
        <f>SUM(AB57:AB59)</f>
        <v>618624</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2</v>
      </c>
      <c r="S63" s="234"/>
      <c r="T63" s="234">
        <v>0</v>
      </c>
      <c r="U63" s="234"/>
      <c r="V63" s="234">
        <v>2</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621771</v>
      </c>
      <c r="S66" s="234"/>
      <c r="T66" s="234"/>
      <c r="U66" s="234"/>
      <c r="V66" s="234"/>
      <c r="W66" s="234"/>
      <c r="X66" s="234"/>
      <c r="Y66" s="234"/>
      <c r="Z66" s="234"/>
      <c r="AA66" s="234"/>
      <c r="AB66" s="234">
        <f>SUM(AB60:AB65)</f>
        <v>618628</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45169</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2</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3145</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5958+143-405-15</f>
        <v>5681</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86</f>
        <v>86</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242</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76</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2768</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3147</v>
      </c>
      <c r="AA83" s="40"/>
      <c r="AB83" s="96">
        <f>SUM(AB70:AB82)</f>
        <v>8853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3147</v>
      </c>
      <c r="AA86" s="40"/>
      <c r="AB86" s="96">
        <f>AB83+AB84+AB85</f>
        <v>8853</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-314-2-9</f>
        <v>-325</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6767</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-7841</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-633</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-362</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-315</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-361</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-207</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-76</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-15-64</f>
        <v>-79</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-3392</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-3143</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-3143</v>
      </c>
      <c r="AA128" s="96"/>
      <c r="AB128" s="96">
        <f>SUM(AB87:AB126)</f>
        <v>-8853</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AUGUST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23'!AB144</f>
        <v>8537.14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-76</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8461.14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23'!AB157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23'!AB163</f>
        <v>0</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23'!AB196</f>
        <v>2780</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1986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2768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1998</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23'!AB204</f>
        <v>2028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1986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2042</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23'!AB212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23'!Y219</f>
        <v>0</v>
      </c>
      <c r="Z217" s="97">
        <f>+'May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608034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866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1.9503889809973218</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2.59</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11.772511848341232</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19.27</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18.837016574585636</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30.37</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20.498412698412697</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32.25</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17.013850415512465</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24.33</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AUGUST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45169</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3.6653249089123249E-2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6.0702480096628909E-2</v>
      </c>
      <c r="AA250" s="40"/>
      <c r="AB250" s="40"/>
      <c r="AC250" s="43"/>
      <c r="AD250" s="22"/>
    </row>
    <row r="251" spans="1:30" s="23" customFormat="1" x14ac:dyDescent="0.3">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2.5121789211783759E-2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18.46</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5.0581323348950014E-3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5.2299999999999999E-2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1</v>
      </c>
      <c r="Z267" s="159">
        <f>+Z319</f>
        <v>321</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23'!Z273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3227</v>
      </c>
      <c r="Y286" s="189">
        <f>X286/$X$295</f>
        <v>0.99845297029702973</v>
      </c>
      <c r="Z286" s="106">
        <f t="shared" ref="Z286:Z293" si="1">+Z298+Z310+Z332</f>
        <v>617298</v>
      </c>
      <c r="AA286" s="189">
        <f>Z286/$Z$295</f>
        <v>0.99785653320918688</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2</v>
      </c>
      <c r="Y287" s="193">
        <f t="shared" ref="Y287:Y293" si="2">X287/$X$295</f>
        <v>6.1881188118811882E-4</v>
      </c>
      <c r="Z287" s="194">
        <f t="shared" si="1"/>
        <v>483</v>
      </c>
      <c r="AA287" s="195">
        <f>Z287/$Z$295</f>
        <v>7.8076505276225951E-4</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2</v>
      </c>
      <c r="Y288" s="197">
        <f t="shared" si="2"/>
        <v>6.1881188118811882E-4</v>
      </c>
      <c r="Z288" s="130">
        <f t="shared" si="1"/>
        <v>522</v>
      </c>
      <c r="AA288" s="195">
        <f t="shared" ref="AA288:AA293" si="3">Z288/$Z$295</f>
        <v>8.4380819366852884E-4</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1</v>
      </c>
      <c r="Y291" s="197">
        <f t="shared" si="2"/>
        <v>3.0940594059405941E-4</v>
      </c>
      <c r="Z291" s="130">
        <f t="shared" si="1"/>
        <v>321</v>
      </c>
      <c r="AA291" s="195">
        <f t="shared" si="3"/>
        <v>5.1889354438237119E-4</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3232</v>
      </c>
      <c r="Y295" s="195">
        <f>SUM(Y286:Y294)</f>
        <v>0.99999999999999989</v>
      </c>
      <c r="Z295" s="97">
        <f>SUM(Z286:Z294)</f>
        <v>618624</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3227</v>
      </c>
      <c r="Y298" s="189">
        <f>X298/$X$307</f>
        <v>0.99876199319096259</v>
      </c>
      <c r="Z298" s="106">
        <v>617298</v>
      </c>
      <c r="AA298" s="189">
        <f>Z298/$Z$307</f>
        <v>0.998374583335355</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2</v>
      </c>
      <c r="Y299" s="195">
        <f t="shared" ref="Y299:Y305" si="4">X299/$X$307</f>
        <v>6.1900340451872485E-4</v>
      </c>
      <c r="Z299" s="97">
        <v>483</v>
      </c>
      <c r="AA299" s="195">
        <f t="shared" ref="AA299:AA305" si="5">Z299/$Z$307</f>
        <v>7.8117039703834532E-4</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2</v>
      </c>
      <c r="Y300" s="195">
        <f t="shared" si="4"/>
        <v>6.1900340451872485E-4</v>
      </c>
      <c r="Z300" s="97">
        <v>522</v>
      </c>
      <c r="AA300" s="195">
        <f t="shared" si="5"/>
        <v>8.4424626760665883E-4</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3231</v>
      </c>
      <c r="Y307" s="195">
        <f>SUM(Y298:Y306)</f>
        <v>1</v>
      </c>
      <c r="Z307" s="97">
        <f>SUM(Z298:Z306)</f>
        <v>618303</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1</v>
      </c>
      <c r="Y315" s="195">
        <v>1</v>
      </c>
      <c r="Z315" s="97">
        <v>321</v>
      </c>
      <c r="AA315" s="195">
        <v>1</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1</v>
      </c>
      <c r="Y319" s="195">
        <f>SUM(Y310:Y318)</f>
        <v>1</v>
      </c>
      <c r="Z319" s="97">
        <f>SUM(Z310:Z318)</f>
        <v>321</v>
      </c>
      <c r="AA319" s="195">
        <f>SUM(AA310:AA318)</f>
        <v>1</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1</v>
      </c>
      <c r="Y327" s="271">
        <v>1</v>
      </c>
      <c r="Z327" s="272">
        <v>321</v>
      </c>
      <c r="AA327" s="271">
        <v>1</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1</v>
      </c>
      <c r="Y329" s="271">
        <f>SUM(Y322:Y327)</f>
        <v>1</v>
      </c>
      <c r="Z329" s="272">
        <f>SUM(Z322:Z327)</f>
        <v>321</v>
      </c>
      <c r="AA329" s="271">
        <f>SUM(AA322:AA328)</f>
        <v>1</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3232</v>
      </c>
      <c r="Y343" s="195"/>
      <c r="Z343" s="208">
        <f>+Z341+Z319+Z307</f>
        <v>618624</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4</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618628</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618628</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1.0000016164809062</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AUGUST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370</v>
      </c>
    </row>
    <row r="364" spans="1:30" x14ac:dyDescent="0.3">
      <c r="B364" s="265" t="s">
        <v>371</v>
      </c>
    </row>
  </sheetData>
  <hyperlinks>
    <hyperlink ref="K9" r:id="rId1" display="http://www.paragon-group.co.uk" xr:uid="{FD00307B-69D5-4766-B822-C2A5ACF0F727}"/>
    <hyperlink ref="P355" r:id="rId2" xr:uid="{8F50A18E-8500-4B8D-B229-67A2BF888FA6}"/>
    <hyperlink ref="P283" r:id="rId3" xr:uid="{71162029-43AD-4B3E-AC4A-A3CA0682F08A}"/>
    <hyperlink ref="B361" r:id="rId4" display="https://investorreporting.paragonbankinggroup.co.uk/bondinvestor_viewer/resources/bondinvestor/pdf/investornews/2021/libor-mortgages-transition-july-19" xr:uid="{04E89A73-E06F-4A82-B850-2512F0AD0DC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CE33-370D-4AB9-9FC7-E5F2C7F24A81}">
  <sheetPr>
    <tabColor rgb="FF89CB31"/>
  </sheetPr>
  <dimension ref="A1:JB364"/>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2.2066074818451027E-2</v>
      </c>
      <c r="Z17" s="299" t="s">
        <v>259</v>
      </c>
      <c r="AA17" s="299">
        <v>0.97793392518154887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45281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521269.78344000003</v>
      </c>
      <c r="G30" s="54"/>
      <c r="H30" s="54">
        <f>H29</f>
        <v>39664</v>
      </c>
      <c r="I30" s="54"/>
      <c r="J30" s="54">
        <f>J29</f>
        <v>21635</v>
      </c>
      <c r="K30" s="54"/>
      <c r="L30" s="54">
        <f>L29</f>
        <v>18029</v>
      </c>
      <c r="M30" s="54"/>
      <c r="N30" s="54">
        <f>N29</f>
        <v>18031</v>
      </c>
      <c r="O30" s="54"/>
      <c r="P30" s="54">
        <f>P29*P33</f>
        <v>9055.9663199999995</v>
      </c>
      <c r="Q30" s="54"/>
      <c r="R30" s="54">
        <v>0</v>
      </c>
      <c r="S30" s="54"/>
      <c r="T30" s="54" t="s">
        <v>83</v>
      </c>
      <c r="U30" s="54"/>
      <c r="V30" s="54" t="s">
        <v>83</v>
      </c>
      <c r="W30" s="54"/>
      <c r="X30" s="54" t="s">
        <v>83</v>
      </c>
      <c r="Y30" s="54" t="s">
        <v>83</v>
      </c>
      <c r="Z30" s="54"/>
      <c r="AA30" s="49"/>
      <c r="AB30" s="50">
        <f>SUM(F30:N30)-1</f>
        <v>618627.78344000003</v>
      </c>
      <c r="AC30" s="51"/>
      <c r="AD30" s="22"/>
    </row>
    <row r="31" spans="1:33" s="23" customFormat="1" x14ac:dyDescent="0.3">
      <c r="A31" s="47"/>
      <c r="B31" s="44" t="s">
        <v>92</v>
      </c>
      <c r="C31" s="49"/>
      <c r="D31" s="56"/>
      <c r="E31" s="56"/>
      <c r="F31" s="56">
        <f>F29*F32</f>
        <v>518107.05660000001</v>
      </c>
      <c r="G31" s="56"/>
      <c r="H31" s="56">
        <f>H29</f>
        <v>39664</v>
      </c>
      <c r="I31" s="56"/>
      <c r="J31" s="56">
        <f>J29</f>
        <v>21635</v>
      </c>
      <c r="K31" s="56"/>
      <c r="L31" s="56">
        <f>L29</f>
        <v>18029</v>
      </c>
      <c r="M31" s="56"/>
      <c r="N31" s="56">
        <f>N29</f>
        <v>18031</v>
      </c>
      <c r="O31" s="56"/>
      <c r="P31" s="56">
        <f>P29*P32</f>
        <v>9008.8102799999997</v>
      </c>
      <c r="Q31" s="56"/>
      <c r="R31" s="56">
        <v>0</v>
      </c>
      <c r="S31" s="56"/>
      <c r="T31" s="56" t="s">
        <v>83</v>
      </c>
      <c r="U31" s="56"/>
      <c r="V31" s="56" t="s">
        <v>83</v>
      </c>
      <c r="W31" s="56"/>
      <c r="X31" s="56" t="s">
        <v>83</v>
      </c>
      <c r="Y31" s="56" t="s">
        <v>83</v>
      </c>
      <c r="Z31" s="56"/>
      <c r="AA31" s="49"/>
      <c r="AB31" s="55">
        <f>SUM(F31:N31)</f>
        <v>615466.05660000001</v>
      </c>
      <c r="AC31" s="51"/>
      <c r="AD31" s="22"/>
      <c r="AE31" s="231"/>
    </row>
    <row r="32" spans="1:33" s="64" customFormat="1" x14ac:dyDescent="0.3">
      <c r="A32" s="57"/>
      <c r="B32" s="163" t="s">
        <v>88</v>
      </c>
      <c r="C32" s="60"/>
      <c r="D32" s="59"/>
      <c r="E32" s="59"/>
      <c r="F32" s="59">
        <v>0.83055000000000001</v>
      </c>
      <c r="G32" s="59"/>
      <c r="H32" s="59">
        <v>1</v>
      </c>
      <c r="I32" s="59"/>
      <c r="J32" s="59">
        <v>1</v>
      </c>
      <c r="K32" s="59"/>
      <c r="L32" s="59">
        <v>1</v>
      </c>
      <c r="M32" s="59"/>
      <c r="N32" s="59">
        <v>1</v>
      </c>
      <c r="O32" s="59"/>
      <c r="P32" s="59">
        <v>0.80810999999999999</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0.83562000000000003</v>
      </c>
      <c r="G33" s="59"/>
      <c r="H33" s="59">
        <v>1</v>
      </c>
      <c r="I33" s="59"/>
      <c r="J33" s="59">
        <v>1</v>
      </c>
      <c r="K33" s="59"/>
      <c r="L33" s="59">
        <v>1</v>
      </c>
      <c r="M33" s="59"/>
      <c r="N33" s="59">
        <v>1</v>
      </c>
      <c r="O33" s="59"/>
      <c r="P33" s="59">
        <v>0.81233999999999995</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6.16991E-2</v>
      </c>
      <c r="G35" s="236"/>
      <c r="H35" s="236">
        <v>6.5699099999999996E-2</v>
      </c>
      <c r="I35" s="236"/>
      <c r="J35" s="236">
        <v>6.8699099999999999E-2</v>
      </c>
      <c r="K35" s="236"/>
      <c r="L35" s="236">
        <v>7.1699100000000002E-2</v>
      </c>
      <c r="M35" s="236"/>
      <c r="N35" s="236">
        <v>8.1699099999999997E-2</v>
      </c>
      <c r="O35" s="236"/>
      <c r="P35" s="236">
        <v>9.2199100000000006E-2</v>
      </c>
      <c r="Q35" s="236"/>
      <c r="R35" s="236">
        <v>9.2199100000000006E-2</v>
      </c>
      <c r="S35" s="67"/>
      <c r="T35" s="67" t="s">
        <v>83</v>
      </c>
      <c r="U35" s="67"/>
      <c r="V35" s="67" t="s">
        <v>83</v>
      </c>
      <c r="W35" s="67"/>
      <c r="X35" s="67" t="s">
        <v>83</v>
      </c>
      <c r="Y35" s="67" t="s">
        <v>83</v>
      </c>
      <c r="Z35" s="67"/>
      <c r="AA35" s="40"/>
      <c r="AB35" s="66">
        <f>SUMPRODUCT(D35:N35,D30:N30)/AB30</f>
        <v>6.3074842767916833E-2</v>
      </c>
      <c r="AC35" s="43"/>
      <c r="AD35" s="22"/>
    </row>
    <row r="36" spans="1:30" s="23" customFormat="1" x14ac:dyDescent="0.3">
      <c r="A36" s="47"/>
      <c r="B36" s="40" t="s">
        <v>10</v>
      </c>
      <c r="C36" s="68"/>
      <c r="D36" s="236"/>
      <c r="E36" s="236"/>
      <c r="F36" s="236">
        <v>5.93336E-2</v>
      </c>
      <c r="G36" s="236"/>
      <c r="H36" s="236">
        <v>6.3333600000000004E-2</v>
      </c>
      <c r="I36" s="236"/>
      <c r="J36" s="236">
        <v>6.6333600000000006E-2</v>
      </c>
      <c r="K36" s="236"/>
      <c r="L36" s="236">
        <v>6.9333599999999995E-2</v>
      </c>
      <c r="M36" s="236"/>
      <c r="N36" s="236">
        <v>7.9333600000000004E-2</v>
      </c>
      <c r="O36" s="236"/>
      <c r="P36" s="236">
        <v>8.98336E-2</v>
      </c>
      <c r="Q36" s="236"/>
      <c r="R36" s="236">
        <v>8.98336E-2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0.18791290093384147</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45275</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45092</v>
      </c>
      <c r="AA47" s="76"/>
      <c r="AB47" s="75">
        <v>45183</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45184</v>
      </c>
      <c r="AA48" s="76"/>
      <c r="AB48" s="75">
        <v>45274</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45274</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377</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618624</v>
      </c>
      <c r="S57" s="234"/>
      <c r="T57" s="233">
        <f>364+17</f>
        <v>381</v>
      </c>
      <c r="U57" s="234"/>
      <c r="V57" s="234">
        <v>2782</v>
      </c>
      <c r="W57" s="234"/>
      <c r="X57" s="234">
        <v>0</v>
      </c>
      <c r="Y57" s="234"/>
      <c r="Z57" s="234">
        <v>0</v>
      </c>
      <c r="AA57" s="234"/>
      <c r="AB57" s="233">
        <f>R57-T57-V57+X57-Z57</f>
        <v>615461</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618624</v>
      </c>
      <c r="S60" s="234"/>
      <c r="T60" s="234">
        <f>T57+T58</f>
        <v>381</v>
      </c>
      <c r="U60" s="234"/>
      <c r="V60" s="234">
        <f>SUM(V57:V59)</f>
        <v>2782</v>
      </c>
      <c r="W60" s="234"/>
      <c r="X60" s="234">
        <f>SUM(X57:X59)</f>
        <v>0</v>
      </c>
      <c r="Y60" s="234"/>
      <c r="Z60" s="234">
        <f>SUM(Z57:Z59)</f>
        <v>0</v>
      </c>
      <c r="AA60" s="234"/>
      <c r="AB60" s="234">
        <f>SUM(AB57:AB59)</f>
        <v>615461</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5</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618628</v>
      </c>
      <c r="S66" s="234"/>
      <c r="T66" s="234"/>
      <c r="U66" s="234"/>
      <c r="V66" s="234"/>
      <c r="W66" s="234"/>
      <c r="X66" s="234"/>
      <c r="Y66" s="234"/>
      <c r="Z66" s="234"/>
      <c r="AA66" s="234"/>
      <c r="AB66" s="234">
        <f>SUM(AB60:AB65)</f>
        <v>615466</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45260</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3163</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5913+145-402-18</f>
        <v>5638</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78+13</f>
        <v>91</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227</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47</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2478</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3167</v>
      </c>
      <c r="AA83" s="40"/>
      <c r="AB83" s="96">
        <f>SUM(AB70:AB82)</f>
        <v>8481</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3167</v>
      </c>
      <c r="AA86" s="40"/>
      <c r="AB86" s="96">
        <f>AB83+AB84+AB85</f>
        <v>8481</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-309-2-9</f>
        <v>-320</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7052</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-8016</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-650</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-371</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-322</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-367</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-208</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-47</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-14-64</f>
        <v>-78</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-3125</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-3162</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-3162</v>
      </c>
      <c r="AA128" s="96"/>
      <c r="AB128" s="96">
        <f>SUM(AB87:AB126)</f>
        <v>-8481</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5</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NOVEMBER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23'!AB144</f>
        <v>8461.14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-47</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8414.14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23'!AB157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23'!AB163</f>
        <v>0</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23'!AB196</f>
        <v>1998</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2026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2478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1546</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23'!AB204</f>
        <v>2042</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2026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2016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23'!AB212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23'!Y219</f>
        <v>0</v>
      </c>
      <c r="Z217" s="97">
        <f>+'August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605899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3001</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1.8975798403193613</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2.4700000000000002</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11.069230769230769</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17.920000000000002</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17.641509433962263</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28.36</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19.173913043478262</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30.27</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15.945504087193461</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23.19</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NOVEMBER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45260</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3.6632765637332095E-2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6.3074842767916833E-2</v>
      </c>
      <c r="AA250" s="40"/>
      <c r="AB250" s="40"/>
      <c r="AC250" s="43"/>
      <c r="AD250" s="22"/>
    </row>
    <row r="251" spans="1:30" s="23" customFormat="1" x14ac:dyDescent="0.3">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2.5108789126906637E-2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18.214585372905102</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5.1129273165779754E-3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4.9700000000000001E-2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1</v>
      </c>
      <c r="Z267" s="159">
        <f>+Z319</f>
        <v>321</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23'!Z273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3205</v>
      </c>
      <c r="Y286" s="189">
        <f>X286/$X$295</f>
        <v>0.99719975108898573</v>
      </c>
      <c r="Z286" s="106">
        <f t="shared" ref="Z286:Z293" si="1">+Z298+Z310+Z332</f>
        <v>613579</v>
      </c>
      <c r="AA286" s="189">
        <f>Z286/$Z$295</f>
        <v>0.99694212955816863</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6</v>
      </c>
      <c r="Y287" s="193">
        <f t="shared" ref="Y287:Y293" si="2">X287/$X$295</f>
        <v>1.8668326073428749E-3</v>
      </c>
      <c r="Z287" s="194">
        <f t="shared" si="1"/>
        <v>1051</v>
      </c>
      <c r="AA287" s="195">
        <f>Z287/$Z$295</f>
        <v>1.707663036325616E-3</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1</v>
      </c>
      <c r="Y288" s="197">
        <f t="shared" si="2"/>
        <v>3.1113876789047915E-4</v>
      </c>
      <c r="Z288" s="130">
        <f t="shared" si="1"/>
        <v>139</v>
      </c>
      <c r="AA288" s="195">
        <f t="shared" ref="AA288:AA293" si="3">Z288/$Z$295</f>
        <v>2.2584696674525276E-4</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1</v>
      </c>
      <c r="Y290" s="197">
        <f t="shared" si="2"/>
        <v>3.1113876789047915E-4</v>
      </c>
      <c r="Z290" s="130">
        <f t="shared" si="1"/>
        <v>371</v>
      </c>
      <c r="AA290" s="195">
        <f t="shared" si="3"/>
        <v>6.0280017742797673E-4</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1</v>
      </c>
      <c r="Y292" s="199">
        <f t="shared" si="2"/>
        <v>3.1113876789047915E-4</v>
      </c>
      <c r="Z292" s="200">
        <f t="shared" si="1"/>
        <v>321</v>
      </c>
      <c r="AA292" s="195">
        <f t="shared" si="3"/>
        <v>5.2156026133256205E-4</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3214</v>
      </c>
      <c r="Y295" s="195">
        <f>SUM(Y286:Y294)</f>
        <v>1</v>
      </c>
      <c r="Z295" s="97">
        <f>SUM(Z286:Z294)</f>
        <v>615461</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3205</v>
      </c>
      <c r="Y298" s="189">
        <f>X298/$X$307</f>
        <v>0.99751011515717403</v>
      </c>
      <c r="Z298" s="106">
        <v>613579</v>
      </c>
      <c r="AA298" s="189">
        <f>Z298/$Z$307</f>
        <v>0.99746236629060048</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6</v>
      </c>
      <c r="Y299" s="195">
        <f t="shared" ref="Y299:Y305" si="4">X299/$X$307</f>
        <v>1.8674136321195146E-3</v>
      </c>
      <c r="Z299" s="97">
        <v>1051</v>
      </c>
      <c r="AA299" s="195">
        <f t="shared" ref="AA299:AA305" si="5">Z299/$Z$307</f>
        <v>1.7085541502747342E-3</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1</v>
      </c>
      <c r="Y300" s="195">
        <f t="shared" si="4"/>
        <v>3.1123560535325243E-4</v>
      </c>
      <c r="Z300" s="97">
        <v>139</v>
      </c>
      <c r="AA300" s="195">
        <f t="shared" si="5"/>
        <v>2.2596482101635399E-4</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1</v>
      </c>
      <c r="Y302" s="195">
        <f t="shared" si="4"/>
        <v>3.1123560535325243E-4</v>
      </c>
      <c r="Z302" s="97">
        <v>371</v>
      </c>
      <c r="AA302" s="195">
        <f t="shared" si="5"/>
        <v>6.0311473810839805E-4</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3213</v>
      </c>
      <c r="Y307" s="195">
        <f>SUM(Y298:Y306)</f>
        <v>1</v>
      </c>
      <c r="Z307" s="97">
        <f>SUM(Z298:Z306)</f>
        <v>615140</v>
      </c>
      <c r="AA307" s="195">
        <f>SUM(AA298:AA306)</f>
        <v>0.99999999999999989</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1</v>
      </c>
      <c r="Y316" s="195">
        <v>1</v>
      </c>
      <c r="Z316" s="97">
        <v>321</v>
      </c>
      <c r="AA316" s="195">
        <v>1</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1</v>
      </c>
      <c r="Y319" s="195">
        <f>SUM(Y310:Y318)</f>
        <v>1</v>
      </c>
      <c r="Z319" s="97">
        <f>SUM(Z310:Z318)</f>
        <v>321</v>
      </c>
      <c r="AA319" s="195">
        <f>SUM(AA310:AA318)</f>
        <v>1</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1</v>
      </c>
      <c r="Y327" s="271">
        <v>1</v>
      </c>
      <c r="Z327" s="272">
        <v>321</v>
      </c>
      <c r="AA327" s="271">
        <v>1</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1</v>
      </c>
      <c r="Y329" s="271">
        <f>SUM(Y322:Y327)</f>
        <v>1</v>
      </c>
      <c r="Z329" s="272">
        <f>SUM(Z322:Z327)</f>
        <v>321</v>
      </c>
      <c r="AA329" s="271">
        <f>SUM(AA322:AA328)</f>
        <v>1</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3214</v>
      </c>
      <c r="Y343" s="195"/>
      <c r="Z343" s="208">
        <f>+Z341+Z319+Z307</f>
        <v>615461</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615466</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615466</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NOVEMBER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370</v>
      </c>
    </row>
    <row r="364" spans="1:30" x14ac:dyDescent="0.3">
      <c r="B364" s="265" t="s">
        <v>371</v>
      </c>
    </row>
  </sheetData>
  <hyperlinks>
    <hyperlink ref="K9" r:id="rId1" display="http://www.paragon-group.co.uk" xr:uid="{E6AAA599-575D-468E-BB89-42D78942D856}"/>
    <hyperlink ref="P355" r:id="rId2" xr:uid="{358CE8B0-E2BB-4385-BC76-B5053AE2032D}"/>
    <hyperlink ref="P283" r:id="rId3" xr:uid="{15259637-5742-4DD7-85F6-433F0CEFCE7B}"/>
    <hyperlink ref="B361" r:id="rId4" display="https://investorreporting.paragonbankinggroup.co.uk/bondinvestor_viewer/resources/bondinvestor/pdf/investornews/2021/libor-mortgages-transition-july-19" xr:uid="{7D0628AE-6B7E-4CA7-97D5-33543E2360B3}"/>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8344-89CF-48F0-9F9C-77F2DC72FA7A}">
  <sheetPr>
    <tabColor rgb="FF2D2926"/>
  </sheetPr>
  <dimension ref="A1:JB366"/>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2.1916195265961048E-2</v>
      </c>
      <c r="Z17" s="299" t="s">
        <v>259</v>
      </c>
      <c r="AA17" s="299">
        <v>0.97808380473403889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45370</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518107.05660000001</v>
      </c>
      <c r="G30" s="54"/>
      <c r="H30" s="54">
        <f>H29</f>
        <v>39664</v>
      </c>
      <c r="I30" s="54"/>
      <c r="J30" s="54">
        <f>J29</f>
        <v>21635</v>
      </c>
      <c r="K30" s="54"/>
      <c r="L30" s="54">
        <f>L29</f>
        <v>18029</v>
      </c>
      <c r="M30" s="54"/>
      <c r="N30" s="54">
        <f>N29</f>
        <v>18031</v>
      </c>
      <c r="O30" s="54"/>
      <c r="P30" s="54">
        <f>P29*P33</f>
        <v>9008.8102799999997</v>
      </c>
      <c r="Q30" s="54"/>
      <c r="R30" s="54">
        <v>0</v>
      </c>
      <c r="S30" s="54"/>
      <c r="T30" s="54" t="s">
        <v>83</v>
      </c>
      <c r="U30" s="54"/>
      <c r="V30" s="54" t="s">
        <v>83</v>
      </c>
      <c r="W30" s="54"/>
      <c r="X30" s="54" t="s">
        <v>83</v>
      </c>
      <c r="Y30" s="54" t="s">
        <v>83</v>
      </c>
      <c r="Z30" s="54"/>
      <c r="AA30" s="49"/>
      <c r="AB30" s="50">
        <f>SUM(F30:N30)</f>
        <v>615466.05660000001</v>
      </c>
      <c r="AC30" s="51"/>
      <c r="AD30" s="22"/>
    </row>
    <row r="31" spans="1:33" s="23" customFormat="1" x14ac:dyDescent="0.3">
      <c r="A31" s="47"/>
      <c r="B31" s="44" t="s">
        <v>92</v>
      </c>
      <c r="C31" s="49"/>
      <c r="D31" s="56"/>
      <c r="E31" s="56"/>
      <c r="F31" s="56">
        <f>F29*F32</f>
        <v>515474.56995999999</v>
      </c>
      <c r="G31" s="56"/>
      <c r="H31" s="56">
        <f>H29</f>
        <v>39664</v>
      </c>
      <c r="I31" s="56"/>
      <c r="J31" s="56">
        <f>J29</f>
        <v>21635</v>
      </c>
      <c r="K31" s="56"/>
      <c r="L31" s="56">
        <f>L29</f>
        <v>18029</v>
      </c>
      <c r="M31" s="56"/>
      <c r="N31" s="56">
        <f>N29</f>
        <v>18031</v>
      </c>
      <c r="O31" s="56"/>
      <c r="P31" s="56">
        <f>P29*P32</f>
        <v>8961.4312800000007</v>
      </c>
      <c r="Q31" s="56"/>
      <c r="R31" s="56">
        <v>0</v>
      </c>
      <c r="S31" s="56"/>
      <c r="T31" s="56" t="s">
        <v>83</v>
      </c>
      <c r="U31" s="56"/>
      <c r="V31" s="56" t="s">
        <v>83</v>
      </c>
      <c r="W31" s="56"/>
      <c r="X31" s="56" t="s">
        <v>83</v>
      </c>
      <c r="Y31" s="56" t="s">
        <v>83</v>
      </c>
      <c r="Z31" s="56"/>
      <c r="AA31" s="49"/>
      <c r="AB31" s="55">
        <f>SUM(F31:N31)</f>
        <v>612833.56995999999</v>
      </c>
      <c r="AC31" s="51"/>
      <c r="AD31" s="22"/>
      <c r="AE31" s="231"/>
    </row>
    <row r="32" spans="1:33" s="64" customFormat="1" x14ac:dyDescent="0.3">
      <c r="A32" s="57"/>
      <c r="B32" s="163" t="s">
        <v>88</v>
      </c>
      <c r="C32" s="60"/>
      <c r="D32" s="59"/>
      <c r="E32" s="59"/>
      <c r="F32" s="59">
        <v>0.82633000000000001</v>
      </c>
      <c r="G32" s="59"/>
      <c r="H32" s="59">
        <v>1</v>
      </c>
      <c r="I32" s="59"/>
      <c r="J32" s="59">
        <v>1</v>
      </c>
      <c r="K32" s="59"/>
      <c r="L32" s="59">
        <v>1</v>
      </c>
      <c r="M32" s="59"/>
      <c r="N32" s="59">
        <v>1</v>
      </c>
      <c r="O32" s="59"/>
      <c r="P32" s="59">
        <v>0.80386000000000002</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0.83055000000000001</v>
      </c>
      <c r="G33" s="59"/>
      <c r="H33" s="59">
        <v>1</v>
      </c>
      <c r="I33" s="59"/>
      <c r="J33" s="59">
        <v>1</v>
      </c>
      <c r="K33" s="59"/>
      <c r="L33" s="59">
        <v>1</v>
      </c>
      <c r="M33" s="59"/>
      <c r="N33" s="59">
        <v>1</v>
      </c>
      <c r="O33" s="59"/>
      <c r="P33" s="59">
        <v>0.80810999999999999</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6.1705299999999998E-2</v>
      </c>
      <c r="G35" s="236"/>
      <c r="H35" s="236">
        <v>6.5705299999999994E-2</v>
      </c>
      <c r="I35" s="236"/>
      <c r="J35" s="236">
        <v>6.8705299999999997E-2</v>
      </c>
      <c r="K35" s="236"/>
      <c r="L35" s="236">
        <v>7.17053E-2</v>
      </c>
      <c r="M35" s="236"/>
      <c r="N35" s="236">
        <v>8.1705299999999995E-2</v>
      </c>
      <c r="O35" s="236"/>
      <c r="P35" s="236">
        <v>9.2205300000000004E-2</v>
      </c>
      <c r="Q35" s="236"/>
      <c r="R35" s="236">
        <v>9.2205300000000004E-2</v>
      </c>
      <c r="S35" s="67"/>
      <c r="T35" s="67" t="s">
        <v>83</v>
      </c>
      <c r="U35" s="67"/>
      <c r="V35" s="67" t="s">
        <v>83</v>
      </c>
      <c r="W35" s="67"/>
      <c r="X35" s="67" t="s">
        <v>83</v>
      </c>
      <c r="Y35" s="67" t="s">
        <v>83</v>
      </c>
      <c r="Z35" s="67"/>
      <c r="AA35" s="40"/>
      <c r="AB35" s="66">
        <f>SUMPRODUCT(D35:N35,D30:N30)/AB30</f>
        <v>6.3088009884443033E-2</v>
      </c>
      <c r="AC35" s="43"/>
      <c r="AD35" s="22"/>
    </row>
    <row r="36" spans="1:30" s="23" customFormat="1" x14ac:dyDescent="0.3">
      <c r="A36" s="47"/>
      <c r="B36" s="40" t="s">
        <v>10</v>
      </c>
      <c r="C36" s="68"/>
      <c r="D36" s="236"/>
      <c r="E36" s="236"/>
      <c r="F36" s="236">
        <v>6.16991E-2</v>
      </c>
      <c r="G36" s="236"/>
      <c r="H36" s="236">
        <v>6.5699099999999996E-2</v>
      </c>
      <c r="I36" s="236"/>
      <c r="J36" s="236">
        <v>6.8699099999999999E-2</v>
      </c>
      <c r="K36" s="236"/>
      <c r="L36" s="236">
        <v>7.1699100000000002E-2</v>
      </c>
      <c r="M36" s="236"/>
      <c r="N36" s="236">
        <v>8.1699099999999997E-2</v>
      </c>
      <c r="O36" s="236"/>
      <c r="P36" s="236">
        <v>9.2199100000000006E-2</v>
      </c>
      <c r="Q36" s="236"/>
      <c r="R36" s="236">
        <v>9.2199100000000006E-2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0.18887255681217194</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45366</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45184</v>
      </c>
      <c r="AA47" s="76"/>
      <c r="AB47" s="75">
        <v>45274</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45275</v>
      </c>
      <c r="AA48" s="76"/>
      <c r="AB48" s="75">
        <v>45365</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45365</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378</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615461</v>
      </c>
      <c r="S57" s="234"/>
      <c r="T57" s="233">
        <f>366+17</f>
        <v>383</v>
      </c>
      <c r="U57" s="234"/>
      <c r="V57" s="234">
        <v>2248</v>
      </c>
      <c r="W57" s="234"/>
      <c r="X57" s="234">
        <v>0</v>
      </c>
      <c r="Y57" s="234"/>
      <c r="Z57" s="234">
        <v>0</v>
      </c>
      <c r="AA57" s="234"/>
      <c r="AB57" s="233">
        <f>R57-T57-V57+X57-Z57</f>
        <v>612830</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615461</v>
      </c>
      <c r="S60" s="234"/>
      <c r="T60" s="234">
        <f>T57+T58</f>
        <v>383</v>
      </c>
      <c r="U60" s="234"/>
      <c r="V60" s="234">
        <f>SUM(V57:V59)</f>
        <v>2248</v>
      </c>
      <c r="W60" s="234"/>
      <c r="X60" s="234">
        <f>SUM(X57:X59)</f>
        <v>0</v>
      </c>
      <c r="Y60" s="234"/>
      <c r="Z60" s="234">
        <f>SUM(Z57:Z59)</f>
        <v>0</v>
      </c>
      <c r="AA60" s="234"/>
      <c r="AB60" s="234">
        <f>SUM(AB57:AB59)</f>
        <v>612830</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5</v>
      </c>
      <c r="S63" s="234"/>
      <c r="T63" s="234">
        <v>0</v>
      </c>
      <c r="U63" s="234"/>
      <c r="V63" s="234">
        <v>-1</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615466</v>
      </c>
      <c r="S66" s="234"/>
      <c r="T66" s="234"/>
      <c r="U66" s="234"/>
      <c r="V66" s="234"/>
      <c r="W66" s="234"/>
      <c r="X66" s="234"/>
      <c r="Y66" s="234"/>
      <c r="Z66" s="234"/>
      <c r="AA66" s="234"/>
      <c r="AB66" s="234">
        <f>SUM(AB60:AB65)</f>
        <v>612834</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45351</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5</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2631</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5951+171-452-42</f>
        <v>5628</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80</f>
        <v>80</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254</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47</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1962</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2636</v>
      </c>
      <c r="AA83" s="40"/>
      <c r="AB83" s="96">
        <f>SUM(AB70:AB82)</f>
        <v>7971</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2636</v>
      </c>
      <c r="AA86" s="40"/>
      <c r="AB86" s="96">
        <f>AB83+AB84+AB85</f>
        <v>7971</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-304-2-9</f>
        <v>-315</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7051</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-7972</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-650</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-371</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-322</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-367</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-207</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-47</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-12-64</f>
        <v>-76</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-2666</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-2632</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-2632</v>
      </c>
      <c r="AA128" s="96"/>
      <c r="AB128" s="96">
        <f>SUM(AB87:AB126)</f>
        <v>-7971</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FEBRUARY 2024</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23'!AB144</f>
        <v>8414.14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-47</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8367.14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23'!AB157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23'!AB163</f>
        <v>0</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23'!AB196</f>
        <v>1546</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2006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1962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1590</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23'!AB204</f>
        <v>2016</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2006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2010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23'!AB212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23'!Y219</f>
        <v>0</v>
      </c>
      <c r="Z217" s="97">
        <f>+'November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379</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603614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5286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1.8445810336176618</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2.38</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10.358461538461539</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16.850000000000001</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16.39622641509434</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26.73</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17.739130434782609</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28.62</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14.686648501362399</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22.16</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FEBRUARY 2024</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45351</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3.6611470602439439E-2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6.3088009884443033E-2</v>
      </c>
      <c r="AA250" s="40"/>
      <c r="AB250" s="40"/>
      <c r="AC250" s="43"/>
      <c r="AD250" s="22"/>
    </row>
    <row r="251" spans="1:30" s="23" customFormat="1" x14ac:dyDescent="0.3">
      <c r="A251" s="47"/>
      <c r="B251" s="40" t="s">
        <v>380</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2.4407522105201588E-2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17.97</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4.2748096564229378E-3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4.7300000000000002E-2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1</v>
      </c>
      <c r="Z266" s="154">
        <v>321</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23'!Z273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3195</v>
      </c>
      <c r="Y286" s="189">
        <f>X286/$X$295</f>
        <v>0.99843749999999998</v>
      </c>
      <c r="Z286" s="106">
        <f t="shared" ref="Z286:Z293" si="1">+Z298+Z310+Z332</f>
        <v>611771</v>
      </c>
      <c r="AA286" s="189">
        <f>Z286/$Z$295</f>
        <v>0.99827195143840874</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1</v>
      </c>
      <c r="Y287" s="193">
        <f t="shared" ref="Y287:Y293" si="2">X287/$X$295</f>
        <v>3.1250000000000001E-4</v>
      </c>
      <c r="Z287" s="194">
        <f t="shared" si="1"/>
        <v>202</v>
      </c>
      <c r="AA287" s="195">
        <f>Z287/$Z$295</f>
        <v>3.2961832808446064E-4</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3</v>
      </c>
      <c r="Y288" s="197">
        <f t="shared" si="2"/>
        <v>9.3749999999999997E-4</v>
      </c>
      <c r="Z288" s="130">
        <f t="shared" si="1"/>
        <v>536</v>
      </c>
      <c r="AA288" s="195">
        <f t="shared" ref="AA288:AA293" si="3">Z288/$Z$295</f>
        <v>8.7463081115480635E-4</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1</v>
      </c>
      <c r="Y292" s="199">
        <f t="shared" si="2"/>
        <v>3.1250000000000001E-4</v>
      </c>
      <c r="Z292" s="200">
        <f t="shared" si="1"/>
        <v>321</v>
      </c>
      <c r="AA292" s="195">
        <f t="shared" si="3"/>
        <v>5.237994223520389E-4</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3200</v>
      </c>
      <c r="Y295" s="195">
        <f>SUM(Y286:Y294)</f>
        <v>1</v>
      </c>
      <c r="Z295" s="97">
        <f>SUM(Z286:Z294)</f>
        <v>612830</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3195</v>
      </c>
      <c r="Y298" s="189">
        <f>X298/$X$307</f>
        <v>0.99843749999999998</v>
      </c>
      <c r="Z298" s="106">
        <v>611771</v>
      </c>
      <c r="AA298" s="189">
        <f>Z298/$Z$307</f>
        <v>0.99827195143840874</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1</v>
      </c>
      <c r="Y299" s="195">
        <f t="shared" ref="Y299:Y305" si="4">X299/$X$307</f>
        <v>3.1250000000000001E-4</v>
      </c>
      <c r="Z299" s="97">
        <v>202</v>
      </c>
      <c r="AA299" s="195">
        <f t="shared" ref="AA299:AA305" si="5">Z299/$Z$307</f>
        <v>3.2961832808446064E-4</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3</v>
      </c>
      <c r="Y300" s="195">
        <f t="shared" si="4"/>
        <v>9.3749999999999997E-4</v>
      </c>
      <c r="Z300" s="97">
        <v>536</v>
      </c>
      <c r="AA300" s="195">
        <f t="shared" si="5"/>
        <v>8.7463081115480635E-4</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1</v>
      </c>
      <c r="Y304" s="195">
        <f>X304/$X$307</f>
        <v>3.1250000000000001E-4</v>
      </c>
      <c r="Z304" s="97">
        <v>321</v>
      </c>
      <c r="AA304" s="195">
        <f t="shared" si="5"/>
        <v>5.237994223520389E-4</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3200</v>
      </c>
      <c r="Y307" s="195">
        <f>SUM(Y298:Y306)</f>
        <v>1</v>
      </c>
      <c r="Z307" s="97">
        <f>SUM(Z298:Z306)</f>
        <v>612830</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3200</v>
      </c>
      <c r="Y343" s="195"/>
      <c r="Z343" s="208">
        <f>+Z341+Z319+Z307</f>
        <v>612830</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4</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612834</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612834</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FEBRUARY 2024</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381</v>
      </c>
    </row>
    <row r="365" spans="1:30" x14ac:dyDescent="0.3">
      <c r="B365" s="265" t="s">
        <v>370</v>
      </c>
    </row>
    <row r="366" spans="1:30" x14ac:dyDescent="0.3">
      <c r="B366" s="265" t="s">
        <v>371</v>
      </c>
    </row>
  </sheetData>
  <hyperlinks>
    <hyperlink ref="K9" r:id="rId1" display="http://www.paragon-group.co.uk" xr:uid="{7714C3E5-7B59-4BD8-BE61-4197CBC1AA23}"/>
    <hyperlink ref="P355" r:id="rId2" xr:uid="{CBD12BBB-9B26-4FE7-BA01-8DD6E311FAAB}"/>
    <hyperlink ref="P283" r:id="rId3" xr:uid="{CDEF11D9-33B1-413F-8166-2CB147C506B3}"/>
    <hyperlink ref="B361" r:id="rId4" display="https://investorreporting.paragonbankinggroup.co.uk/bondinvestor_viewer/resources/bondinvestor/pdf/investornews/2021/libor-mortgages-transition-july-19" xr:uid="{60FACD9B-0295-4B7C-8692-35D3D51266C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B2AC-3782-4295-A3B7-38DB7C1CA1CE}">
  <sheetPr>
    <tabColor rgb="FF89CB31"/>
  </sheetPr>
  <dimension ref="A1:JB366"/>
  <sheetViews>
    <sheetView showGridLines="0" tabSelected="1"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2.0676838327534301E-2</v>
      </c>
      <c r="Z17" s="299" t="s">
        <v>259</v>
      </c>
      <c r="AA17" s="299">
        <v>0.97932316167246569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45464</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515474.56995999999</v>
      </c>
      <c r="G30" s="54"/>
      <c r="H30" s="54">
        <f>H29</f>
        <v>39664</v>
      </c>
      <c r="I30" s="54"/>
      <c r="J30" s="54">
        <f>J29</f>
        <v>21635</v>
      </c>
      <c r="K30" s="54"/>
      <c r="L30" s="54">
        <f>L29</f>
        <v>18029</v>
      </c>
      <c r="M30" s="54"/>
      <c r="N30" s="54">
        <f>N29</f>
        <v>18031</v>
      </c>
      <c r="O30" s="54"/>
      <c r="P30" s="54">
        <f>P29*P33</f>
        <v>8961.4312800000007</v>
      </c>
      <c r="Q30" s="54"/>
      <c r="R30" s="54">
        <v>0</v>
      </c>
      <c r="S30" s="54"/>
      <c r="T30" s="54" t="s">
        <v>83</v>
      </c>
      <c r="U30" s="54"/>
      <c r="V30" s="54" t="s">
        <v>83</v>
      </c>
      <c r="W30" s="54"/>
      <c r="X30" s="54" t="s">
        <v>83</v>
      </c>
      <c r="Y30" s="54" t="s">
        <v>83</v>
      </c>
      <c r="Z30" s="54"/>
      <c r="AA30" s="49"/>
      <c r="AB30" s="50">
        <f>SUM(F30:N30)</f>
        <v>612833.56995999999</v>
      </c>
      <c r="AC30" s="51"/>
      <c r="AD30" s="22"/>
    </row>
    <row r="31" spans="1:33" s="23" customFormat="1" x14ac:dyDescent="0.3">
      <c r="A31" s="47"/>
      <c r="B31" s="44" t="s">
        <v>92</v>
      </c>
      <c r="C31" s="49"/>
      <c r="D31" s="56"/>
      <c r="E31" s="56"/>
      <c r="F31" s="56">
        <f>F29*F32</f>
        <v>511731.69796000002</v>
      </c>
      <c r="G31" s="56"/>
      <c r="H31" s="56">
        <f>H29</f>
        <v>39664</v>
      </c>
      <c r="I31" s="56"/>
      <c r="J31" s="56">
        <f>J29</f>
        <v>21635</v>
      </c>
      <c r="K31" s="56"/>
      <c r="L31" s="56">
        <f>L29</f>
        <v>18029</v>
      </c>
      <c r="M31" s="56"/>
      <c r="N31" s="56">
        <f>N29</f>
        <v>18031</v>
      </c>
      <c r="O31" s="56"/>
      <c r="P31" s="56">
        <f>P29*P32</f>
        <v>8921.8558799999992</v>
      </c>
      <c r="Q31" s="56"/>
      <c r="R31" s="56">
        <v>0</v>
      </c>
      <c r="S31" s="56"/>
      <c r="T31" s="56" t="s">
        <v>83</v>
      </c>
      <c r="U31" s="56"/>
      <c r="V31" s="56" t="s">
        <v>83</v>
      </c>
      <c r="W31" s="56"/>
      <c r="X31" s="56" t="s">
        <v>83</v>
      </c>
      <c r="Y31" s="56" t="s">
        <v>83</v>
      </c>
      <c r="Z31" s="56"/>
      <c r="AA31" s="49"/>
      <c r="AB31" s="55">
        <f>SUM(F31:N31)</f>
        <v>609090.69796000002</v>
      </c>
      <c r="AC31" s="51"/>
      <c r="AD31" s="22"/>
      <c r="AE31" s="231"/>
    </row>
    <row r="32" spans="1:33" s="64" customFormat="1" x14ac:dyDescent="0.3">
      <c r="A32" s="57"/>
      <c r="B32" s="163" t="s">
        <v>88</v>
      </c>
      <c r="C32" s="60"/>
      <c r="D32" s="59"/>
      <c r="E32" s="59"/>
      <c r="F32" s="59">
        <v>0.82033</v>
      </c>
      <c r="G32" s="59"/>
      <c r="H32" s="59">
        <v>1</v>
      </c>
      <c r="I32" s="59"/>
      <c r="J32" s="59">
        <v>1</v>
      </c>
      <c r="K32" s="59"/>
      <c r="L32" s="59">
        <v>1</v>
      </c>
      <c r="M32" s="59"/>
      <c r="N32" s="59">
        <v>1</v>
      </c>
      <c r="O32" s="59"/>
      <c r="P32" s="59">
        <v>0.80030999999999997</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0.82633000000000001</v>
      </c>
      <c r="G33" s="59"/>
      <c r="H33" s="59">
        <v>1</v>
      </c>
      <c r="I33" s="59"/>
      <c r="J33" s="59">
        <v>1</v>
      </c>
      <c r="K33" s="59"/>
      <c r="L33" s="59">
        <v>1</v>
      </c>
      <c r="M33" s="59"/>
      <c r="N33" s="59">
        <v>1</v>
      </c>
      <c r="O33" s="59"/>
      <c r="P33" s="59">
        <v>0.80386000000000002</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6.1806100000000003E-2</v>
      </c>
      <c r="G35" s="236"/>
      <c r="H35" s="236">
        <v>6.5806100000000006E-2</v>
      </c>
      <c r="I35" s="236"/>
      <c r="J35" s="236">
        <v>6.8806099999999995E-2</v>
      </c>
      <c r="K35" s="236"/>
      <c r="L35" s="236">
        <v>7.1806099999999998E-2</v>
      </c>
      <c r="M35" s="236"/>
      <c r="N35" s="236">
        <v>8.1806100000000007E-2</v>
      </c>
      <c r="O35" s="236"/>
      <c r="P35" s="236">
        <v>9.2306100000000002E-2</v>
      </c>
      <c r="Q35" s="236"/>
      <c r="R35" s="236">
        <v>9.2306100000000002E-2</v>
      </c>
      <c r="S35" s="67"/>
      <c r="T35" s="67" t="s">
        <v>83</v>
      </c>
      <c r="U35" s="67"/>
      <c r="V35" s="67" t="s">
        <v>83</v>
      </c>
      <c r="W35" s="67"/>
      <c r="X35" s="67" t="s">
        <v>83</v>
      </c>
      <c r="Y35" s="67" t="s">
        <v>83</v>
      </c>
      <c r="Z35" s="67"/>
      <c r="AA35" s="40"/>
      <c r="AB35" s="66">
        <f>SUMPRODUCT(D35:N35,D30:N30)/AB30</f>
        <v>6.3194749450217844E-2</v>
      </c>
      <c r="AC35" s="43"/>
      <c r="AD35" s="22"/>
    </row>
    <row r="36" spans="1:30" s="23" customFormat="1" x14ac:dyDescent="0.3">
      <c r="A36" s="47"/>
      <c r="B36" s="40" t="s">
        <v>10</v>
      </c>
      <c r="C36" s="68"/>
      <c r="D36" s="236"/>
      <c r="E36" s="236"/>
      <c r="F36" s="236">
        <v>6.1705299999999998E-2</v>
      </c>
      <c r="G36" s="236"/>
      <c r="H36" s="236">
        <v>6.5705299999999994E-2</v>
      </c>
      <c r="I36" s="236"/>
      <c r="J36" s="236">
        <v>6.8705299999999997E-2</v>
      </c>
      <c r="K36" s="236"/>
      <c r="L36" s="236">
        <v>7.17053E-2</v>
      </c>
      <c r="M36" s="236"/>
      <c r="N36" s="236">
        <v>8.1705299999999995E-2</v>
      </c>
      <c r="O36" s="236"/>
      <c r="P36" s="236">
        <v>9.2205300000000004E-2</v>
      </c>
      <c r="Q36" s="236"/>
      <c r="R36" s="236">
        <v>9.2205300000000004E-2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0.19025399518559852</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45460</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45275</v>
      </c>
      <c r="AA47" s="76"/>
      <c r="AB47" s="75">
        <v>45365</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94</v>
      </c>
      <c r="Y48" s="40"/>
      <c r="Z48" s="75">
        <v>45366</v>
      </c>
      <c r="AA48" s="76"/>
      <c r="AB48" s="75">
        <v>45459</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45457</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382</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612830</v>
      </c>
      <c r="S57" s="234"/>
      <c r="T57" s="233">
        <f>366+17</f>
        <v>383</v>
      </c>
      <c r="U57" s="234"/>
      <c r="V57" s="234">
        <v>3363</v>
      </c>
      <c r="W57" s="234"/>
      <c r="X57" s="234">
        <v>0</v>
      </c>
      <c r="Y57" s="234"/>
      <c r="Z57" s="234">
        <v>0</v>
      </c>
      <c r="AA57" s="234"/>
      <c r="AB57" s="233">
        <f>R57-T57-V57+X57-Z57</f>
        <v>609084</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612830</v>
      </c>
      <c r="S60" s="234"/>
      <c r="T60" s="234">
        <f>T57+T58</f>
        <v>383</v>
      </c>
      <c r="U60" s="234"/>
      <c r="V60" s="234">
        <f>SUM(V57:V59)</f>
        <v>3363</v>
      </c>
      <c r="W60" s="234"/>
      <c r="X60" s="234">
        <f>SUM(X57:X59)</f>
        <v>0</v>
      </c>
      <c r="Y60" s="234"/>
      <c r="Z60" s="234">
        <f>SUM(Z57:Z59)</f>
        <v>0</v>
      </c>
      <c r="AA60" s="234"/>
      <c r="AB60" s="234">
        <f>SUM(AB57:AB59)</f>
        <v>609084</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3</v>
      </c>
      <c r="W63" s="234"/>
      <c r="X63" s="234"/>
      <c r="Y63" s="234"/>
      <c r="Z63" s="234"/>
      <c r="AA63" s="234"/>
      <c r="AB63" s="234">
        <f>R63+V63</f>
        <v>7</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612834</v>
      </c>
      <c r="S66" s="234"/>
      <c r="T66" s="234"/>
      <c r="U66" s="234"/>
      <c r="V66" s="234"/>
      <c r="W66" s="234"/>
      <c r="X66" s="234"/>
      <c r="Y66" s="234"/>
      <c r="Z66" s="234"/>
      <c r="AA66" s="234"/>
      <c r="AB66" s="234">
        <f>SUM(AB60:AB65)</f>
        <v>609091</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45443</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3745</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6491+511-609-372</f>
        <v>6021</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51+5</f>
        <v>56</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239</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40</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1888</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3749</v>
      </c>
      <c r="AA83" s="40"/>
      <c r="AB83" s="96">
        <f>SUM(AB70:AB82)</f>
        <v>8244</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3749</v>
      </c>
      <c r="AA86" s="40"/>
      <c r="AB86" s="96">
        <f>AB83+AB84+AB85</f>
        <v>8244</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-309-1-9</f>
        <v>-319</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7202</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-8203</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-672</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-383</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-333</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-380</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-213</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-40</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-11-64</f>
        <v>-75</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-2798</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-3743</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-3743</v>
      </c>
      <c r="AA128" s="96"/>
      <c r="AB128" s="96">
        <f>SUM(AB87:AB126)</f>
        <v>-8244</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7</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MAY 2024</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24'!AB144</f>
        <v>8367.14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-40</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8327.14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24'!AB157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23'!AB163</f>
        <v>0</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24'!AB180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24'!AB188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24'!AB196</f>
        <v>1590</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1994</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1888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1696</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24'!AB204</f>
        <v>2010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1994</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2016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24'!AB212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24'!Y219</f>
        <v>0</v>
      </c>
      <c r="Z217" s="97">
        <f>+'February 24'!Z219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379</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596900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594611</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2289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5.4868503937007904E-3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1.8438376203827869</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2.31</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10.300595238095237</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16.010000000000002</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16.318537859007833</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25.45</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17.618618618618619</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27.31</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14.563157894736841</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21.32</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MAY 2024</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45443</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3.7926310066960227E-2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6.3194749450217844E-2</v>
      </c>
      <c r="AA250" s="40"/>
      <c r="AB250" s="40"/>
      <c r="AC250" s="43"/>
      <c r="AD250" s="22"/>
    </row>
    <row r="251" spans="1:30" s="23" customFormat="1" x14ac:dyDescent="0.3">
      <c r="A251" s="47"/>
      <c r="B251" s="40" t="s">
        <v>380</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2.5204215170829294E-2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17.73</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6.1125851372476067E-3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4.5699999999999998E-2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1</v>
      </c>
      <c r="Z266" s="154">
        <v>321</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24'!Z273</f>
        <v>15</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3171</v>
      </c>
      <c r="Y286" s="189">
        <f>X286/$X$295</f>
        <v>0.99811142587346557</v>
      </c>
      <c r="Z286" s="106">
        <f t="shared" ref="Z286:Z293" si="1">+Z298+Z310+Z332</f>
        <v>607642</v>
      </c>
      <c r="AA286" s="189">
        <f>Z286/$Z$295</f>
        <v>0.99763251045832757</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3</v>
      </c>
      <c r="Y287" s="193">
        <f t="shared" ref="Y287:Y293" si="2">X287/$X$295</f>
        <v>9.4428706326723328E-4</v>
      </c>
      <c r="Z287" s="194">
        <f t="shared" si="1"/>
        <v>782</v>
      </c>
      <c r="AA287" s="195">
        <f>Z287/$Z$295</f>
        <v>1.2838951606018217E-3</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1</v>
      </c>
      <c r="Y289" s="197">
        <f t="shared" si="2"/>
        <v>3.1476235442241108E-4</v>
      </c>
      <c r="Z289" s="130">
        <f t="shared" si="1"/>
        <v>196</v>
      </c>
      <c r="AA289" s="195">
        <f t="shared" si="3"/>
        <v>3.2179469498459985E-4</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1</v>
      </c>
      <c r="Y290" s="197">
        <f t="shared" si="2"/>
        <v>3.1476235442241108E-4</v>
      </c>
      <c r="Z290" s="130">
        <f t="shared" si="1"/>
        <v>143</v>
      </c>
      <c r="AA290" s="195">
        <f t="shared" si="3"/>
        <v>2.3477878256529476E-4</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1</v>
      </c>
      <c r="Y291" s="197">
        <f t="shared" si="2"/>
        <v>3.1476235442241108E-4</v>
      </c>
      <c r="Z291" s="130">
        <f t="shared" si="1"/>
        <v>321</v>
      </c>
      <c r="AA291" s="195">
        <f t="shared" si="3"/>
        <v>5.2702090352069663E-4</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3177</v>
      </c>
      <c r="Y295" s="195">
        <f>SUM(Y286:Y294)</f>
        <v>1</v>
      </c>
      <c r="Z295" s="97">
        <f>SUM(Z286:Z294)</f>
        <v>609084</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3171</v>
      </c>
      <c r="Y298" s="189">
        <f>X298/$X$307</f>
        <v>0.99811142587346557</v>
      </c>
      <c r="Z298" s="106">
        <v>607642</v>
      </c>
      <c r="AA298" s="189">
        <f>Z298/$Z$307</f>
        <v>0.99763251045832757</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3</v>
      </c>
      <c r="Y299" s="195">
        <f t="shared" ref="Y299:Y305" si="4">X299/$X$307</f>
        <v>9.4428706326723328E-4</v>
      </c>
      <c r="Z299" s="97">
        <v>782</v>
      </c>
      <c r="AA299" s="195">
        <f t="shared" ref="AA299:AA305" si="5">Z299/$Z$307</f>
        <v>1.2838951606018217E-3</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1</v>
      </c>
      <c r="Y301" s="195">
        <f t="shared" si="4"/>
        <v>3.1476235442241108E-4</v>
      </c>
      <c r="Z301" s="97">
        <v>196</v>
      </c>
      <c r="AA301" s="195">
        <f t="shared" si="5"/>
        <v>3.2179469498459985E-4</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1</v>
      </c>
      <c r="Y302" s="195">
        <f t="shared" si="4"/>
        <v>3.1476235442241108E-4</v>
      </c>
      <c r="Z302" s="97">
        <v>143</v>
      </c>
      <c r="AA302" s="195">
        <f t="shared" si="5"/>
        <v>2.3477878256529476E-4</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1</v>
      </c>
      <c r="Y303" s="195">
        <f t="shared" si="4"/>
        <v>3.1476235442241108E-4</v>
      </c>
      <c r="Z303" s="97">
        <v>321</v>
      </c>
      <c r="AA303" s="195">
        <f t="shared" si="5"/>
        <v>5.2702090352069663E-4</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3177</v>
      </c>
      <c r="Y307" s="195">
        <f>SUM(Y298:Y306)</f>
        <v>1</v>
      </c>
      <c r="Z307" s="97">
        <f>SUM(Z298:Z306)</f>
        <v>609084</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3177</v>
      </c>
      <c r="Y343" s="195"/>
      <c r="Z343" s="208">
        <f>+Z341+Z319+Z307</f>
        <v>609084</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7</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609091</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609091</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MAY 2024</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row r="363" spans="1:30" x14ac:dyDescent="0.3">
      <c r="B363" s="265" t="s">
        <v>381</v>
      </c>
    </row>
    <row r="365" spans="1:30" x14ac:dyDescent="0.3">
      <c r="B365" s="265" t="s">
        <v>370</v>
      </c>
    </row>
    <row r="366" spans="1:30" x14ac:dyDescent="0.3">
      <c r="B366" s="265" t="s">
        <v>371</v>
      </c>
    </row>
  </sheetData>
  <hyperlinks>
    <hyperlink ref="K9" r:id="rId1" display="http://www.paragon-group.co.uk" xr:uid="{DEA363EE-7DA5-422B-AA82-7480A213EDE6}"/>
    <hyperlink ref="P355" r:id="rId2" xr:uid="{E3A9356E-5B58-4524-BD4C-5F3C51DC289B}"/>
    <hyperlink ref="P283" r:id="rId3" xr:uid="{6EE1ECE8-3D3D-4FC1-B543-7E9CE4AD5CAA}"/>
    <hyperlink ref="B361" r:id="rId4" display="https://investorreporting.paragonbankinggroup.co.uk/bondinvestor_viewer/resources/bondinvestor/pdf/investornews/2021/libor-mortgages-transition-july-19" xr:uid="{7EEDFCE2-0002-4008-A1FA-705302C8C35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3B60-3B95-4EB2-91B2-C2D492D2F28D}">
  <sheetPr>
    <tabColor rgb="FF2D2926"/>
  </sheetPr>
  <dimension ref="A1:JB393"/>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2.3367905564977202E-2</v>
      </c>
      <c r="Z17" s="299" t="s">
        <v>259</v>
      </c>
      <c r="AA17" s="299">
        <v>0.97663209443502275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44277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622664.18592000008</v>
      </c>
      <c r="G30" s="54"/>
      <c r="H30" s="54">
        <f>H29</f>
        <v>39664</v>
      </c>
      <c r="I30" s="54"/>
      <c r="J30" s="54">
        <f>J29</f>
        <v>21635</v>
      </c>
      <c r="K30" s="54"/>
      <c r="L30" s="54">
        <f>L29</f>
        <v>18029</v>
      </c>
      <c r="M30" s="54"/>
      <c r="N30" s="54">
        <f>N29</f>
        <v>18031</v>
      </c>
      <c r="O30" s="54"/>
      <c r="P30" s="54">
        <f>P29*P33</f>
        <v>10843.102199999999</v>
      </c>
      <c r="Q30" s="54"/>
      <c r="R30" s="54">
        <v>1142</v>
      </c>
      <c r="S30" s="54"/>
      <c r="T30" s="54" t="s">
        <v>83</v>
      </c>
      <c r="U30" s="54"/>
      <c r="V30" s="54" t="s">
        <v>83</v>
      </c>
      <c r="W30" s="54"/>
      <c r="X30" s="54" t="s">
        <v>83</v>
      </c>
      <c r="Y30" s="54" t="s">
        <v>83</v>
      </c>
      <c r="Z30" s="54"/>
      <c r="AA30" s="49"/>
      <c r="AB30" s="50">
        <f>SUM(F30:N30)</f>
        <v>720023.18592000008</v>
      </c>
      <c r="AC30" s="51"/>
      <c r="AD30" s="22"/>
    </row>
    <row r="31" spans="1:33" s="23" customFormat="1" x14ac:dyDescent="0.3">
      <c r="A31" s="47"/>
      <c r="B31" s="44" t="s">
        <v>92</v>
      </c>
      <c r="C31" s="49"/>
      <c r="D31" s="56"/>
      <c r="E31" s="56"/>
      <c r="F31" s="56">
        <f>F29*F32</f>
        <v>616114.15992000001</v>
      </c>
      <c r="G31" s="56"/>
      <c r="H31" s="56">
        <f>H29</f>
        <v>39664</v>
      </c>
      <c r="I31" s="56"/>
      <c r="J31" s="56">
        <f>J29</f>
        <v>21635</v>
      </c>
      <c r="K31" s="56"/>
      <c r="L31" s="56">
        <f>L29</f>
        <v>18029</v>
      </c>
      <c r="M31" s="56"/>
      <c r="N31" s="56">
        <f>N29</f>
        <v>18031</v>
      </c>
      <c r="O31" s="56"/>
      <c r="P31" s="56">
        <f>P29*P32</f>
        <v>10529.954879999999</v>
      </c>
      <c r="Q31" s="56"/>
      <c r="R31" s="56">
        <v>0</v>
      </c>
      <c r="S31" s="56"/>
      <c r="T31" s="56" t="s">
        <v>83</v>
      </c>
      <c r="U31" s="56"/>
      <c r="V31" s="56" t="s">
        <v>83</v>
      </c>
      <c r="W31" s="56"/>
      <c r="X31" s="56" t="s">
        <v>83</v>
      </c>
      <c r="Y31" s="56" t="s">
        <v>83</v>
      </c>
      <c r="Z31" s="56"/>
      <c r="AA31" s="49"/>
      <c r="AB31" s="55">
        <f>SUM(F31:N31)</f>
        <v>713473.15992000001</v>
      </c>
      <c r="AC31" s="51"/>
      <c r="AD31" s="22"/>
      <c r="AE31" s="231"/>
    </row>
    <row r="32" spans="1:33" s="64" customFormat="1" x14ac:dyDescent="0.3">
      <c r="A32" s="57"/>
      <c r="B32" s="163" t="s">
        <v>88</v>
      </c>
      <c r="C32" s="60"/>
      <c r="D32" s="59"/>
      <c r="E32" s="59"/>
      <c r="F32" s="59">
        <v>0.98765999999999998</v>
      </c>
      <c r="G32" s="59"/>
      <c r="H32" s="59">
        <v>1</v>
      </c>
      <c r="I32" s="59"/>
      <c r="J32" s="59">
        <v>1</v>
      </c>
      <c r="K32" s="59"/>
      <c r="L32" s="59">
        <v>1</v>
      </c>
      <c r="M32" s="59"/>
      <c r="N32" s="59">
        <v>1</v>
      </c>
      <c r="O32" s="59"/>
      <c r="P32" s="59">
        <v>0.94455999999999996</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0.99816000000000005</v>
      </c>
      <c r="G33" s="222"/>
      <c r="H33" s="222">
        <v>1</v>
      </c>
      <c r="I33" s="222"/>
      <c r="J33" s="222">
        <v>1</v>
      </c>
      <c r="K33" s="222"/>
      <c r="L33" s="222">
        <v>1</v>
      </c>
      <c r="M33" s="222"/>
      <c r="N33" s="222">
        <v>1</v>
      </c>
      <c r="O33" s="222"/>
      <c r="P33" s="59">
        <v>0.97265000000000001</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9.9878999999999992E-3</v>
      </c>
      <c r="G35" s="236"/>
      <c r="H35" s="236">
        <v>1.3987899999999999E-2</v>
      </c>
      <c r="I35" s="236"/>
      <c r="J35" s="236">
        <v>1.69879E-2</v>
      </c>
      <c r="K35" s="236"/>
      <c r="L35" s="236">
        <v>1.9987899999999999E-2</v>
      </c>
      <c r="M35" s="236"/>
      <c r="N35" s="236">
        <v>2.9987900000000001E-2</v>
      </c>
      <c r="O35" s="236"/>
      <c r="P35" s="236">
        <v>4.04879E-2</v>
      </c>
      <c r="Q35" s="236"/>
      <c r="R35" s="236">
        <v>4.04879E-2</v>
      </c>
      <c r="S35" s="67"/>
      <c r="T35" s="67" t="s">
        <v>83</v>
      </c>
      <c r="U35" s="67"/>
      <c r="V35" s="67" t="s">
        <v>83</v>
      </c>
      <c r="W35" s="67"/>
      <c r="X35" s="67" t="s">
        <v>83</v>
      </c>
      <c r="Y35" s="67" t="s">
        <v>83</v>
      </c>
      <c r="Z35" s="67"/>
      <c r="AA35" s="40"/>
      <c r="AB35" s="66">
        <f>SUMPRODUCT(D35:N35,D30:N30)/AB30</f>
        <v>1.1169821661192941E-2</v>
      </c>
      <c r="AC35" s="43"/>
      <c r="AD35" s="22"/>
    </row>
    <row r="36" spans="1:30" s="23" customFormat="1" x14ac:dyDescent="0.3">
      <c r="A36" s="47"/>
      <c r="B36" s="40" t="s">
        <v>10</v>
      </c>
      <c r="C36" s="68"/>
      <c r="D36" s="236"/>
      <c r="E36" s="236"/>
      <c r="F36" s="236">
        <v>1.00331E-2</v>
      </c>
      <c r="G36" s="236"/>
      <c r="H36" s="236">
        <v>1.40331E-2</v>
      </c>
      <c r="I36" s="236"/>
      <c r="J36" s="236">
        <v>1.7033099999999999E-2</v>
      </c>
      <c r="K36" s="236"/>
      <c r="L36" s="236">
        <v>2.0033100000000002E-2</v>
      </c>
      <c r="M36" s="236"/>
      <c r="N36" s="236">
        <v>3.0003309999999998E-2</v>
      </c>
      <c r="O36" s="236"/>
      <c r="P36" s="236">
        <v>4.0533100000000002E-2</v>
      </c>
      <c r="Q36" s="236"/>
      <c r="R36" s="236">
        <v>4.0533100000000002E-2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0.15802103949800744</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44270</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34</v>
      </c>
      <c r="Y47" s="40"/>
      <c r="Z47" s="75">
        <v>44146</v>
      </c>
      <c r="AA47" s="76"/>
      <c r="AB47" s="75">
        <v>44179</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44180</v>
      </c>
      <c r="AA48" s="76"/>
      <c r="AB48" s="75">
        <v>44269</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44269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341</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719034</v>
      </c>
      <c r="S57" s="234"/>
      <c r="T57" s="233">
        <f>375+19</f>
        <v>394</v>
      </c>
      <c r="U57" s="234"/>
      <c r="V57" s="234">
        <v>6153</v>
      </c>
      <c r="W57" s="234"/>
      <c r="X57" s="234">
        <v>131</v>
      </c>
      <c r="Y57" s="234"/>
      <c r="Z57" s="234">
        <v>0</v>
      </c>
      <c r="AA57" s="234"/>
      <c r="AB57" s="233">
        <f>R57-T57-V57+X57-Z57</f>
        <v>712618</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719034</v>
      </c>
      <c r="S60" s="234"/>
      <c r="T60" s="234">
        <f>T57+T58</f>
        <v>394</v>
      </c>
      <c r="U60" s="234"/>
      <c r="V60" s="234">
        <f>SUM(V57:V59)</f>
        <v>6153</v>
      </c>
      <c r="W60" s="234"/>
      <c r="X60" s="234">
        <f>SUM(X57:X59)</f>
        <v>131</v>
      </c>
      <c r="Y60" s="234"/>
      <c r="Z60" s="234">
        <f>SUM(Z57:Z59)</f>
        <v>0</v>
      </c>
      <c r="AA60" s="234"/>
      <c r="AB60" s="234">
        <f>SUM(AB57:AB59)</f>
        <v>712618</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-3</v>
      </c>
      <c r="W63" s="234"/>
      <c r="X63" s="234"/>
      <c r="Y63" s="234"/>
      <c r="Z63" s="234"/>
      <c r="AA63" s="234"/>
      <c r="AB63" s="234">
        <f>R63+V63</f>
        <v>1</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985</v>
      </c>
      <c r="S64" s="234"/>
      <c r="T64" s="234"/>
      <c r="U64" s="234"/>
      <c r="V64" s="234"/>
      <c r="W64" s="234"/>
      <c r="X64" s="234">
        <f>-X57</f>
        <v>-131</v>
      </c>
      <c r="Y64" s="234"/>
      <c r="Z64" s="234"/>
      <c r="AA64" s="234"/>
      <c r="AB64" s="234">
        <f>+R64+X64</f>
        <v>854</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720023</v>
      </c>
      <c r="S66" s="234"/>
      <c r="T66" s="234"/>
      <c r="U66" s="234"/>
      <c r="V66" s="234"/>
      <c r="W66" s="234"/>
      <c r="X66" s="234"/>
      <c r="Y66" s="234"/>
      <c r="Z66" s="234"/>
      <c r="AA66" s="234"/>
      <c r="AB66" s="234">
        <f>SUM(AB60:AB65)</f>
        <v>713473</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44253</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131</v>
      </c>
      <c r="AA71" s="40"/>
      <c r="AB71" s="97"/>
      <c r="AC71" s="43"/>
      <c r="AD71" s="22"/>
    </row>
    <row r="72" spans="1:30" s="23" customFormat="1" x14ac:dyDescent="0.3">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-131</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6546</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6375+173-405-20</f>
        <v>6123</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215+4</f>
        <v>219</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17</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6550</v>
      </c>
      <c r="AA83" s="40"/>
      <c r="AB83" s="96">
        <f>SUM(AB70:AB82)</f>
        <v>6359</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6550</v>
      </c>
      <c r="AA86" s="40"/>
      <c r="AB86" s="96">
        <f>AB83+AB84+AB85</f>
        <v>6359</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-355-4-5</f>
        <v>-364</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76</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-1535</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-137</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-91</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-89</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-30</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-133</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-108</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-313</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f>-11-4</f>
        <v>-15</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-1142</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-18-84</f>
        <v>-102</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-10</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-2363</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-6549</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-6549</v>
      </c>
      <c r="AA128" s="96"/>
      <c r="AB128" s="96">
        <f>SUM(AB87:AB126)</f>
        <v>-6359</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1</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FEBRUARY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20'!AB144</f>
        <v>9952.14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-17</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9935.14</v>
      </c>
      <c r="AC144" s="43"/>
      <c r="AD144" s="22"/>
    </row>
    <row r="145" spans="1:30"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20'!AB157</f>
        <v>594.95999999999992</v>
      </c>
      <c r="AC148" s="43"/>
      <c r="AD148" s="22"/>
    </row>
    <row r="149" spans="1:30"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20'!AB163</f>
        <v>985</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-131</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854</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20'!AB180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20'!AB188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20'!AB196</f>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20'!AB204</f>
        <v>301</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AB200-AB202+AB203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20'!AB212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20'!Y219</f>
        <v>0</v>
      </c>
      <c r="Z217" s="97">
        <f>+'November 20'!Z219</f>
        <v>66</v>
      </c>
      <c r="AA217" s="40"/>
      <c r="AB217" s="97">
        <f>Y217+Z217</f>
        <v>66</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131</v>
      </c>
      <c r="AA218" s="40"/>
      <c r="AB218" s="97">
        <f>Y218+Z218</f>
        <v>131</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197</v>
      </c>
      <c r="AA219" s="40"/>
      <c r="AB219" s="97">
        <f>Y219+Z219</f>
        <v>197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117156.76000000001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712618</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7382</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3.9537459283387624</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3.4</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33.094890510948908</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26.89</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48.318681318681321</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39.15</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48.382022471910112</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38.770000000000003</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31.706766917293233</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25.39</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FEBRUARY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44253</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1.1169821661192941E-2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2.330017833880706E-2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8.9372145056477361E-3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21.04</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9.0927650922262206E-3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3.1099999999999999E-2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20'!Z273</f>
        <v>1</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3775</v>
      </c>
      <c r="Y286" s="189">
        <f>X286/$X$295</f>
        <v>1</v>
      </c>
      <c r="Z286" s="106">
        <f t="shared" ref="Z286:Z293" si="1">+Z298+Z310+Z332</f>
        <v>712618</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3775</v>
      </c>
      <c r="Y295" s="195">
        <f>SUM(Y286:Y294)</f>
        <v>1</v>
      </c>
      <c r="Z295" s="97">
        <f>SUM(Z286:Z294)</f>
        <v>712618</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3775</v>
      </c>
      <c r="Y298" s="189">
        <f>X298/$X$307</f>
        <v>1</v>
      </c>
      <c r="Z298" s="106">
        <v>712618</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3775</v>
      </c>
      <c r="Y307" s="195">
        <f>SUM(Y298:Y306)</f>
        <v>1</v>
      </c>
      <c r="Z307" s="97">
        <f>SUM(Z298:Z306)</f>
        <v>712618</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15</v>
      </c>
      <c r="Y344" s="260">
        <f>+X344/X353</f>
        <v>1</v>
      </c>
      <c r="Z344" s="212">
        <v>3547</v>
      </c>
      <c r="AA344" s="260">
        <f>+Z344/Z353</f>
        <v>1</v>
      </c>
      <c r="AB344" s="276"/>
      <c r="AC344" s="278"/>
      <c r="AD344" s="22"/>
    </row>
    <row r="345" spans="1:30" s="23" customFormat="1" x14ac:dyDescent="0.3">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15</v>
      </c>
      <c r="Y353" s="263">
        <f>SUM(Y344:Y351)</f>
        <v>1</v>
      </c>
      <c r="Z353" s="97">
        <f>SUM(Z344:Z351)</f>
        <v>3547</v>
      </c>
      <c r="AA353" s="263">
        <f>SUM(AA344:AA351)</f>
        <v>1</v>
      </c>
      <c r="AB353" s="40"/>
      <c r="AC353" s="43"/>
      <c r="AD353" s="22"/>
    </row>
    <row r="354" spans="1:30" s="23" customFormat="1" ht="16.2" thickBot="1" x14ac:dyDescent="0.35">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3.9735099337748344E-3</v>
      </c>
      <c r="Z354" s="281"/>
      <c r="AA354" s="280">
        <f>+Z353/Z358</f>
        <v>4.9774212832120433E-3</v>
      </c>
      <c r="AB354" s="282"/>
      <c r="AC354" s="43"/>
      <c r="AD354" s="22"/>
    </row>
    <row r="355" spans="1:30" s="23" customFormat="1" ht="16.2" thickTop="1" x14ac:dyDescent="0.3">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3</v>
      </c>
      <c r="Y355" s="286">
        <f>X355/X353</f>
        <v>0.2</v>
      </c>
      <c r="Z355" s="287">
        <v>525</v>
      </c>
      <c r="AA355" s="286">
        <f>Z355/Z353</f>
        <v>0.14801240484916831</v>
      </c>
      <c r="AB355" s="288">
        <v>0.989247311827957</v>
      </c>
      <c r="AC355" s="43"/>
      <c r="AD355" s="22"/>
    </row>
    <row r="356" spans="1:30" s="23" customFormat="1" ht="16.2" thickBot="1" x14ac:dyDescent="0.35">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12</v>
      </c>
      <c r="Y356" s="290">
        <f>X356/X353</f>
        <v>0.8</v>
      </c>
      <c r="Z356" s="291">
        <v>3022</v>
      </c>
      <c r="AA356" s="290">
        <f>Z356/Z353</f>
        <v>0.85198759515083167</v>
      </c>
      <c r="AB356" s="292">
        <v>1.2311827956989247</v>
      </c>
      <c r="AC356" s="43"/>
      <c r="AD356" s="22"/>
    </row>
    <row r="357" spans="1:30" s="23" customFormat="1" ht="16.2" thickTop="1" x14ac:dyDescent="0.3">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3775</v>
      </c>
      <c r="Y358" s="195"/>
      <c r="Z358" s="208">
        <f>+Z341+Z319+Z307</f>
        <v>712618</v>
      </c>
      <c r="AA358" s="195"/>
      <c r="AB358" s="40"/>
      <c r="AC358" s="43"/>
      <c r="AD358" s="22"/>
    </row>
    <row r="359" spans="1:30" s="23" customFormat="1" x14ac:dyDescent="0.3">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855</v>
      </c>
      <c r="AA359" s="195"/>
      <c r="AB359" s="40"/>
      <c r="AC359" s="43"/>
      <c r="AD359" s="22"/>
    </row>
    <row r="360" spans="1:30" s="23" customFormat="1" x14ac:dyDescent="0.3">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713473</v>
      </c>
      <c r="AA360" s="195"/>
      <c r="AB360" s="40"/>
      <c r="AC360" s="43"/>
      <c r="AD360" s="22"/>
    </row>
    <row r="361" spans="1:30" s="23" customFormat="1" x14ac:dyDescent="0.3">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713473</v>
      </c>
      <c r="AA361" s="195"/>
      <c r="AB361" s="40"/>
      <c r="AC361" s="43"/>
      <c r="AD361" s="22"/>
    </row>
    <row r="362" spans="1:30" s="23" customFormat="1" x14ac:dyDescent="0.3">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 x14ac:dyDescent="0.3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 x14ac:dyDescent="0.3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8.600000000000001" thickBot="1" x14ac:dyDescent="0.4">
      <c r="A374" s="215"/>
      <c r="B374" s="219" t="str">
        <f>B243</f>
        <v>PM28 INVESTOR REPORT QUARTER ENDING FEBRUARY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
      <c r="B377" s="273" t="s">
        <v>277</v>
      </c>
    </row>
    <row r="378" spans="1:30" x14ac:dyDescent="0.3">
      <c r="B378" s="265" t="s">
        <v>278</v>
      </c>
    </row>
    <row r="379" spans="1:30" x14ac:dyDescent="0.3">
      <c r="B379" s="265" t="s">
        <v>279</v>
      </c>
    </row>
    <row r="380" spans="1:30" x14ac:dyDescent="0.3">
      <c r="B380" s="265" t="s">
        <v>280</v>
      </c>
    </row>
    <row r="381" spans="1:30" x14ac:dyDescent="0.3">
      <c r="B381" s="265" t="s">
        <v>281</v>
      </c>
    </row>
    <row r="382" spans="1:30" x14ac:dyDescent="0.3">
      <c r="B382" s="265" t="s">
        <v>282</v>
      </c>
    </row>
    <row r="383" spans="1:30" x14ac:dyDescent="0.3">
      <c r="B383" s="265" t="s">
        <v>283</v>
      </c>
    </row>
    <row r="384" spans="1:30" x14ac:dyDescent="0.3">
      <c r="B384" s="265" t="s">
        <v>284</v>
      </c>
    </row>
    <row r="385" spans="2:19" x14ac:dyDescent="0.3">
      <c r="B385" s="265"/>
    </row>
    <row r="386" spans="2:19" x14ac:dyDescent="0.3">
      <c r="B386" s="273" t="s">
        <v>300</v>
      </c>
    </row>
    <row r="387" spans="2:19" x14ac:dyDescent="0.3">
      <c r="B387" s="265" t="s">
        <v>339</v>
      </c>
    </row>
    <row r="388" spans="2:19" x14ac:dyDescent="0.3">
      <c r="B388" s="265" t="s">
        <v>343</v>
      </c>
    </row>
    <row r="389" spans="2:19" x14ac:dyDescent="0.3">
      <c r="B389" s="265"/>
    </row>
    <row r="390" spans="2:19" x14ac:dyDescent="0.3">
      <c r="B390" s="273" t="s">
        <v>285</v>
      </c>
    </row>
    <row r="391" spans="2:19" x14ac:dyDescent="0.3">
      <c r="B391" s="265" t="s">
        <v>286</v>
      </c>
    </row>
    <row r="392" spans="2:19" x14ac:dyDescent="0.3">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F4444CF8-8CC0-4649-8563-677F5F24A6B2}"/>
    <hyperlink ref="P372" r:id="rId2" xr:uid="{008A8A31-4AFD-4A10-AF54-046773F7583E}"/>
    <hyperlink ref="P283" r:id="rId3" xr:uid="{40639F10-DDDC-4389-B725-9BD9C79F8309}"/>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8570-0C97-4363-99C9-A9F791C3B724}">
  <sheetPr>
    <tabColor rgb="FF89CB31"/>
  </sheetPr>
  <dimension ref="A1:JB393"/>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2.3282160846897638E-2</v>
      </c>
      <c r="Z17" s="299" t="s">
        <v>259</v>
      </c>
      <c r="AA17" s="299">
        <v>0.9767178391531024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44365</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616114.15992000001</v>
      </c>
      <c r="G30" s="54"/>
      <c r="H30" s="54">
        <f>H29</f>
        <v>39664</v>
      </c>
      <c r="I30" s="54"/>
      <c r="J30" s="54">
        <f>J29</f>
        <v>21635</v>
      </c>
      <c r="K30" s="54"/>
      <c r="L30" s="54">
        <f>L29</f>
        <v>18029</v>
      </c>
      <c r="M30" s="54"/>
      <c r="N30" s="54">
        <f>N29</f>
        <v>18031</v>
      </c>
      <c r="O30" s="54"/>
      <c r="P30" s="54">
        <f>P29*P33</f>
        <v>10529.954879999999</v>
      </c>
      <c r="Q30" s="54"/>
      <c r="R30" s="54">
        <v>0</v>
      </c>
      <c r="S30" s="54"/>
      <c r="T30" s="54" t="s">
        <v>83</v>
      </c>
      <c r="U30" s="54"/>
      <c r="V30" s="54" t="s">
        <v>83</v>
      </c>
      <c r="W30" s="54"/>
      <c r="X30" s="54" t="s">
        <v>83</v>
      </c>
      <c r="Y30" s="54" t="s">
        <v>83</v>
      </c>
      <c r="Z30" s="54"/>
      <c r="AA30" s="49"/>
      <c r="AB30" s="50">
        <f>SUM(F30:N30)</f>
        <v>713473.15992000001</v>
      </c>
      <c r="AC30" s="51"/>
      <c r="AD30" s="22"/>
    </row>
    <row r="31" spans="1:33" s="23" customFormat="1" x14ac:dyDescent="0.3">
      <c r="A31" s="47"/>
      <c r="B31" s="44" t="s">
        <v>92</v>
      </c>
      <c r="C31" s="49"/>
      <c r="D31" s="56"/>
      <c r="E31" s="56"/>
      <c r="F31" s="56">
        <f>F29*F32</f>
        <v>614111.72340000002</v>
      </c>
      <c r="G31" s="56"/>
      <c r="H31" s="56">
        <f>H29</f>
        <v>39664</v>
      </c>
      <c r="I31" s="56"/>
      <c r="J31" s="56">
        <f>J29</f>
        <v>21635</v>
      </c>
      <c r="K31" s="56"/>
      <c r="L31" s="56">
        <f>L29</f>
        <v>18029</v>
      </c>
      <c r="M31" s="56"/>
      <c r="N31" s="56">
        <f>N29</f>
        <v>18031</v>
      </c>
      <c r="O31" s="56"/>
      <c r="P31" s="56">
        <f>P29*P32</f>
        <v>10431.62952</v>
      </c>
      <c r="Q31" s="56"/>
      <c r="R31" s="56">
        <v>0</v>
      </c>
      <c r="S31" s="56"/>
      <c r="T31" s="56" t="s">
        <v>83</v>
      </c>
      <c r="U31" s="56"/>
      <c r="V31" s="56" t="s">
        <v>83</v>
      </c>
      <c r="W31" s="56"/>
      <c r="X31" s="56" t="s">
        <v>83</v>
      </c>
      <c r="Y31" s="56" t="s">
        <v>83</v>
      </c>
      <c r="Z31" s="56"/>
      <c r="AA31" s="49"/>
      <c r="AB31" s="55">
        <f>SUM(F31:N31)</f>
        <v>711470.72340000002</v>
      </c>
      <c r="AC31" s="51"/>
      <c r="AD31" s="22"/>
      <c r="AE31" s="231"/>
    </row>
    <row r="32" spans="1:33" s="64" customFormat="1" x14ac:dyDescent="0.3">
      <c r="A32" s="57"/>
      <c r="B32" s="163" t="s">
        <v>88</v>
      </c>
      <c r="C32" s="60"/>
      <c r="D32" s="59"/>
      <c r="E32" s="59"/>
      <c r="F32" s="59">
        <v>0.98445000000000005</v>
      </c>
      <c r="G32" s="59"/>
      <c r="H32" s="59">
        <v>1</v>
      </c>
      <c r="I32" s="59"/>
      <c r="J32" s="59">
        <v>1</v>
      </c>
      <c r="K32" s="59"/>
      <c r="L32" s="59">
        <v>1</v>
      </c>
      <c r="M32" s="59"/>
      <c r="N32" s="59">
        <v>1</v>
      </c>
      <c r="O32" s="59"/>
      <c r="P32" s="59">
        <v>0.93574000000000002</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0.98765999999999998</v>
      </c>
      <c r="G33" s="222"/>
      <c r="H33" s="222">
        <v>1</v>
      </c>
      <c r="I33" s="222"/>
      <c r="J33" s="222">
        <v>1</v>
      </c>
      <c r="K33" s="222"/>
      <c r="L33" s="222">
        <v>1</v>
      </c>
      <c r="M33" s="222"/>
      <c r="N33" s="222">
        <v>1</v>
      </c>
      <c r="O33" s="222"/>
      <c r="P33" s="59">
        <v>0.94455999999999996</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9.9895000000000001E-3</v>
      </c>
      <c r="G35" s="236"/>
      <c r="H35" s="236">
        <v>1.39895E-2</v>
      </c>
      <c r="I35" s="236"/>
      <c r="J35" s="236">
        <v>1.6989500000000001E-2</v>
      </c>
      <c r="K35" s="236"/>
      <c r="L35" s="236">
        <v>1.99895E-2</v>
      </c>
      <c r="M35" s="236"/>
      <c r="N35" s="236">
        <v>2.9989499999999999E-2</v>
      </c>
      <c r="O35" s="236"/>
      <c r="P35" s="236">
        <v>4.0489499999999998E-2</v>
      </c>
      <c r="Q35" s="236"/>
      <c r="R35" s="236">
        <v>4.0489499999999998E-2</v>
      </c>
      <c r="S35" s="67"/>
      <c r="T35" s="67" t="s">
        <v>83</v>
      </c>
      <c r="U35" s="67"/>
      <c r="V35" s="67" t="s">
        <v>83</v>
      </c>
      <c r="W35" s="67"/>
      <c r="X35" s="67" t="s">
        <v>83</v>
      </c>
      <c r="Y35" s="67" t="s">
        <v>83</v>
      </c>
      <c r="Z35" s="67"/>
      <c r="AA35" s="40"/>
      <c r="AB35" s="66">
        <f>SUMPRODUCT(D35:N35,D30:N30)/AB30</f>
        <v>1.1182272269240545E-2</v>
      </c>
      <c r="AC35" s="43"/>
      <c r="AD35" s="22"/>
    </row>
    <row r="36" spans="1:30" s="23" customFormat="1" x14ac:dyDescent="0.3">
      <c r="A36" s="47"/>
      <c r="B36" s="40" t="s">
        <v>10</v>
      </c>
      <c r="C36" s="68"/>
      <c r="D36" s="236"/>
      <c r="E36" s="236"/>
      <c r="F36" s="236">
        <v>9.9878999999999992E-3</v>
      </c>
      <c r="G36" s="236"/>
      <c r="H36" s="236">
        <v>1.3987899999999999E-2</v>
      </c>
      <c r="I36" s="236"/>
      <c r="J36" s="236">
        <v>1.69879E-2</v>
      </c>
      <c r="K36" s="236"/>
      <c r="L36" s="236">
        <v>1.9987899999999999E-2</v>
      </c>
      <c r="M36" s="236"/>
      <c r="N36" s="236">
        <v>2.9987900000000001E-2</v>
      </c>
      <c r="O36" s="236"/>
      <c r="P36" s="236">
        <v>4.04879E-2</v>
      </c>
      <c r="Q36" s="236"/>
      <c r="R36" s="236">
        <v>4.04879E-2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0.15853629932510746</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44362</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44180</v>
      </c>
      <c r="AA47" s="76"/>
      <c r="AB47" s="75">
        <v>44269</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44270</v>
      </c>
      <c r="AA48" s="76"/>
      <c r="AB48" s="75">
        <v>44361</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44361</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344</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712618</v>
      </c>
      <c r="S57" s="234"/>
      <c r="T57" s="233">
        <f>378+19</f>
        <v>397</v>
      </c>
      <c r="U57" s="234"/>
      <c r="V57" s="234">
        <v>1608</v>
      </c>
      <c r="W57" s="234"/>
      <c r="X57" s="234">
        <v>148</v>
      </c>
      <c r="Y57" s="234"/>
      <c r="Z57" s="234">
        <v>0</v>
      </c>
      <c r="AA57" s="234"/>
      <c r="AB57" s="233">
        <f>R57-T57-V57+X57-Z57</f>
        <v>710761</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712618</v>
      </c>
      <c r="S60" s="234"/>
      <c r="T60" s="234">
        <f>T57+T58</f>
        <v>397</v>
      </c>
      <c r="U60" s="234"/>
      <c r="V60" s="234">
        <f>SUM(V57:V59)</f>
        <v>1608</v>
      </c>
      <c r="W60" s="234"/>
      <c r="X60" s="234">
        <f>SUM(X57:X59)</f>
        <v>148</v>
      </c>
      <c r="Y60" s="234"/>
      <c r="Z60" s="234">
        <f>SUM(Z57:Z59)</f>
        <v>0</v>
      </c>
      <c r="AA60" s="234"/>
      <c r="AB60" s="234">
        <f>SUM(AB57:AB59)</f>
        <v>710761</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1</v>
      </c>
      <c r="S63" s="234"/>
      <c r="T63" s="234">
        <v>0</v>
      </c>
      <c r="U63" s="234"/>
      <c r="V63" s="234">
        <v>3</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854</v>
      </c>
      <c r="S64" s="234"/>
      <c r="T64" s="234"/>
      <c r="U64" s="234"/>
      <c r="V64" s="234"/>
      <c r="W64" s="234"/>
      <c r="X64" s="234">
        <f>-X57</f>
        <v>-148</v>
      </c>
      <c r="Y64" s="234"/>
      <c r="Z64" s="234"/>
      <c r="AA64" s="234"/>
      <c r="AB64" s="234">
        <f>+R64+X64</f>
        <v>706</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713473</v>
      </c>
      <c r="S66" s="234"/>
      <c r="T66" s="234"/>
      <c r="U66" s="234"/>
      <c r="V66" s="234"/>
      <c r="W66" s="234"/>
      <c r="X66" s="234"/>
      <c r="Y66" s="234"/>
      <c r="Z66" s="234"/>
      <c r="AA66" s="234"/>
      <c r="AB66" s="234">
        <f>SUM(AB60:AB65)</f>
        <v>711471</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44344</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1</v>
      </c>
      <c r="AA70" s="37"/>
      <c r="AB70" s="106">
        <v>0</v>
      </c>
      <c r="AC70" s="21"/>
      <c r="AD70" s="22"/>
    </row>
    <row r="71" spans="1:30" s="23" customFormat="1" x14ac:dyDescent="0.3">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148</v>
      </c>
      <c r="AA71" s="40"/>
      <c r="AB71" s="97"/>
      <c r="AC71" s="43"/>
      <c r="AD71" s="22"/>
    </row>
    <row r="72" spans="1:30" s="23" customFormat="1" x14ac:dyDescent="0.3">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-148</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2005</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6358+173-410-20</f>
        <v>6101</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65+3</f>
        <v>68</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98</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2006</v>
      </c>
      <c r="AA83" s="40"/>
      <c r="AB83" s="96">
        <f>SUM(AB70:AB82)</f>
        <v>6267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2006</v>
      </c>
      <c r="AA86" s="40"/>
      <c r="AB86" s="96">
        <f>AB83+AB84+AB85</f>
        <v>6267</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-359-1-8</f>
        <v>-368</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78</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-1553</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-140</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-93</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-91</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-136</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-107</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-98</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-13-63</f>
        <v>-76</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-3654</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-2002</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-2002</v>
      </c>
      <c r="AA128" s="96"/>
      <c r="AB128" s="96">
        <f>SUM(AB87:AB126)</f>
        <v>-6267</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MAY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21'!AB144</f>
        <v>9935.14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-98</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9837.14</v>
      </c>
      <c r="AC144" s="43"/>
      <c r="AD144" s="22"/>
    </row>
    <row r="145" spans="1:30"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21'!AB157</f>
        <v>594.95999999999992</v>
      </c>
      <c r="AC148" s="43"/>
      <c r="AD148" s="22"/>
    </row>
    <row r="149" spans="1:30"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21'!AB163</f>
        <v>854</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-148</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706</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21'!AB212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21'!Y219</f>
        <v>0</v>
      </c>
      <c r="Z217" s="97">
        <f>+'February 21'!Z219</f>
        <v>197</v>
      </c>
      <c r="AA217" s="40"/>
      <c r="AB217" s="97">
        <f>Y217+Z217</f>
        <v>197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148</v>
      </c>
      <c r="AA218" s="40"/>
      <c r="AB218" s="97">
        <f>Y218+Z218</f>
        <v>148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345</v>
      </c>
      <c r="AA219" s="40"/>
      <c r="AB219" s="97">
        <f>Y219+Z219</f>
        <v>345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117008.76000000001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710761</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9239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3.8473921442369607</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3.59</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31.585714285714285</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28.89</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46.043010752688176</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42.09</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46.032967032967036</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41.86</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30.132352941176471</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27.41</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MAY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44344</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1.1182272269240545E-2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2.3287727730759454E-2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8.8931185903320803E-3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20.79</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2.8101974426502476E-3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2.2700000000000001E-2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21'!Z273</f>
        <v>1</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3764</v>
      </c>
      <c r="Y286" s="189">
        <f>X286/$X$295</f>
        <v>1</v>
      </c>
      <c r="Z286" s="106">
        <f t="shared" ref="Z286:Z293" si="1">+Z298+Z310+Z332</f>
        <v>710761</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3764</v>
      </c>
      <c r="Y295" s="195">
        <f>SUM(Y286:Y294)</f>
        <v>1</v>
      </c>
      <c r="Z295" s="97">
        <f>SUM(Z286:Z294)</f>
        <v>710761</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3764</v>
      </c>
      <c r="Y298" s="189">
        <f>X298/$X$307</f>
        <v>1</v>
      </c>
      <c r="Z298" s="106">
        <v>710761</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3764</v>
      </c>
      <c r="Y307" s="195">
        <f>SUM(Y298:Y306)</f>
        <v>1</v>
      </c>
      <c r="Z307" s="97">
        <f>SUM(Z298:Z306)</f>
        <v>710761</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4</v>
      </c>
      <c r="Y344" s="260">
        <f>+X344/X353</f>
        <v>1</v>
      </c>
      <c r="Z344" s="212">
        <v>1209</v>
      </c>
      <c r="AA344" s="260">
        <f>+Z344/Z353</f>
        <v>1</v>
      </c>
      <c r="AB344" s="276"/>
      <c r="AC344" s="278"/>
      <c r="AD344" s="22"/>
    </row>
    <row r="345" spans="1:30" s="23" customFormat="1" x14ac:dyDescent="0.3">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4</v>
      </c>
      <c r="Y353" s="263">
        <f>SUM(Y344:Y351)</f>
        <v>1</v>
      </c>
      <c r="Z353" s="97">
        <f>SUM(Z344:Z351)</f>
        <v>1209</v>
      </c>
      <c r="AA353" s="263">
        <f>SUM(AA344:AA351)</f>
        <v>1</v>
      </c>
      <c r="AB353" s="40"/>
      <c r="AC353" s="43"/>
      <c r="AD353" s="22"/>
    </row>
    <row r="354" spans="1:30" s="23" customFormat="1" ht="16.2" thickBot="1" x14ac:dyDescent="0.35">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1.0626992561105207E-3</v>
      </c>
      <c r="Z354" s="281"/>
      <c r="AA354" s="280">
        <f>+Z353/Z358</f>
        <v>1.7009937236286178E-3</v>
      </c>
      <c r="AB354" s="282"/>
      <c r="AC354" s="43"/>
      <c r="AD354" s="22"/>
    </row>
    <row r="355" spans="1:30" s="23" customFormat="1" ht="16.2" thickTop="1" x14ac:dyDescent="0.3">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1</v>
      </c>
      <c r="Y355" s="286">
        <f>X355/X353</f>
        <v>0.25</v>
      </c>
      <c r="Z355" s="287">
        <v>80</v>
      </c>
      <c r="AA355" s="286">
        <f>Z355/Z353</f>
        <v>6.6170388751033912E-2</v>
      </c>
      <c r="AB355" s="288">
        <v>0</v>
      </c>
      <c r="AC355" s="43"/>
      <c r="AD355" s="22"/>
    </row>
    <row r="356" spans="1:30" s="23" customFormat="1" ht="16.2" thickBot="1" x14ac:dyDescent="0.35">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3</v>
      </c>
      <c r="Y356" s="290">
        <f>X356/X353</f>
        <v>0.75</v>
      </c>
      <c r="Z356" s="291">
        <v>1129</v>
      </c>
      <c r="AA356" s="290">
        <f>Z356/Z353</f>
        <v>0.93382961124896613</v>
      </c>
      <c r="AB356" s="292">
        <v>1.6344086021505375</v>
      </c>
      <c r="AC356" s="43"/>
      <c r="AD356" s="22"/>
    </row>
    <row r="357" spans="1:30" s="23" customFormat="1" ht="16.2" thickTop="1" x14ac:dyDescent="0.3">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3764</v>
      </c>
      <c r="Y358" s="195"/>
      <c r="Z358" s="208">
        <f>+Z341+Z319+Z307</f>
        <v>710761</v>
      </c>
      <c r="AA358" s="195"/>
      <c r="AB358" s="40"/>
      <c r="AC358" s="43"/>
      <c r="AD358" s="22"/>
    </row>
    <row r="359" spans="1:30" s="23" customFormat="1" x14ac:dyDescent="0.3">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710</v>
      </c>
      <c r="AA359" s="195"/>
      <c r="AB359" s="40"/>
      <c r="AC359" s="43"/>
      <c r="AD359" s="22"/>
    </row>
    <row r="360" spans="1:30" s="23" customFormat="1" x14ac:dyDescent="0.3">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711471</v>
      </c>
      <c r="AA360" s="195"/>
      <c r="AB360" s="40"/>
      <c r="AC360" s="43"/>
      <c r="AD360" s="22"/>
    </row>
    <row r="361" spans="1:30" s="23" customFormat="1" x14ac:dyDescent="0.3">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711471</v>
      </c>
      <c r="AA361" s="195"/>
      <c r="AB361" s="40"/>
      <c r="AC361" s="43"/>
      <c r="AD361" s="22"/>
    </row>
    <row r="362" spans="1:30" s="23" customFormat="1" x14ac:dyDescent="0.3">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 x14ac:dyDescent="0.3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 x14ac:dyDescent="0.3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8.600000000000001" thickBot="1" x14ac:dyDescent="0.4">
      <c r="A374" s="215"/>
      <c r="B374" s="219" t="str">
        <f>B243</f>
        <v>PM28 INVESTOR REPORT QUARTER ENDING MAY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
      <c r="B377" s="273" t="s">
        <v>277</v>
      </c>
    </row>
    <row r="378" spans="1:30" x14ac:dyDescent="0.3">
      <c r="B378" s="265" t="s">
        <v>278</v>
      </c>
    </row>
    <row r="379" spans="1:30" x14ac:dyDescent="0.3">
      <c r="B379" s="265" t="s">
        <v>279</v>
      </c>
    </row>
    <row r="380" spans="1:30" x14ac:dyDescent="0.3">
      <c r="B380" s="265" t="s">
        <v>280</v>
      </c>
    </row>
    <row r="381" spans="1:30" x14ac:dyDescent="0.3">
      <c r="B381" s="265" t="s">
        <v>281</v>
      </c>
    </row>
    <row r="382" spans="1:30" x14ac:dyDescent="0.3">
      <c r="B382" s="265" t="s">
        <v>282</v>
      </c>
    </row>
    <row r="383" spans="1:30" x14ac:dyDescent="0.3">
      <c r="B383" s="265" t="s">
        <v>283</v>
      </c>
    </row>
    <row r="384" spans="1:30" x14ac:dyDescent="0.3">
      <c r="B384" s="265" t="s">
        <v>284</v>
      </c>
    </row>
    <row r="385" spans="2:19" x14ac:dyDescent="0.3">
      <c r="B385" s="265"/>
    </row>
    <row r="386" spans="2:19" x14ac:dyDescent="0.3">
      <c r="B386" s="273" t="s">
        <v>300</v>
      </c>
    </row>
    <row r="387" spans="2:19" x14ac:dyDescent="0.3">
      <c r="B387" s="265" t="s">
        <v>339</v>
      </c>
    </row>
    <row r="388" spans="2:19" x14ac:dyDescent="0.3">
      <c r="B388" s="265" t="s">
        <v>343</v>
      </c>
    </row>
    <row r="389" spans="2:19" x14ac:dyDescent="0.3">
      <c r="B389" s="265"/>
    </row>
    <row r="390" spans="2:19" x14ac:dyDescent="0.3">
      <c r="B390" s="273" t="s">
        <v>285</v>
      </c>
    </row>
    <row r="391" spans="2:19" x14ac:dyDescent="0.3">
      <c r="B391" s="265" t="s">
        <v>286</v>
      </c>
    </row>
    <row r="392" spans="2:19" x14ac:dyDescent="0.3">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9E1491F2-1E09-43BC-BB34-E889F0C7D566}"/>
    <hyperlink ref="P372" r:id="rId2" xr:uid="{79075029-0FB1-44FE-B965-ACDFCA8D7F1B}"/>
    <hyperlink ref="P283" r:id="rId3" xr:uid="{B78BE2B9-419A-4F79-81A7-7CCC6B0D5787}"/>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88291-D33C-4DFC-980B-3FE63F8E2715}">
  <sheetPr>
    <tabColor rgb="FF2D2926"/>
  </sheetPr>
  <dimension ref="A1:JB399"/>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2.3400000000000001E-2</v>
      </c>
      <c r="Z17" s="299" t="s">
        <v>259</v>
      </c>
      <c r="AA17" s="299">
        <v>0.97660000000000002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44461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614111.72340000002</v>
      </c>
      <c r="G30" s="54"/>
      <c r="H30" s="54">
        <f>H29</f>
        <v>39664</v>
      </c>
      <c r="I30" s="54"/>
      <c r="J30" s="54">
        <f>J29</f>
        <v>21635</v>
      </c>
      <c r="K30" s="54"/>
      <c r="L30" s="54">
        <f>L29</f>
        <v>18029</v>
      </c>
      <c r="M30" s="54"/>
      <c r="N30" s="54">
        <f>N29</f>
        <v>18031</v>
      </c>
      <c r="O30" s="54"/>
      <c r="P30" s="54">
        <f>P29*P33</f>
        <v>10431.62952</v>
      </c>
      <c r="Q30" s="54"/>
      <c r="R30" s="54">
        <v>0</v>
      </c>
      <c r="S30" s="54"/>
      <c r="T30" s="54" t="s">
        <v>83</v>
      </c>
      <c r="U30" s="54"/>
      <c r="V30" s="54" t="s">
        <v>83</v>
      </c>
      <c r="W30" s="54"/>
      <c r="X30" s="54" t="s">
        <v>83</v>
      </c>
      <c r="Y30" s="54" t="s">
        <v>83</v>
      </c>
      <c r="Z30" s="54"/>
      <c r="AA30" s="49"/>
      <c r="AB30" s="50">
        <f>SUM(F30:N30)</f>
        <v>711470.72340000002</v>
      </c>
      <c r="AC30" s="51"/>
      <c r="AD30" s="22"/>
    </row>
    <row r="31" spans="1:33" s="23" customFormat="1" x14ac:dyDescent="0.3">
      <c r="A31" s="47"/>
      <c r="B31" s="44" t="s">
        <v>92</v>
      </c>
      <c r="C31" s="49"/>
      <c r="D31" s="56"/>
      <c r="E31" s="56"/>
      <c r="F31" s="56">
        <f>F29*F32</f>
        <v>609090.0368</v>
      </c>
      <c r="G31" s="56"/>
      <c r="H31" s="56">
        <f>H29</f>
        <v>39664</v>
      </c>
      <c r="I31" s="56"/>
      <c r="J31" s="56">
        <f>J29</f>
        <v>21635</v>
      </c>
      <c r="K31" s="56"/>
      <c r="L31" s="56">
        <f>L29</f>
        <v>18029</v>
      </c>
      <c r="M31" s="56"/>
      <c r="N31" s="56">
        <f>N29</f>
        <v>18031</v>
      </c>
      <c r="O31" s="56"/>
      <c r="P31" s="56">
        <f>P29*P32</f>
        <v>10401.529919999999</v>
      </c>
      <c r="Q31" s="56"/>
      <c r="R31" s="56">
        <v>0</v>
      </c>
      <c r="S31" s="56"/>
      <c r="T31" s="56" t="s">
        <v>83</v>
      </c>
      <c r="U31" s="56"/>
      <c r="V31" s="56" t="s">
        <v>83</v>
      </c>
      <c r="W31" s="56"/>
      <c r="X31" s="56" t="s">
        <v>83</v>
      </c>
      <c r="Y31" s="56" t="s">
        <v>83</v>
      </c>
      <c r="Z31" s="56"/>
      <c r="AA31" s="49"/>
      <c r="AB31" s="55">
        <f>SUM(F31:N31)</f>
        <v>706449.0368</v>
      </c>
      <c r="AC31" s="51"/>
      <c r="AD31" s="22"/>
      <c r="AE31" s="231"/>
    </row>
    <row r="32" spans="1:33" s="64" customFormat="1" x14ac:dyDescent="0.3">
      <c r="A32" s="57"/>
      <c r="B32" s="163" t="s">
        <v>88</v>
      </c>
      <c r="C32" s="60"/>
      <c r="D32" s="59"/>
      <c r="E32" s="59"/>
      <c r="F32" s="59">
        <v>0.97640000000000005</v>
      </c>
      <c r="G32" s="59"/>
      <c r="H32" s="59">
        <v>1</v>
      </c>
      <c r="I32" s="59"/>
      <c r="J32" s="59">
        <v>1</v>
      </c>
      <c r="K32" s="59"/>
      <c r="L32" s="59">
        <v>1</v>
      </c>
      <c r="M32" s="59"/>
      <c r="N32" s="59">
        <v>1</v>
      </c>
      <c r="O32" s="59"/>
      <c r="P32" s="59">
        <v>0.93303999999999998</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0.98445000000000005</v>
      </c>
      <c r="G33" s="59"/>
      <c r="H33" s="59">
        <v>1</v>
      </c>
      <c r="I33" s="59"/>
      <c r="J33" s="59">
        <v>1</v>
      </c>
      <c r="K33" s="59"/>
      <c r="L33" s="59">
        <v>1</v>
      </c>
      <c r="M33" s="59"/>
      <c r="N33" s="59">
        <v>1</v>
      </c>
      <c r="O33" s="59"/>
      <c r="P33" s="59">
        <v>0.93574000000000002</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1.00032E-2</v>
      </c>
      <c r="G35" s="236"/>
      <c r="H35" s="236">
        <v>1.40032E-2</v>
      </c>
      <c r="I35" s="236"/>
      <c r="J35" s="236">
        <v>1.70032E-2</v>
      </c>
      <c r="K35" s="236"/>
      <c r="L35" s="236">
        <v>2.0003199999999999E-2</v>
      </c>
      <c r="M35" s="236"/>
      <c r="N35" s="236">
        <v>3.0003200000000001E-2</v>
      </c>
      <c r="O35" s="236"/>
      <c r="P35" s="236">
        <v>4.0503200000000003E-2</v>
      </c>
      <c r="Q35" s="236"/>
      <c r="R35" s="236">
        <v>4.0503200000000003E-2</v>
      </c>
      <c r="S35" s="67"/>
      <c r="T35" s="67" t="s">
        <v>83</v>
      </c>
      <c r="U35" s="67"/>
      <c r="V35" s="67" t="s">
        <v>83</v>
      </c>
      <c r="W35" s="67"/>
      <c r="X35" s="67" t="s">
        <v>83</v>
      </c>
      <c r="Y35" s="67" t="s">
        <v>83</v>
      </c>
      <c r="Z35" s="67"/>
      <c r="AA35" s="40"/>
      <c r="AB35" s="66">
        <f>SUMPRODUCT(D35:N35,D30:N30)/AB30</f>
        <v>1.1199329330428609E-2</v>
      </c>
      <c r="AC35" s="43"/>
      <c r="AD35" s="22"/>
    </row>
    <row r="36" spans="1:30" s="23" customFormat="1" x14ac:dyDescent="0.3">
      <c r="A36" s="47"/>
      <c r="B36" s="40" t="s">
        <v>10</v>
      </c>
      <c r="C36" s="68"/>
      <c r="D36" s="236"/>
      <c r="E36" s="236"/>
      <c r="F36" s="236">
        <v>9.9895000000000001E-3</v>
      </c>
      <c r="G36" s="236"/>
      <c r="H36" s="236">
        <v>1.39895E-2</v>
      </c>
      <c r="I36" s="236"/>
      <c r="J36" s="236">
        <v>1.6989500000000001E-2</v>
      </c>
      <c r="K36" s="236"/>
      <c r="L36" s="236">
        <v>1.99895E-2</v>
      </c>
      <c r="M36" s="236"/>
      <c r="N36" s="236">
        <v>2.9989499999999999E-2</v>
      </c>
      <c r="O36" s="236"/>
      <c r="P36" s="236">
        <v>4.0489499999999998E-2</v>
      </c>
      <c r="Q36" s="236"/>
      <c r="R36" s="236">
        <v>4.0489499999999998E-2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0.15984336324314014</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44454</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44270</v>
      </c>
      <c r="AA47" s="76"/>
      <c r="AB47" s="75">
        <v>44361</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44362</v>
      </c>
      <c r="AA48" s="76"/>
      <c r="AB48" s="75">
        <v>44453</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44453</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345</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710761</v>
      </c>
      <c r="S57" s="234"/>
      <c r="T57" s="233">
        <f>382+19</f>
        <v>401</v>
      </c>
      <c r="U57" s="234"/>
      <c r="V57" s="234">
        <v>4620</v>
      </c>
      <c r="W57" s="234"/>
      <c r="X57" s="234">
        <v>55</v>
      </c>
      <c r="Y57" s="234"/>
      <c r="Z57" s="234">
        <v>0</v>
      </c>
      <c r="AA57" s="234"/>
      <c r="AB57" s="233">
        <f>R57-T57-V57+X57-Z57</f>
        <v>705795</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710761</v>
      </c>
      <c r="S60" s="234"/>
      <c r="T60" s="234">
        <f>T57+T58</f>
        <v>401</v>
      </c>
      <c r="U60" s="234"/>
      <c r="V60" s="234">
        <f>SUM(V57:V59)</f>
        <v>4620</v>
      </c>
      <c r="W60" s="234"/>
      <c r="X60" s="234">
        <f>SUM(X57:X59)</f>
        <v>55</v>
      </c>
      <c r="Y60" s="234"/>
      <c r="Z60" s="234">
        <f>SUM(Z57:Z59)</f>
        <v>0</v>
      </c>
      <c r="AA60" s="234"/>
      <c r="AB60" s="234">
        <f>SUM(AB57:AB59)</f>
        <v>705795</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3</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706</v>
      </c>
      <c r="S64" s="234"/>
      <c r="T64" s="234"/>
      <c r="U64" s="234"/>
      <c r="V64" s="234"/>
      <c r="W64" s="234"/>
      <c r="X64" s="234">
        <f>-X57</f>
        <v>-55</v>
      </c>
      <c r="Y64" s="234"/>
      <c r="Z64" s="234"/>
      <c r="AA64" s="234"/>
      <c r="AB64" s="234">
        <f>+R64+X64</f>
        <v>651</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711471</v>
      </c>
      <c r="S66" s="234"/>
      <c r="T66" s="234"/>
      <c r="U66" s="234"/>
      <c r="V66" s="234"/>
      <c r="W66" s="234"/>
      <c r="X66" s="234"/>
      <c r="Y66" s="234"/>
      <c r="Z66" s="234"/>
      <c r="AA66" s="234"/>
      <c r="AB66" s="234">
        <f>SUM(AB60:AB65)</f>
        <v>706449</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44439</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55</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-55</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5020</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6329+171-392-20</f>
        <v>6088</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193</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30</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5024</v>
      </c>
      <c r="AA83" s="40"/>
      <c r="AB83" s="96">
        <f>SUM(AB70:AB82)</f>
        <v>6311</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5024</v>
      </c>
      <c r="AA86" s="40"/>
      <c r="AB86" s="96">
        <f>AB83+AB84+AB85</f>
        <v>6311</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-358-1-9</f>
        <v>-368</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80</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-1547</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-140</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-93</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-91</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-136</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-106</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-30</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-12-62</f>
        <v>-74</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-3776</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-5022</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-5022</v>
      </c>
      <c r="AA128" s="96"/>
      <c r="AB128" s="96">
        <f>SUM(AB87:AB126)</f>
        <v>-6311</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3</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AUGUST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21'!AB144</f>
        <v>9837.14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-30</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9807.14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21'!AB157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21'!AB163</f>
        <v>706</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-55</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651</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21'!AB212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21'!Y219</f>
        <v>0</v>
      </c>
      <c r="Z217" s="97">
        <f>+'May 21'!Z219</f>
        <v>345</v>
      </c>
      <c r="AA217" s="40"/>
      <c r="AB217" s="97">
        <f>Y217+Z217</f>
        <v>345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55</v>
      </c>
      <c r="AA218" s="40"/>
      <c r="AB218" s="97">
        <f>Y218+Z218</f>
        <v>55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400</v>
      </c>
      <c r="AA219" s="40"/>
      <c r="AB219" s="97">
        <f>Y219+Z219</f>
        <v>400</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116953.76000000001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715000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705795</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9205</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3.8920491273432449</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3.68</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31.957142857142856</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29.81</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46.602150537634408</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43.44</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46.604395604395606</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43.28</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30.514705882352942</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28.34</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AUGUST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44439</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1.1199329330428609E-2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2.3270670669571392E-2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8.9827976122709152E-3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20.54</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7.0572096403086005E-3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2.4299999999999999E-2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21'!Z273</f>
        <v>2</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3742</v>
      </c>
      <c r="Y286" s="189">
        <f>X286/$X$295</f>
        <v>1</v>
      </c>
      <c r="Z286" s="106">
        <f t="shared" ref="Z286:Z293" si="1">+Z298+Z310+Z332</f>
        <v>705795</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3742</v>
      </c>
      <c r="Y295" s="195">
        <f>SUM(Y286:Y294)</f>
        <v>1</v>
      </c>
      <c r="Z295" s="97">
        <f>SUM(Z286:Z294)</f>
        <v>705795</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3742</v>
      </c>
      <c r="Y298" s="189">
        <f>X298/$X$307</f>
        <v>1</v>
      </c>
      <c r="Z298" s="106">
        <v>705795</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3742</v>
      </c>
      <c r="Y307" s="195">
        <f>SUM(Y298:Y306)</f>
        <v>1</v>
      </c>
      <c r="Z307" s="97">
        <f>SUM(Z298:Z306)</f>
        <v>705795</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0</v>
      </c>
      <c r="Y344" s="260">
        <v>0</v>
      </c>
      <c r="Z344" s="212">
        <v>0</v>
      </c>
      <c r="AA344" s="260">
        <v>0</v>
      </c>
      <c r="AB344" s="276"/>
      <c r="AC344" s="278"/>
      <c r="AD344" s="22"/>
    </row>
    <row r="345" spans="1:30" s="23" customFormat="1" x14ac:dyDescent="0.3">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v>0</v>
      </c>
      <c r="Z345" s="97">
        <v>0</v>
      </c>
      <c r="AA345" s="263">
        <v>0</v>
      </c>
      <c r="AB345" s="40"/>
      <c r="AC345" s="43"/>
      <c r="AD345" s="22"/>
    </row>
    <row r="346" spans="1:30" s="23" customFormat="1" x14ac:dyDescent="0.3">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v>0</v>
      </c>
      <c r="Z346" s="97">
        <v>0</v>
      </c>
      <c r="AA346" s="263">
        <v>0</v>
      </c>
      <c r="AB346" s="40"/>
      <c r="AC346" s="43"/>
      <c r="AD346" s="22"/>
    </row>
    <row r="347" spans="1:30" s="23" customFormat="1" x14ac:dyDescent="0.3">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v>0</v>
      </c>
      <c r="Z347" s="97">
        <v>0</v>
      </c>
      <c r="AA347" s="263">
        <v>0</v>
      </c>
      <c r="AB347" s="40"/>
      <c r="AC347" s="43"/>
      <c r="AD347" s="22"/>
    </row>
    <row r="348" spans="1:30" s="23" customFormat="1" x14ac:dyDescent="0.3">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v>0</v>
      </c>
      <c r="Z348" s="97">
        <v>0</v>
      </c>
      <c r="AA348" s="263">
        <v>0</v>
      </c>
      <c r="AB348" s="40"/>
      <c r="AC348" s="43"/>
      <c r="AD348" s="22"/>
    </row>
    <row r="349" spans="1:30" s="23" customFormat="1" x14ac:dyDescent="0.3">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v>0</v>
      </c>
      <c r="Z349" s="97">
        <v>0</v>
      </c>
      <c r="AA349" s="263">
        <v>0</v>
      </c>
      <c r="AB349" s="40"/>
      <c r="AC349" s="43"/>
      <c r="AD349" s="22"/>
    </row>
    <row r="350" spans="1:30" s="23" customFormat="1" x14ac:dyDescent="0.3">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v>0</v>
      </c>
      <c r="Z350" s="97">
        <v>0</v>
      </c>
      <c r="AA350" s="263">
        <v>0</v>
      </c>
      <c r="AB350" s="40"/>
      <c r="AC350" s="43"/>
      <c r="AD350" s="22"/>
    </row>
    <row r="351" spans="1:30" s="23" customFormat="1" x14ac:dyDescent="0.3">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v>0</v>
      </c>
      <c r="Z351" s="97">
        <v>0</v>
      </c>
      <c r="AA351" s="263">
        <v>0</v>
      </c>
      <c r="AB351" s="40"/>
      <c r="AC351" s="43"/>
      <c r="AD351" s="22"/>
    </row>
    <row r="352" spans="1:30" s="23" customFormat="1" x14ac:dyDescent="0.3">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0</v>
      </c>
      <c r="Y353" s="263">
        <f>SUM(Y344:Y351)</f>
        <v>0</v>
      </c>
      <c r="Z353" s="97">
        <f>SUM(Z344:Z351)</f>
        <v>0</v>
      </c>
      <c r="AA353" s="263">
        <f>SUM(AA344:AA351)</f>
        <v>0</v>
      </c>
      <c r="AB353" s="40"/>
      <c r="AC353" s="43"/>
      <c r="AD353" s="22"/>
    </row>
    <row r="354" spans="1:30" s="23" customFormat="1" ht="16.2" thickBot="1" x14ac:dyDescent="0.35">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0</v>
      </c>
      <c r="Z354" s="281"/>
      <c r="AA354" s="280">
        <f>+Z353/Z358</f>
        <v>0</v>
      </c>
      <c r="AB354" s="282"/>
      <c r="AC354" s="43"/>
      <c r="AD354" s="22"/>
    </row>
    <row r="355" spans="1:30" s="23" customFormat="1" ht="16.2" thickTop="1" x14ac:dyDescent="0.3">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0</v>
      </c>
      <c r="Y355" s="286">
        <v>0</v>
      </c>
      <c r="Z355" s="287">
        <v>0</v>
      </c>
      <c r="AA355" s="286">
        <v>0</v>
      </c>
      <c r="AB355" s="288">
        <v>0</v>
      </c>
      <c r="AC355" s="43"/>
      <c r="AD355" s="22"/>
    </row>
    <row r="356" spans="1:30" s="23" customFormat="1" ht="16.2" thickBot="1" x14ac:dyDescent="0.35">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0</v>
      </c>
      <c r="Y356" s="290">
        <v>0</v>
      </c>
      <c r="Z356" s="291">
        <v>0</v>
      </c>
      <c r="AA356" s="290">
        <v>0</v>
      </c>
      <c r="AB356" s="292">
        <v>0</v>
      </c>
      <c r="AC356" s="43"/>
      <c r="AD356" s="22"/>
    </row>
    <row r="357" spans="1:30" s="23" customFormat="1" ht="16.2" thickTop="1" x14ac:dyDescent="0.3">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3742</v>
      </c>
      <c r="Y358" s="195"/>
      <c r="Z358" s="208">
        <f>+Z341+Z319+Z307</f>
        <v>705795</v>
      </c>
      <c r="AA358" s="195"/>
      <c r="AB358" s="40"/>
      <c r="AC358" s="43"/>
      <c r="AD358" s="22"/>
    </row>
    <row r="359" spans="1:30" s="23" customFormat="1" x14ac:dyDescent="0.3">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654</v>
      </c>
      <c r="AA359" s="195"/>
      <c r="AB359" s="40"/>
      <c r="AC359" s="43"/>
      <c r="AD359" s="22"/>
    </row>
    <row r="360" spans="1:30" s="23" customFormat="1" x14ac:dyDescent="0.3">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706449</v>
      </c>
      <c r="AA360" s="195"/>
      <c r="AB360" s="40"/>
      <c r="AC360" s="43"/>
      <c r="AD360" s="22"/>
    </row>
    <row r="361" spans="1:30" s="23" customFormat="1" x14ac:dyDescent="0.3">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706449</v>
      </c>
      <c r="AA361" s="195"/>
      <c r="AB361" s="40"/>
      <c r="AC361" s="43"/>
      <c r="AD361" s="22"/>
    </row>
    <row r="362" spans="1:30" s="23" customFormat="1" x14ac:dyDescent="0.3">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 x14ac:dyDescent="0.3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 x14ac:dyDescent="0.3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8.600000000000001" thickBot="1" x14ac:dyDescent="0.4">
      <c r="A374" s="215"/>
      <c r="B374" s="219" t="str">
        <f>B243</f>
        <v>PM28 INVESTOR REPORT QUARTER ENDING AUGUST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
      <c r="B377" s="273" t="s">
        <v>277</v>
      </c>
    </row>
    <row r="378" spans="1:30" x14ac:dyDescent="0.3">
      <c r="B378" s="265" t="s">
        <v>278</v>
      </c>
    </row>
    <row r="379" spans="1:30" x14ac:dyDescent="0.3">
      <c r="B379" s="265" t="s">
        <v>279</v>
      </c>
    </row>
    <row r="380" spans="1:30" x14ac:dyDescent="0.3">
      <c r="B380" s="265" t="s">
        <v>280</v>
      </c>
    </row>
    <row r="381" spans="1:30" x14ac:dyDescent="0.3">
      <c r="B381" s="265" t="s">
        <v>281</v>
      </c>
    </row>
    <row r="382" spans="1:30" x14ac:dyDescent="0.3">
      <c r="B382" s="265" t="s">
        <v>282</v>
      </c>
    </row>
    <row r="383" spans="1:30" x14ac:dyDescent="0.3">
      <c r="B383" s="265" t="s">
        <v>283</v>
      </c>
    </row>
    <row r="384" spans="1:30" x14ac:dyDescent="0.3">
      <c r="B384" s="265" t="s">
        <v>284</v>
      </c>
    </row>
    <row r="385" spans="2:19" x14ac:dyDescent="0.3">
      <c r="B385" s="265"/>
    </row>
    <row r="386" spans="2:19" x14ac:dyDescent="0.3">
      <c r="B386" s="273" t="s">
        <v>300</v>
      </c>
    </row>
    <row r="387" spans="2:19" x14ac:dyDescent="0.3">
      <c r="B387" s="265" t="s">
        <v>339</v>
      </c>
    </row>
    <row r="388" spans="2:19" x14ac:dyDescent="0.3">
      <c r="B388" s="265" t="s">
        <v>347</v>
      </c>
    </row>
    <row r="389" spans="2:19" x14ac:dyDescent="0.3">
      <c r="B389" s="265"/>
    </row>
    <row r="390" spans="2:19" x14ac:dyDescent="0.3">
      <c r="B390" s="265" t="s">
        <v>346</v>
      </c>
    </row>
    <row r="391" spans="2:19" x14ac:dyDescent="0.3">
      <c r="B391" s="265"/>
    </row>
    <row r="392" spans="2:19" x14ac:dyDescent="0.3">
      <c r="B392" s="273" t="s">
        <v>285</v>
      </c>
    </row>
    <row r="393" spans="2:19" x14ac:dyDescent="0.3">
      <c r="B393" s="265" t="s">
        <v>286</v>
      </c>
    </row>
    <row r="394" spans="2:19" x14ac:dyDescent="0.3">
      <c r="B394" s="265" t="s">
        <v>330</v>
      </c>
      <c r="C394" s="266"/>
      <c r="D394" s="266"/>
      <c r="E394" s="266"/>
      <c r="F394" s="266"/>
      <c r="G394" s="266"/>
      <c r="H394" s="266"/>
      <c r="I394" s="266"/>
      <c r="J394" s="266"/>
      <c r="K394" s="266"/>
      <c r="L394" s="266"/>
      <c r="M394" s="266"/>
      <c r="N394" s="266"/>
      <c r="O394" s="266"/>
      <c r="P394" s="266"/>
      <c r="Q394" s="266"/>
      <c r="R394" s="266"/>
      <c r="S394" s="266"/>
    </row>
    <row r="395" spans="2:19" x14ac:dyDescent="0.3">
      <c r="B395" s="6" t="s">
        <v>331</v>
      </c>
      <c r="C395" s="266"/>
      <c r="D395" s="266"/>
      <c r="E395" s="266"/>
      <c r="F395" s="266"/>
      <c r="G395" s="266"/>
      <c r="H395" s="266"/>
      <c r="I395" s="266"/>
      <c r="J395" s="266"/>
      <c r="K395" s="266"/>
      <c r="L395" s="266"/>
      <c r="M395" s="266"/>
      <c r="N395" s="266"/>
      <c r="O395" s="266"/>
      <c r="P395" s="266"/>
      <c r="Q395" s="266"/>
      <c r="R395" s="266"/>
      <c r="S395" s="266"/>
    </row>
    <row r="397" spans="2:19" x14ac:dyDescent="0.3">
      <c r="B397" s="273" t="s">
        <v>349</v>
      </c>
    </row>
    <row r="398" spans="2:19" x14ac:dyDescent="0.3">
      <c r="B398" s="265" t="s">
        <v>352</v>
      </c>
    </row>
    <row r="399" spans="2:19" x14ac:dyDescent="0.3">
      <c r="B399" s="305" t="s">
        <v>348</v>
      </c>
    </row>
  </sheetData>
  <hyperlinks>
    <hyperlink ref="K9" r:id="rId1" display="http://www.paragon-group.co.uk" xr:uid="{C6CE827F-A257-4E5E-BB08-B2BFBAC5FC85}"/>
    <hyperlink ref="P372" r:id="rId2" xr:uid="{BAE237FB-733B-4176-81E4-B0A4EB82A061}"/>
    <hyperlink ref="P283" r:id="rId3" xr:uid="{44885512-CD83-4179-8400-1EAC83925AE6}"/>
    <hyperlink ref="B399" r:id="rId4" display="https://investorreporting.paragonbankinggroup.co.uk/bondinvestor_viewer/resources/bondinvestor/pdf/investornews/2021/libor-mortgages-transition-july-19" xr:uid="{FB73A473-E2C4-4EF8-9185-AD4277AA5D6F}"/>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99FA-DE79-4A16-BE4D-D8FC46467D21}">
  <sheetPr>
    <tabColor rgb="FF89CB31"/>
  </sheetPr>
  <dimension ref="A1:JB366"/>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2.3300000000000001E-2</v>
      </c>
      <c r="Z17" s="299" t="s">
        <v>259</v>
      </c>
      <c r="AA17" s="299">
        <v>0.97670000000000001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44552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609090.0368</v>
      </c>
      <c r="G30" s="54"/>
      <c r="H30" s="54">
        <f>H29</f>
        <v>39664</v>
      </c>
      <c r="I30" s="54"/>
      <c r="J30" s="54">
        <f>J29</f>
        <v>21635</v>
      </c>
      <c r="K30" s="54"/>
      <c r="L30" s="54">
        <f>L29</f>
        <v>18029</v>
      </c>
      <c r="M30" s="54"/>
      <c r="N30" s="54">
        <f>N29</f>
        <v>18031</v>
      </c>
      <c r="O30" s="54"/>
      <c r="P30" s="54">
        <f>P29*P33</f>
        <v>10401.529919999999</v>
      </c>
      <c r="Q30" s="54"/>
      <c r="R30" s="54">
        <v>0</v>
      </c>
      <c r="S30" s="54"/>
      <c r="T30" s="54" t="s">
        <v>83</v>
      </c>
      <c r="U30" s="54"/>
      <c r="V30" s="54" t="s">
        <v>83</v>
      </c>
      <c r="W30" s="54"/>
      <c r="X30" s="54" t="s">
        <v>83</v>
      </c>
      <c r="Y30" s="54" t="s">
        <v>83</v>
      </c>
      <c r="Z30" s="54"/>
      <c r="AA30" s="49"/>
      <c r="AB30" s="50">
        <f>SUM(F30:N30)</f>
        <v>706449.0368</v>
      </c>
      <c r="AC30" s="51"/>
      <c r="AD30" s="22"/>
    </row>
    <row r="31" spans="1:33" s="23" customFormat="1" x14ac:dyDescent="0.3">
      <c r="A31" s="47"/>
      <c r="B31" s="44" t="s">
        <v>92</v>
      </c>
      <c r="C31" s="49"/>
      <c r="D31" s="56"/>
      <c r="E31" s="56"/>
      <c r="F31" s="56">
        <f>F29*F32</f>
        <v>605596.68960000004</v>
      </c>
      <c r="G31" s="56"/>
      <c r="H31" s="56">
        <f>H29</f>
        <v>39664</v>
      </c>
      <c r="I31" s="56"/>
      <c r="J31" s="56">
        <f>J29</f>
        <v>21635</v>
      </c>
      <c r="K31" s="56"/>
      <c r="L31" s="56">
        <f>L29</f>
        <v>18029</v>
      </c>
      <c r="M31" s="56"/>
      <c r="N31" s="56">
        <f>N29</f>
        <v>18031</v>
      </c>
      <c r="O31" s="56"/>
      <c r="P31" s="56">
        <f>P29*P32</f>
        <v>10326.280919999999</v>
      </c>
      <c r="Q31" s="56"/>
      <c r="R31" s="56">
        <v>0</v>
      </c>
      <c r="S31" s="56"/>
      <c r="T31" s="56" t="s">
        <v>83</v>
      </c>
      <c r="U31" s="56"/>
      <c r="V31" s="56" t="s">
        <v>83</v>
      </c>
      <c r="W31" s="56"/>
      <c r="X31" s="56" t="s">
        <v>83</v>
      </c>
      <c r="Y31" s="56" t="s">
        <v>83</v>
      </c>
      <c r="Z31" s="56"/>
      <c r="AA31" s="49"/>
      <c r="AB31" s="55">
        <f>SUM(F31:N31)</f>
        <v>702955.68960000004</v>
      </c>
      <c r="AC31" s="51"/>
      <c r="AD31" s="22"/>
      <c r="AE31" s="231"/>
    </row>
    <row r="32" spans="1:33" s="64" customFormat="1" x14ac:dyDescent="0.3">
      <c r="A32" s="57"/>
      <c r="B32" s="163" t="s">
        <v>88</v>
      </c>
      <c r="C32" s="60"/>
      <c r="D32" s="59"/>
      <c r="E32" s="59"/>
      <c r="F32" s="59">
        <v>0.9708</v>
      </c>
      <c r="G32" s="59"/>
      <c r="H32" s="59">
        <v>1</v>
      </c>
      <c r="I32" s="59"/>
      <c r="J32" s="59">
        <v>1</v>
      </c>
      <c r="K32" s="59"/>
      <c r="L32" s="59">
        <v>1</v>
      </c>
      <c r="M32" s="59"/>
      <c r="N32" s="59">
        <v>1</v>
      </c>
      <c r="O32" s="59"/>
      <c r="P32" s="59">
        <v>0.92628999999999995</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0.97640000000000005</v>
      </c>
      <c r="G33" s="59"/>
      <c r="H33" s="59">
        <v>1</v>
      </c>
      <c r="I33" s="59"/>
      <c r="J33" s="59">
        <v>1</v>
      </c>
      <c r="K33" s="59"/>
      <c r="L33" s="59">
        <v>1</v>
      </c>
      <c r="M33" s="59"/>
      <c r="N33" s="59">
        <v>1</v>
      </c>
      <c r="O33" s="59"/>
      <c r="P33" s="59">
        <v>0.93303999999999998</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9.9868000000000005E-3</v>
      </c>
      <c r="G35" s="236"/>
      <c r="H35" s="236">
        <v>1.3986800000000001E-2</v>
      </c>
      <c r="I35" s="236"/>
      <c r="J35" s="236">
        <v>1.69868E-2</v>
      </c>
      <c r="K35" s="236"/>
      <c r="L35" s="236">
        <v>1.9986799999999999E-2</v>
      </c>
      <c r="M35" s="236"/>
      <c r="N35" s="236">
        <v>2.9986800000000001E-2</v>
      </c>
      <c r="O35" s="236"/>
      <c r="P35" s="236">
        <v>4.0486800000000003E-2</v>
      </c>
      <c r="Q35" s="236"/>
      <c r="R35" s="236">
        <v>4.0486800000000003E-2</v>
      </c>
      <c r="S35" s="67"/>
      <c r="T35" s="67" t="s">
        <v>83</v>
      </c>
      <c r="U35" s="67"/>
      <c r="V35" s="67" t="s">
        <v>83</v>
      </c>
      <c r="W35" s="67"/>
      <c r="X35" s="67" t="s">
        <v>83</v>
      </c>
      <c r="Y35" s="67" t="s">
        <v>83</v>
      </c>
      <c r="Z35" s="67"/>
      <c r="AA35" s="40"/>
      <c r="AB35" s="66">
        <f>SUMPRODUCT(D35:N35,D30:N30)/AB30</f>
        <v>1.1191431835659118E-2</v>
      </c>
      <c r="AC35" s="43"/>
      <c r="AD35" s="22"/>
    </row>
    <row r="36" spans="1:30" s="23" customFormat="1" x14ac:dyDescent="0.3">
      <c r="A36" s="47"/>
      <c r="B36" s="40" t="s">
        <v>10</v>
      </c>
      <c r="C36" s="68"/>
      <c r="D36" s="236"/>
      <c r="E36" s="236"/>
      <c r="F36" s="236">
        <v>1.00032E-2</v>
      </c>
      <c r="G36" s="236"/>
      <c r="H36" s="236">
        <v>1.40032E-2</v>
      </c>
      <c r="I36" s="236"/>
      <c r="J36" s="236">
        <v>1.70032E-2</v>
      </c>
      <c r="K36" s="236"/>
      <c r="L36" s="236">
        <v>2.0003199999999999E-2</v>
      </c>
      <c r="M36" s="236"/>
      <c r="N36" s="236">
        <v>3.0003200000000001E-2</v>
      </c>
      <c r="O36" s="236"/>
      <c r="P36" s="236">
        <v>4.0503200000000003E-2</v>
      </c>
      <c r="Q36" s="236"/>
      <c r="R36" s="236">
        <v>4.0503200000000003E-2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0.16076540983786777</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44545</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44362</v>
      </c>
      <c r="AA47" s="76"/>
      <c r="AB47" s="75">
        <v>44453</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44454</v>
      </c>
      <c r="AA48" s="76"/>
      <c r="AB48" s="75">
        <v>44544</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44544</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359</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705795</v>
      </c>
      <c r="S57" s="234"/>
      <c r="T57" s="233">
        <f>380+19</f>
        <v>399</v>
      </c>
      <c r="U57" s="234"/>
      <c r="V57" s="234">
        <v>3095</v>
      </c>
      <c r="W57" s="234"/>
      <c r="X57" s="234">
        <v>39</v>
      </c>
      <c r="Y57" s="234"/>
      <c r="Z57" s="234">
        <v>0</v>
      </c>
      <c r="AA57" s="234"/>
      <c r="AB57" s="233">
        <f>R57-T57-V57+X57-Z57</f>
        <v>702340</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705795</v>
      </c>
      <c r="S60" s="234"/>
      <c r="T60" s="234">
        <f>T57+T58</f>
        <v>399</v>
      </c>
      <c r="U60" s="234"/>
      <c r="V60" s="234">
        <f>SUM(V57:V59)</f>
        <v>3095</v>
      </c>
      <c r="W60" s="234"/>
      <c r="X60" s="234">
        <f>SUM(X57:X59)</f>
        <v>39</v>
      </c>
      <c r="Y60" s="234"/>
      <c r="Z60" s="234">
        <f>SUM(Z57:Z59)</f>
        <v>0</v>
      </c>
      <c r="AA60" s="234"/>
      <c r="AB60" s="234">
        <f>SUM(AB57:AB59)</f>
        <v>702340</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3</v>
      </c>
      <c r="S63" s="234"/>
      <c r="T63" s="234">
        <v>0</v>
      </c>
      <c r="U63" s="234"/>
      <c r="V63" s="234">
        <v>1</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651</v>
      </c>
      <c r="S64" s="234"/>
      <c r="T64" s="234"/>
      <c r="U64" s="234"/>
      <c r="V64" s="234"/>
      <c r="W64" s="234"/>
      <c r="X64" s="234">
        <f>-X57</f>
        <v>-39</v>
      </c>
      <c r="Y64" s="234"/>
      <c r="Z64" s="234"/>
      <c r="AA64" s="234"/>
      <c r="AB64" s="234">
        <f>+R64+X64</f>
        <v>612</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706449</v>
      </c>
      <c r="S66" s="234"/>
      <c r="T66" s="234"/>
      <c r="U66" s="234"/>
      <c r="V66" s="234"/>
      <c r="W66" s="234"/>
      <c r="X66" s="234"/>
      <c r="Y66" s="234"/>
      <c r="Z66" s="234"/>
      <c r="AA66" s="234"/>
      <c r="AB66" s="234">
        <f>SUM(AB60:AB65)</f>
        <v>702956</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44530</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3</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39</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-39</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3494</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6345+187-422-20</f>
        <v>6090</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132+4</f>
        <v>136</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75</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3497</v>
      </c>
      <c r="AA83" s="40"/>
      <c r="AB83" s="96">
        <f>SUM(AB70:AB82)</f>
        <v>6304</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3497</v>
      </c>
      <c r="AA86" s="40"/>
      <c r="AB86" s="96">
        <f>AB83+AB84+AB85</f>
        <v>6304</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-352-2-9</f>
        <v>-363</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76</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-1516</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-138</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-92</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-90</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-700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-135</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-105</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-75</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-11-62</f>
        <v>-73</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-3064</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-3493</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-3493</v>
      </c>
      <c r="AA128" s="96"/>
      <c r="AB128" s="96">
        <f>SUM(AB87:AB126)</f>
        <v>-6304</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NOVEMBER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21'!AB144</f>
        <v>9807.14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-75</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9732.14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21'!AB157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21'!AB163</f>
        <v>651</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-39</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612</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3</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3</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700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997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21'!AB212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21'!Y219</f>
        <v>0</v>
      </c>
      <c r="Z217" s="97">
        <f>+'August 21'!Z219</f>
        <v>400</v>
      </c>
      <c r="AA217" s="40"/>
      <c r="AB217" s="97">
        <f>Y217+Z217</f>
        <v>400</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39</v>
      </c>
      <c r="AA218" s="40"/>
      <c r="AB218" s="97">
        <f>Y218+Z218</f>
        <v>39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439</v>
      </c>
      <c r="AA219" s="40"/>
      <c r="AB219" s="97">
        <f>Y219+Z219</f>
        <v>439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116914.76000000001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711000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702340</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8660</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3.9676781002638521</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3.74</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32.60144927536232</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30.44</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47.402173913043477</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44.34</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47.43333333333333</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44.22</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30.955555555555556</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28.94</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NOVEMBER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44530</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3.4480542506087369E-2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1.1191431835659118E-2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2.3289110670428249E-2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9.031083630948589E-3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20.29750860134936</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4.9458630417765475E-3</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2.3199999999999998E-2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21'!Z273</f>
        <v>2</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3722</v>
      </c>
      <c r="Y286" s="189">
        <f>X286/$X$295</f>
        <v>1</v>
      </c>
      <c r="Z286" s="106">
        <f t="shared" ref="Z286:Z293" si="1">+Z298+Z310+Z332</f>
        <v>702340</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3722</v>
      </c>
      <c r="Y295" s="195">
        <f>SUM(Y286:Y294)</f>
        <v>1</v>
      </c>
      <c r="Z295" s="97">
        <f>SUM(Z286:Z294)</f>
        <v>702340</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3722</v>
      </c>
      <c r="Y298" s="189">
        <f>X298/$X$307</f>
        <v>1</v>
      </c>
      <c r="Z298" s="106">
        <v>702340</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3722</v>
      </c>
      <c r="Y307" s="195">
        <f>SUM(Y298:Y306)</f>
        <v>1</v>
      </c>
      <c r="Z307" s="97">
        <f>SUM(Z298:Z306)</f>
        <v>702340</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3722</v>
      </c>
      <c r="Y343" s="195"/>
      <c r="Z343" s="208">
        <f>+Z341+Z319+Z307</f>
        <v>702340</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616</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702956</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702956</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NOVEMBER 2021</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285</v>
      </c>
    </row>
    <row r="360" spans="1:30" x14ac:dyDescent="0.3">
      <c r="B360" s="265" t="s">
        <v>286</v>
      </c>
    </row>
    <row r="361" spans="1:30" x14ac:dyDescent="0.3">
      <c r="B361" s="265" t="s">
        <v>330</v>
      </c>
      <c r="C361" s="266"/>
      <c r="D361" s="266"/>
      <c r="E361" s="266"/>
      <c r="F361" s="266"/>
      <c r="G361" s="266"/>
      <c r="H361" s="266"/>
      <c r="I361" s="266"/>
      <c r="J361" s="266"/>
      <c r="K361" s="266"/>
      <c r="L361" s="266"/>
      <c r="M361" s="266"/>
      <c r="N361" s="266"/>
      <c r="O361" s="266"/>
      <c r="P361" s="266"/>
      <c r="Q361" s="266"/>
      <c r="R361" s="266"/>
      <c r="S361" s="266"/>
    </row>
    <row r="362" spans="1:30" x14ac:dyDescent="0.3">
      <c r="B362" s="6" t="s">
        <v>331</v>
      </c>
      <c r="C362" s="266"/>
      <c r="D362" s="266"/>
      <c r="E362" s="266"/>
      <c r="F362" s="266"/>
      <c r="G362" s="266"/>
      <c r="H362" s="266"/>
      <c r="I362" s="266"/>
      <c r="J362" s="266"/>
      <c r="K362" s="266"/>
      <c r="L362" s="266"/>
      <c r="M362" s="266"/>
      <c r="N362" s="266"/>
      <c r="O362" s="266"/>
      <c r="P362" s="266"/>
      <c r="Q362" s="266"/>
      <c r="R362" s="266"/>
      <c r="S362" s="266"/>
    </row>
    <row r="364" spans="1:30" x14ac:dyDescent="0.3">
      <c r="B364" s="273" t="s">
        <v>349</v>
      </c>
    </row>
    <row r="365" spans="1:30" x14ac:dyDescent="0.3">
      <c r="B365" s="265" t="s">
        <v>352</v>
      </c>
    </row>
    <row r="366" spans="1:30" x14ac:dyDescent="0.3">
      <c r="B366" s="305" t="s">
        <v>348</v>
      </c>
    </row>
  </sheetData>
  <hyperlinks>
    <hyperlink ref="K9" r:id="rId1" display="http://www.paragon-group.co.uk" xr:uid="{0A764648-E70E-4080-9930-01707A5CADCF}"/>
    <hyperlink ref="P355" r:id="rId2" xr:uid="{97C0F55A-EA96-4255-B80B-FC18BBC3F922}"/>
    <hyperlink ref="P283" r:id="rId3" xr:uid="{843137BA-054C-4C0D-AB20-44A137B0B36E}"/>
    <hyperlink ref="B366" r:id="rId4" display="https://investorreporting.paragonbankinggroup.co.uk/bondinvestor_viewer/resources/bondinvestor/pdf/investornews/2021/libor-mortgages-transition-july-19" xr:uid="{E9DEEEE1-3034-412F-88F3-E0CF6318F63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188D-5405-4D70-B360-AC6933A11009}">
  <sheetPr>
    <tabColor rgb="FF2D2926"/>
  </sheetPr>
  <dimension ref="A1:JB361"/>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2.35E-2</v>
      </c>
      <c r="Z17" s="299" t="s">
        <v>259</v>
      </c>
      <c r="AA17" s="299">
        <v>0.97650000000000003</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44638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605596.68960000004</v>
      </c>
      <c r="G30" s="54"/>
      <c r="H30" s="54">
        <f>H29</f>
        <v>39664</v>
      </c>
      <c r="I30" s="54"/>
      <c r="J30" s="54">
        <f>J29</f>
        <v>21635</v>
      </c>
      <c r="K30" s="54"/>
      <c r="L30" s="54">
        <f>L29</f>
        <v>18029</v>
      </c>
      <c r="M30" s="54"/>
      <c r="N30" s="54">
        <f>N29</f>
        <v>18031</v>
      </c>
      <c r="O30" s="54"/>
      <c r="P30" s="54">
        <f>P29*P33</f>
        <v>10326.280919999999</v>
      </c>
      <c r="Q30" s="54"/>
      <c r="R30" s="54">
        <v>0</v>
      </c>
      <c r="S30" s="54"/>
      <c r="T30" s="54" t="s">
        <v>83</v>
      </c>
      <c r="U30" s="54"/>
      <c r="V30" s="54" t="s">
        <v>83</v>
      </c>
      <c r="W30" s="54"/>
      <c r="X30" s="54" t="s">
        <v>83</v>
      </c>
      <c r="Y30" s="54" t="s">
        <v>83</v>
      </c>
      <c r="Z30" s="54"/>
      <c r="AA30" s="49"/>
      <c r="AB30" s="50">
        <f>SUM(F30:N30)</f>
        <v>702955.68960000004</v>
      </c>
      <c r="AC30" s="51"/>
      <c r="AD30" s="22"/>
    </row>
    <row r="31" spans="1:33" s="23" customFormat="1" x14ac:dyDescent="0.3">
      <c r="A31" s="47"/>
      <c r="B31" s="44" t="s">
        <v>92</v>
      </c>
      <c r="C31" s="49"/>
      <c r="D31" s="56"/>
      <c r="E31" s="56"/>
      <c r="F31" s="56">
        <f>F29*F32</f>
        <v>598298.08919999993</v>
      </c>
      <c r="G31" s="56"/>
      <c r="H31" s="56">
        <f>H29</f>
        <v>39664</v>
      </c>
      <c r="I31" s="56"/>
      <c r="J31" s="56">
        <f>J29</f>
        <v>21635</v>
      </c>
      <c r="K31" s="56"/>
      <c r="L31" s="56">
        <f>L29</f>
        <v>18029</v>
      </c>
      <c r="M31" s="56"/>
      <c r="N31" s="56">
        <f>N29</f>
        <v>18031</v>
      </c>
      <c r="O31" s="56"/>
      <c r="P31" s="56">
        <f>P29*P32</f>
        <v>10273.77384</v>
      </c>
      <c r="Q31" s="56"/>
      <c r="R31" s="56">
        <v>0</v>
      </c>
      <c r="S31" s="56"/>
      <c r="T31" s="56" t="s">
        <v>83</v>
      </c>
      <c r="U31" s="56"/>
      <c r="V31" s="56" t="s">
        <v>83</v>
      </c>
      <c r="W31" s="56"/>
      <c r="X31" s="56" t="s">
        <v>83</v>
      </c>
      <c r="Y31" s="56" t="s">
        <v>83</v>
      </c>
      <c r="Z31" s="56"/>
      <c r="AA31" s="49"/>
      <c r="AB31" s="55">
        <f>SUM(F31:N31)</f>
        <v>695657.08919999993</v>
      </c>
      <c r="AC31" s="51"/>
      <c r="AD31" s="22"/>
      <c r="AE31" s="231"/>
    </row>
    <row r="32" spans="1:33" s="64" customFormat="1" x14ac:dyDescent="0.3">
      <c r="A32" s="57"/>
      <c r="B32" s="163" t="s">
        <v>88</v>
      </c>
      <c r="C32" s="60"/>
      <c r="D32" s="59"/>
      <c r="E32" s="59"/>
      <c r="F32" s="59">
        <v>0.95909999999999995</v>
      </c>
      <c r="G32" s="59"/>
      <c r="H32" s="59">
        <v>1</v>
      </c>
      <c r="I32" s="59"/>
      <c r="J32" s="59">
        <v>1</v>
      </c>
      <c r="K32" s="59"/>
      <c r="L32" s="59">
        <v>1</v>
      </c>
      <c r="M32" s="59"/>
      <c r="N32" s="59">
        <v>1</v>
      </c>
      <c r="O32" s="59"/>
      <c r="P32" s="59">
        <v>0.92157999999999995</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0.9708</v>
      </c>
      <c r="G33" s="59"/>
      <c r="H33" s="59">
        <v>1</v>
      </c>
      <c r="I33" s="59"/>
      <c r="J33" s="59">
        <v>1</v>
      </c>
      <c r="K33" s="59"/>
      <c r="L33" s="59">
        <v>1</v>
      </c>
      <c r="M33" s="59"/>
      <c r="N33" s="59">
        <v>1</v>
      </c>
      <c r="O33" s="59"/>
      <c r="P33" s="59">
        <v>0.92628999999999995</v>
      </c>
      <c r="Q33" s="222"/>
      <c r="R33" s="222">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1.22288E-2</v>
      </c>
      <c r="G35" s="236"/>
      <c r="H35" s="236">
        <v>1.6228800000000002E-2</v>
      </c>
      <c r="I35" s="236"/>
      <c r="J35" s="236">
        <v>1.9228800000000001E-2</v>
      </c>
      <c r="K35" s="236"/>
      <c r="L35" s="236">
        <v>2.22288E-2</v>
      </c>
      <c r="M35" s="236"/>
      <c r="N35" s="236">
        <v>3.2228800000000002E-2</v>
      </c>
      <c r="O35" s="236"/>
      <c r="P35" s="236">
        <v>4.2728799999999997E-2</v>
      </c>
      <c r="Q35" s="236"/>
      <c r="R35" s="236">
        <v>4.2728799999999997E-2</v>
      </c>
      <c r="S35" s="67"/>
      <c r="T35" s="67" t="s">
        <v>83</v>
      </c>
      <c r="U35" s="67"/>
      <c r="V35" s="67" t="s">
        <v>83</v>
      </c>
      <c r="W35" s="67"/>
      <c r="X35" s="67" t="s">
        <v>83</v>
      </c>
      <c r="Y35" s="67" t="s">
        <v>83</v>
      </c>
      <c r="Z35" s="67"/>
      <c r="AA35" s="40"/>
      <c r="AB35" s="66">
        <f>SUMPRODUCT(D35:N35,D30:N30)/AB30</f>
        <v>1.3439418268818972E-2</v>
      </c>
      <c r="AC35" s="43"/>
      <c r="AD35" s="22"/>
    </row>
    <row r="36" spans="1:30" s="23" customFormat="1" x14ac:dyDescent="0.3">
      <c r="A36" s="47"/>
      <c r="B36" s="40" t="s">
        <v>10</v>
      </c>
      <c r="C36" s="68"/>
      <c r="D36" s="236"/>
      <c r="E36" s="236"/>
      <c r="F36" s="236">
        <v>9.9868000000000005E-3</v>
      </c>
      <c r="G36" s="236"/>
      <c r="H36" s="236">
        <v>1.3986800000000001E-2</v>
      </c>
      <c r="I36" s="236"/>
      <c r="J36" s="236">
        <v>1.69868E-2</v>
      </c>
      <c r="K36" s="236"/>
      <c r="L36" s="236">
        <v>1.9986799999999999E-2</v>
      </c>
      <c r="M36" s="236"/>
      <c r="N36" s="236">
        <v>2.9986800000000001E-2</v>
      </c>
      <c r="O36" s="236"/>
      <c r="P36" s="236">
        <v>4.0486800000000003E-2</v>
      </c>
      <c r="Q36" s="236"/>
      <c r="R36" s="236">
        <v>4.0486800000000003E-2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0.16272657686435416</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44635</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44454</v>
      </c>
      <c r="AA47" s="76"/>
      <c r="AB47" s="75">
        <v>44544</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44545</v>
      </c>
      <c r="AA48" s="76"/>
      <c r="AB48" s="75">
        <v>44634</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44634</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362</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702340</v>
      </c>
      <c r="S57" s="234"/>
      <c r="T57" s="233">
        <f>384+19</f>
        <v>403</v>
      </c>
      <c r="U57" s="234"/>
      <c r="V57" s="234">
        <v>6896</v>
      </c>
      <c r="W57" s="234"/>
      <c r="X57" s="234">
        <v>8</v>
      </c>
      <c r="Y57" s="234"/>
      <c r="Z57" s="234">
        <v>0</v>
      </c>
      <c r="AA57" s="234"/>
      <c r="AB57" s="233">
        <f>R57-T57-V57+X57-Z57</f>
        <v>695049</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702340</v>
      </c>
      <c r="S60" s="234"/>
      <c r="T60" s="234">
        <f>T57+T58</f>
        <v>403</v>
      </c>
      <c r="U60" s="234"/>
      <c r="V60" s="234">
        <f>SUM(V57:V59)</f>
        <v>6896</v>
      </c>
      <c r="W60" s="234"/>
      <c r="X60" s="234">
        <f>SUM(X57:X59)</f>
        <v>8</v>
      </c>
      <c r="Y60" s="234"/>
      <c r="Z60" s="234">
        <f>SUM(Z57:Z59)</f>
        <v>0</v>
      </c>
      <c r="AA60" s="234"/>
      <c r="AB60" s="234">
        <f>SUM(AB57:AB59)</f>
        <v>695049</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0</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612</v>
      </c>
      <c r="S64" s="234"/>
      <c r="T64" s="234"/>
      <c r="U64" s="234"/>
      <c r="V64" s="234"/>
      <c r="W64" s="234"/>
      <c r="X64" s="234">
        <f>-X57</f>
        <v>-8</v>
      </c>
      <c r="Y64" s="234"/>
      <c r="Z64" s="234"/>
      <c r="AA64" s="234"/>
      <c r="AB64" s="234">
        <f>+R64+X64</f>
        <v>604</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702956</v>
      </c>
      <c r="S66" s="234"/>
      <c r="T66" s="234"/>
      <c r="U66" s="234"/>
      <c r="V66" s="234"/>
      <c r="W66" s="234"/>
      <c r="X66" s="234"/>
      <c r="Y66" s="234"/>
      <c r="Z66" s="234"/>
      <c r="AA66" s="234"/>
      <c r="AB66" s="234">
        <f>SUM(AB60:AB65)</f>
        <v>695657</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44620</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8</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-8</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+T57+V57+Z57-2</f>
        <v>7297</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6414+170-532-20</f>
        <v>6032</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289</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5</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53</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7301</v>
      </c>
      <c r="AA83" s="40"/>
      <c r="AB83" s="96">
        <f>SUM(AB70:AB82)</f>
        <v>6380</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7301</v>
      </c>
      <c r="AA86" s="40"/>
      <c r="AB86" s="96">
        <f>AB83+AB84+AB85</f>
        <v>6380</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-346-2-9</f>
        <v>-357</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f>457+128</f>
        <v>585</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-1828</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-159</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-102</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-99</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2</v>
      </c>
      <c r="AA99" s="111"/>
      <c r="AB99" s="97">
        <v>-2</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-1500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-26</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-143</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-109</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-53</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-11-63</f>
        <v>-74</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-2506</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-7299</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-7299</v>
      </c>
      <c r="AA128" s="96"/>
      <c r="AB128" s="96">
        <f>SUM(AB87:AB126)</f>
        <v>-6380</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FEBRUARY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21'!AB144</f>
        <v>9732.14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-53</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9679.14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21'!AB157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21'!AB163</f>
        <v>612</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-8</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604</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2</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2</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-2</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21'!AB196</f>
        <v>3</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21'!AB204</f>
        <v>997</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1500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2478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21'!AB212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21'!Y219</f>
        <v>0</v>
      </c>
      <c r="Z217" s="97">
        <f>+'November 21'!Z219</f>
        <v>439</v>
      </c>
      <c r="AA217" s="40"/>
      <c r="AB217" s="97">
        <f>Y217+Z217</f>
        <v>439</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8</v>
      </c>
      <c r="AA218" s="40"/>
      <c r="AB218" s="97">
        <f>Y218+Z218</f>
        <v>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447</v>
      </c>
      <c r="AA219" s="40"/>
      <c r="AB219" s="97">
        <f>Y219+Z219</f>
        <v>447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116906.76000000001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678000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685439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-7439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3.613785557986871</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3.72</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30.050314465408807</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30.36</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45.284313725490193</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44.54</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45.626262626262623</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44.51</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30.895104895104897</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29.32</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FEBRUARY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44620</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3.4487538410136999E-2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1.3439418268818972E-2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2.1048120141318027E-2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9.9081592589009837E-3</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20.05</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1.0383295682802338E-2</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2.6499999999999999E-2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2</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21'!Z273</f>
        <v>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3685</v>
      </c>
      <c r="Y286" s="189">
        <f>X286/$X$295</f>
        <v>1</v>
      </c>
      <c r="Z286" s="106">
        <f t="shared" ref="Z286:Z293" si="1">+Z298+Z310+Z332</f>
        <v>695049</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3685</v>
      </c>
      <c r="Y295" s="195">
        <f>SUM(Y286:Y294)</f>
        <v>1</v>
      </c>
      <c r="Z295" s="97">
        <f>SUM(Z286:Z294)</f>
        <v>695049</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3685</v>
      </c>
      <c r="Y298" s="189">
        <f>X298/$X$307</f>
        <v>1</v>
      </c>
      <c r="Z298" s="106">
        <v>695049</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3685</v>
      </c>
      <c r="Y307" s="195">
        <f>SUM(Y298:Y306)</f>
        <v>1</v>
      </c>
      <c r="Z307" s="97">
        <f>SUM(Z298:Z306)</f>
        <v>695049</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3685</v>
      </c>
      <c r="Y343" s="195"/>
      <c r="Z343" s="208">
        <f>+Z341+Z319+Z307</f>
        <v>695049</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608</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695657</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695657</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FEBRUARY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sheetData>
  <hyperlinks>
    <hyperlink ref="K9" r:id="rId1" display="http://www.paragon-group.co.uk" xr:uid="{6D22AD58-725B-41B7-AAC8-7283E8A23CDF}"/>
    <hyperlink ref="P355" r:id="rId2" xr:uid="{BDA2F165-BBED-4CA0-86C5-DB950BD06AEF}"/>
    <hyperlink ref="P283" r:id="rId3" xr:uid="{7AE7F918-CD6D-44E5-9CEE-6B72A415FD7E}"/>
    <hyperlink ref="B361" r:id="rId4" display="https://investorreporting.paragonbankinggroup.co.uk/bondinvestor_viewer/resources/bondinvestor/pdf/investornews/2021/libor-mortgages-transition-july-19" xr:uid="{6596E069-9329-4375-9CAA-198723C9D174}"/>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0710-2F56-486D-9028-F87889B98A95}">
  <sheetPr>
    <tabColor rgb="FF89CB31"/>
  </sheetPr>
  <dimension ref="A1:JB361"/>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2.2528949037691322E-2</v>
      </c>
      <c r="Z17" s="299" t="s">
        <v>259</v>
      </c>
      <c r="AA17" s="299">
        <v>0.97747105096230869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44734</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598298.08919999993</v>
      </c>
      <c r="G30" s="54"/>
      <c r="H30" s="54">
        <f>H29</f>
        <v>39664</v>
      </c>
      <c r="I30" s="54"/>
      <c r="J30" s="54">
        <f>J29</f>
        <v>21635</v>
      </c>
      <c r="K30" s="54"/>
      <c r="L30" s="54">
        <f>L29</f>
        <v>18029</v>
      </c>
      <c r="M30" s="54"/>
      <c r="N30" s="54">
        <f>N29</f>
        <v>18031</v>
      </c>
      <c r="O30" s="54"/>
      <c r="P30" s="54">
        <f>P29*P33</f>
        <v>10273.77384</v>
      </c>
      <c r="Q30" s="54"/>
      <c r="R30" s="54">
        <v>0</v>
      </c>
      <c r="S30" s="54"/>
      <c r="T30" s="54" t="s">
        <v>83</v>
      </c>
      <c r="U30" s="54"/>
      <c r="V30" s="54" t="s">
        <v>83</v>
      </c>
      <c r="W30" s="54"/>
      <c r="X30" s="54" t="s">
        <v>83</v>
      </c>
      <c r="Y30" s="54" t="s">
        <v>83</v>
      </c>
      <c r="Z30" s="54"/>
      <c r="AA30" s="49"/>
      <c r="AB30" s="50">
        <f>SUM(F30:N30)</f>
        <v>695657.08919999993</v>
      </c>
      <c r="AC30" s="51"/>
      <c r="AD30" s="22"/>
    </row>
    <row r="31" spans="1:33" s="23" customFormat="1" x14ac:dyDescent="0.3">
      <c r="A31" s="47"/>
      <c r="B31" s="44" t="s">
        <v>92</v>
      </c>
      <c r="C31" s="49"/>
      <c r="D31" s="56"/>
      <c r="E31" s="56"/>
      <c r="F31" s="56">
        <f>F29*F32</f>
        <v>580419.63728000002</v>
      </c>
      <c r="G31" s="56"/>
      <c r="H31" s="56">
        <f>H29</f>
        <v>39664</v>
      </c>
      <c r="I31" s="56"/>
      <c r="J31" s="56">
        <f>J29</f>
        <v>21635</v>
      </c>
      <c r="K31" s="56"/>
      <c r="L31" s="56">
        <f>L29</f>
        <v>18029</v>
      </c>
      <c r="M31" s="56"/>
      <c r="N31" s="56">
        <f>N29</f>
        <v>18031</v>
      </c>
      <c r="O31" s="56"/>
      <c r="P31" s="56">
        <f>P29*P32</f>
        <v>10164.30048</v>
      </c>
      <c r="Q31" s="56"/>
      <c r="R31" s="56">
        <v>0</v>
      </c>
      <c r="S31" s="56"/>
      <c r="T31" s="56" t="s">
        <v>83</v>
      </c>
      <c r="U31" s="56"/>
      <c r="V31" s="56" t="s">
        <v>83</v>
      </c>
      <c r="W31" s="56"/>
      <c r="X31" s="56" t="s">
        <v>83</v>
      </c>
      <c r="Y31" s="56" t="s">
        <v>83</v>
      </c>
      <c r="Z31" s="56"/>
      <c r="AA31" s="49"/>
      <c r="AB31" s="55">
        <f>SUM(F31:N31)</f>
        <v>677778.63728000002</v>
      </c>
      <c r="AC31" s="51"/>
      <c r="AD31" s="22"/>
      <c r="AE31" s="231"/>
    </row>
    <row r="32" spans="1:33" s="64" customFormat="1" x14ac:dyDescent="0.3">
      <c r="A32" s="57"/>
      <c r="B32" s="163" t="s">
        <v>88</v>
      </c>
      <c r="C32" s="60"/>
      <c r="D32" s="59"/>
      <c r="E32" s="59"/>
      <c r="F32" s="59">
        <v>0.93044000000000004</v>
      </c>
      <c r="G32" s="59"/>
      <c r="H32" s="59">
        <v>1</v>
      </c>
      <c r="I32" s="59"/>
      <c r="J32" s="59">
        <v>1</v>
      </c>
      <c r="K32" s="59"/>
      <c r="L32" s="59">
        <v>1</v>
      </c>
      <c r="M32" s="59"/>
      <c r="N32" s="59">
        <v>1</v>
      </c>
      <c r="O32" s="59"/>
      <c r="P32" s="59">
        <v>0.91176000000000001</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0.95909999999999995</v>
      </c>
      <c r="G33" s="59"/>
      <c r="H33" s="59">
        <v>1</v>
      </c>
      <c r="I33" s="59"/>
      <c r="J33" s="59">
        <v>1</v>
      </c>
      <c r="K33" s="59"/>
      <c r="L33" s="59">
        <v>1</v>
      </c>
      <c r="M33" s="59"/>
      <c r="N33" s="59">
        <v>1</v>
      </c>
      <c r="O33" s="59"/>
      <c r="P33" s="59">
        <v>0.92157999999999995</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1.7092099999999999E-2</v>
      </c>
      <c r="G35" s="236"/>
      <c r="H35" s="236">
        <v>2.1092099999999999E-2</v>
      </c>
      <c r="I35" s="236"/>
      <c r="J35" s="236">
        <v>2.4092100000000002E-2</v>
      </c>
      <c r="K35" s="236"/>
      <c r="L35" s="236">
        <v>2.7092100000000001E-2</v>
      </c>
      <c r="M35" s="236"/>
      <c r="N35" s="236">
        <v>3.7092100000000003E-2</v>
      </c>
      <c r="O35" s="236"/>
      <c r="P35" s="236">
        <v>4.7592099999999998E-2</v>
      </c>
      <c r="Q35" s="236"/>
      <c r="R35" s="236">
        <v>4.7592099999999998E-2</v>
      </c>
      <c r="S35" s="67"/>
      <c r="T35" s="67" t="s">
        <v>83</v>
      </c>
      <c r="U35" s="67"/>
      <c r="V35" s="67" t="s">
        <v>83</v>
      </c>
      <c r="W35" s="67"/>
      <c r="X35" s="67" t="s">
        <v>83</v>
      </c>
      <c r="Y35" s="67" t="s">
        <v>83</v>
      </c>
      <c r="Z35" s="67"/>
      <c r="AA35" s="40"/>
      <c r="AB35" s="66">
        <f>SUMPRODUCT(D35:N35,D30:N30)/AB30</f>
        <v>1.8315419668859627E-2</v>
      </c>
      <c r="AC35" s="43"/>
      <c r="AD35" s="22"/>
    </row>
    <row r="36" spans="1:30" s="23" customFormat="1" x14ac:dyDescent="0.3">
      <c r="A36" s="47"/>
      <c r="B36" s="40" t="s">
        <v>10</v>
      </c>
      <c r="C36" s="68"/>
      <c r="D36" s="236"/>
      <c r="E36" s="236"/>
      <c r="F36" s="236">
        <v>1.22288E-2</v>
      </c>
      <c r="G36" s="236"/>
      <c r="H36" s="236">
        <v>1.6228800000000002E-2</v>
      </c>
      <c r="I36" s="236"/>
      <c r="J36" s="236">
        <v>1.9228800000000001E-2</v>
      </c>
      <c r="K36" s="236"/>
      <c r="L36" s="236">
        <v>2.22288E-2</v>
      </c>
      <c r="M36" s="236"/>
      <c r="N36" s="236">
        <v>3.2228800000000002E-2</v>
      </c>
      <c r="O36" s="236"/>
      <c r="P36" s="236">
        <v>4.2728799999999997E-2</v>
      </c>
      <c r="Q36" s="236"/>
      <c r="R36" s="236">
        <v>4.2728799999999997E-2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0.16773898356756162</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44727</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44545</v>
      </c>
      <c r="AA47" s="76"/>
      <c r="AB47" s="75">
        <v>44634</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44635</v>
      </c>
      <c r="AA48" s="76"/>
      <c r="AB48" s="75">
        <v>44726</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44726</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363</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695049</v>
      </c>
      <c r="S57" s="234"/>
      <c r="T57" s="233">
        <f>381+19</f>
        <v>400</v>
      </c>
      <c r="U57" s="234"/>
      <c r="V57" s="234">
        <v>17478</v>
      </c>
      <c r="W57" s="234"/>
      <c r="X57" s="234">
        <v>20</v>
      </c>
      <c r="Y57" s="234"/>
      <c r="Z57" s="234">
        <v>0</v>
      </c>
      <c r="AA57" s="234"/>
      <c r="AB57" s="233">
        <f>R57-T57-V57+X57-Z57</f>
        <v>677191</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695049</v>
      </c>
      <c r="S60" s="234"/>
      <c r="T60" s="234">
        <f>T57+T58</f>
        <v>400</v>
      </c>
      <c r="U60" s="234"/>
      <c r="V60" s="234">
        <f>SUM(V57:V59)</f>
        <v>17478</v>
      </c>
      <c r="W60" s="234"/>
      <c r="X60" s="234">
        <f>SUM(X57:X59)</f>
        <v>20</v>
      </c>
      <c r="Y60" s="234"/>
      <c r="Z60" s="234">
        <f>SUM(Z57:Z59)</f>
        <v>0</v>
      </c>
      <c r="AA60" s="234"/>
      <c r="AB60" s="234">
        <f>SUM(AB57:AB59)</f>
        <v>677191</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0</v>
      </c>
      <c r="W63" s="234"/>
      <c r="X63" s="234"/>
      <c r="Y63" s="234"/>
      <c r="Z63" s="234"/>
      <c r="AA63" s="234"/>
      <c r="AB63" s="234">
        <f>R63+V63</f>
        <v>4</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604</v>
      </c>
      <c r="S64" s="234"/>
      <c r="T64" s="234"/>
      <c r="U64" s="234"/>
      <c r="V64" s="234"/>
      <c r="W64" s="234"/>
      <c r="X64" s="234">
        <f>-X57</f>
        <v>-20</v>
      </c>
      <c r="Y64" s="234"/>
      <c r="Z64" s="234"/>
      <c r="AA64" s="234"/>
      <c r="AB64" s="234">
        <f>+R64+X64</f>
        <v>584</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695657</v>
      </c>
      <c r="S66" s="234"/>
      <c r="T66" s="234"/>
      <c r="U66" s="234"/>
      <c r="V66" s="234"/>
      <c r="W66" s="234"/>
      <c r="X66" s="234"/>
      <c r="Y66" s="234"/>
      <c r="Z66" s="234"/>
      <c r="AA66" s="234"/>
      <c r="AB66" s="234">
        <f>SUM(AB60:AB65)</f>
        <v>677779</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44712</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20</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-20</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+T57+V57+Z57-6</f>
        <v>17872</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6319+256-367-102</f>
        <v>6106</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187+9</f>
        <v>196</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31</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110</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117</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17876</v>
      </c>
      <c r="AA83" s="40"/>
      <c r="AB83" s="96">
        <f>SUM(AB70:AB82)</f>
        <v>6560</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17876</v>
      </c>
      <c r="AA86" s="40"/>
      <c r="AB86" s="96">
        <f>AB83+AB84+AB85</f>
        <v>6560</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-350-7-9</f>
        <v>-366</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1100</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-2576</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-211</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-131</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-123</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6</v>
      </c>
      <c r="AA99" s="111"/>
      <c r="AB99" s="97">
        <v>-6</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-1900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-24</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-169</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-123</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-110</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-12-63</f>
        <v>-75</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-1839</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-17878</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-17878</v>
      </c>
      <c r="AA128" s="96"/>
      <c r="AB128" s="96">
        <f>SUM(AB87:AB126)</f>
        <v>-6560</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MAY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22'!AB144</f>
        <v>9679.14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-110</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9569.14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22'!AB157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22'!AB163</f>
        <v>604</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-20</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584</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6</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6</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-6</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22'!AB196</f>
        <v>21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2418</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117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2322</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22'!AB204</f>
        <v>2478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2418</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1900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1960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22'!AB212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22'!Y219</f>
        <v>0</v>
      </c>
      <c r="Z217" s="97">
        <f>+'February 22'!Z219</f>
        <v>447</v>
      </c>
      <c r="AA217" s="40"/>
      <c r="AB217" s="97">
        <f>Y217+Z217</f>
        <v>447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20</v>
      </c>
      <c r="AA218" s="40"/>
      <c r="AB218" s="97">
        <f>Y218+Z218</f>
        <v>20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467</v>
      </c>
      <c r="AA219" s="40"/>
      <c r="AB219" s="97">
        <f>Y219+Z219</f>
        <v>467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116886.76000000001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661000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662271</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-1271</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1.2774886535552199E-3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2.8307453416149069</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3.51</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22.350710900473935</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28.63</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34.389312977099237</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42.45</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35.560975609756099</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42.72</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25.153846153846153</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28.54</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MAY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44712</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3.5181666545931842E-2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1.8315419668859627E-2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1.6866246877072215E-2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1.1011173609983081E-2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19.81569845637895</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2.5699446710088447E-2</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3.8199999999999998E-2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6</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22'!Z273</f>
        <v>10</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3570</v>
      </c>
      <c r="Y286" s="189">
        <f>X286/$X$295</f>
        <v>0.99944008958566632</v>
      </c>
      <c r="Z286" s="106">
        <f t="shared" ref="Z286:Z293" si="1">+Z298+Z310+Z332</f>
        <v>676465</v>
      </c>
      <c r="AA286" s="189">
        <f>Z286/$Z$295</f>
        <v>0.99892792432267996</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2</v>
      </c>
      <c r="Y287" s="193">
        <f t="shared" ref="Y287:Y293" si="2">X287/$X$295</f>
        <v>5.5991041433370661E-4</v>
      </c>
      <c r="Z287" s="194">
        <f t="shared" si="1"/>
        <v>726</v>
      </c>
      <c r="AA287" s="195">
        <f>Z287/$Z$295</f>
        <v>1.0720756773199881E-3</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3572</v>
      </c>
      <c r="Y295" s="195">
        <f>SUM(Y286:Y294)</f>
        <v>1</v>
      </c>
      <c r="Z295" s="97">
        <f>SUM(Z286:Z294)</f>
        <v>677191</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3570</v>
      </c>
      <c r="Y298" s="189">
        <f>X298/$X$307</f>
        <v>0.99944008958566632</v>
      </c>
      <c r="Z298" s="106">
        <v>676465</v>
      </c>
      <c r="AA298" s="189">
        <f>Z298/$Z$307</f>
        <v>0.99892792432267996</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2</v>
      </c>
      <c r="Y299" s="195">
        <f t="shared" ref="Y299:Y305" si="4">X299/$X$307</f>
        <v>5.5991041433370661E-4</v>
      </c>
      <c r="Z299" s="97">
        <v>726</v>
      </c>
      <c r="AA299" s="195">
        <f t="shared" ref="AA299:AA305" si="5">Z299/$Z$307</f>
        <v>1.0720756773199881E-3</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3572</v>
      </c>
      <c r="Y307" s="195">
        <f>SUM(Y298:Y306)</f>
        <v>1</v>
      </c>
      <c r="Z307" s="97">
        <f>SUM(Z298:Z306)</f>
        <v>677191</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3572</v>
      </c>
      <c r="Y343" s="195"/>
      <c r="Z343" s="208">
        <f>+Z341+Z319+Z307</f>
        <v>677191</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588</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677779</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677779</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MAY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sheetData>
  <hyperlinks>
    <hyperlink ref="K9" r:id="rId1" display="http://www.paragon-group.co.uk" xr:uid="{D1713C96-71B6-4BC7-93A2-1A3238717465}"/>
    <hyperlink ref="P355" r:id="rId2" xr:uid="{EB395334-655F-4EAC-A59B-5F70B98178F4}"/>
    <hyperlink ref="P283" r:id="rId3" xr:uid="{BF1EB126-2CE6-4061-B60D-402A8F8EDD93}"/>
    <hyperlink ref="B361" r:id="rId4" display="https://investorreporting.paragonbankinggroup.co.uk/bondinvestor_viewer/resources/bondinvestor/pdf/investornews/2021/libor-mortgages-transition-july-19" xr:uid="{93178EA0-68F9-4DE5-93B3-EF1F26AF3D8B}"/>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FFCD-204A-47BD-B293-4784D22978EA}">
  <sheetPr>
    <tabColor rgb="FF2D2926"/>
  </sheetPr>
  <dimension ref="A1:JB361"/>
  <sheetViews>
    <sheetView showGridLines="0" showOutlineSymbols="0"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2.2284159096070073E-2</v>
      </c>
      <c r="Z17" s="299" t="s">
        <v>259</v>
      </c>
      <c r="AA17" s="299">
        <v>0.97771584090392982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44824</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580419.63728000002</v>
      </c>
      <c r="G30" s="54"/>
      <c r="H30" s="54">
        <f>H29</f>
        <v>39664</v>
      </c>
      <c r="I30" s="54"/>
      <c r="J30" s="54">
        <f>J29</f>
        <v>21635</v>
      </c>
      <c r="K30" s="54"/>
      <c r="L30" s="54">
        <f>L29</f>
        <v>18029</v>
      </c>
      <c r="M30" s="54"/>
      <c r="N30" s="54">
        <f>N29</f>
        <v>18031</v>
      </c>
      <c r="O30" s="54"/>
      <c r="P30" s="54">
        <f>P29*P33</f>
        <v>10164.30048</v>
      </c>
      <c r="Q30" s="54"/>
      <c r="R30" s="54">
        <v>0</v>
      </c>
      <c r="S30" s="54"/>
      <c r="T30" s="54" t="s">
        <v>83</v>
      </c>
      <c r="U30" s="54"/>
      <c r="V30" s="54" t="s">
        <v>83</v>
      </c>
      <c r="W30" s="54"/>
      <c r="X30" s="54" t="s">
        <v>83</v>
      </c>
      <c r="Y30" s="54" t="s">
        <v>83</v>
      </c>
      <c r="Z30" s="54"/>
      <c r="AA30" s="49"/>
      <c r="AB30" s="50">
        <f>SUM(F30:N30)</f>
        <v>677778.63728000002</v>
      </c>
      <c r="AC30" s="51"/>
      <c r="AD30" s="22"/>
    </row>
    <row r="31" spans="1:33" s="23" customFormat="1" x14ac:dyDescent="0.3">
      <c r="A31" s="47"/>
      <c r="B31" s="44" t="s">
        <v>92</v>
      </c>
      <c r="C31" s="49"/>
      <c r="D31" s="56"/>
      <c r="E31" s="56"/>
      <c r="F31" s="56">
        <f>F29*F32</f>
        <v>561156.32272000005</v>
      </c>
      <c r="G31" s="56"/>
      <c r="H31" s="56">
        <f>H29</f>
        <v>39664</v>
      </c>
      <c r="I31" s="56"/>
      <c r="J31" s="56">
        <f>J29</f>
        <v>21635</v>
      </c>
      <c r="K31" s="56"/>
      <c r="L31" s="56">
        <f>L29</f>
        <v>18029</v>
      </c>
      <c r="M31" s="56"/>
      <c r="N31" s="56">
        <f>N29</f>
        <v>18031</v>
      </c>
      <c r="O31" s="56"/>
      <c r="P31" s="56">
        <f>P29*P32</f>
        <v>9896.0796000000009</v>
      </c>
      <c r="Q31" s="56"/>
      <c r="R31" s="56">
        <v>0</v>
      </c>
      <c r="S31" s="56"/>
      <c r="T31" s="56" t="s">
        <v>83</v>
      </c>
      <c r="U31" s="56"/>
      <c r="V31" s="56" t="s">
        <v>83</v>
      </c>
      <c r="W31" s="56"/>
      <c r="X31" s="56" t="s">
        <v>83</v>
      </c>
      <c r="Y31" s="56" t="s">
        <v>83</v>
      </c>
      <c r="Z31" s="56"/>
      <c r="AA31" s="49"/>
      <c r="AB31" s="55">
        <f>SUM(F31:N31)</f>
        <v>658515.32272000005</v>
      </c>
      <c r="AC31" s="51"/>
      <c r="AD31" s="22"/>
      <c r="AE31" s="231"/>
    </row>
    <row r="32" spans="1:33" s="64" customFormat="1" x14ac:dyDescent="0.3">
      <c r="A32" s="57"/>
      <c r="B32" s="163" t="s">
        <v>88</v>
      </c>
      <c r="C32" s="60"/>
      <c r="D32" s="59"/>
      <c r="E32" s="59"/>
      <c r="F32" s="59">
        <v>0.89956000000000003</v>
      </c>
      <c r="G32" s="59"/>
      <c r="H32" s="59">
        <v>1</v>
      </c>
      <c r="I32" s="59"/>
      <c r="J32" s="59">
        <v>1</v>
      </c>
      <c r="K32" s="59"/>
      <c r="L32" s="59">
        <v>1</v>
      </c>
      <c r="M32" s="59"/>
      <c r="N32" s="59">
        <v>1</v>
      </c>
      <c r="O32" s="59"/>
      <c r="P32" s="59">
        <v>0.88770000000000004</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0.93044000000000004</v>
      </c>
      <c r="G33" s="59"/>
      <c r="H33" s="59">
        <v>1</v>
      </c>
      <c r="I33" s="59"/>
      <c r="J33" s="59">
        <v>1</v>
      </c>
      <c r="K33" s="59"/>
      <c r="L33" s="59">
        <v>1</v>
      </c>
      <c r="M33" s="59"/>
      <c r="N33" s="59">
        <v>1</v>
      </c>
      <c r="O33" s="59"/>
      <c r="P33" s="59">
        <v>0.91176000000000001</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2.3109299999999999E-2</v>
      </c>
      <c r="G35" s="236"/>
      <c r="H35" s="236">
        <v>2.7109299999999999E-2</v>
      </c>
      <c r="I35" s="236"/>
      <c r="J35" s="236">
        <v>3.0109299999999999E-2</v>
      </c>
      <c r="K35" s="236"/>
      <c r="L35" s="236">
        <v>3.3109300000000001E-2</v>
      </c>
      <c r="M35" s="236"/>
      <c r="N35" s="236">
        <v>4.3109300000000003E-2</v>
      </c>
      <c r="O35" s="236"/>
      <c r="P35" s="236">
        <v>5.3609299999999999E-2</v>
      </c>
      <c r="Q35" s="236"/>
      <c r="R35" s="236">
        <v>5.3609299999999999E-2</v>
      </c>
      <c r="S35" s="67"/>
      <c r="T35" s="67" t="s">
        <v>83</v>
      </c>
      <c r="U35" s="67"/>
      <c r="V35" s="67" t="s">
        <v>83</v>
      </c>
      <c r="W35" s="67"/>
      <c r="X35" s="67" t="s">
        <v>83</v>
      </c>
      <c r="Y35" s="67" t="s">
        <v>83</v>
      </c>
      <c r="Z35" s="67"/>
      <c r="AA35" s="40"/>
      <c r="AB35" s="66">
        <f>SUMPRODUCT(D35:N35,D30:N30)/AB30</f>
        <v>2.4364888407765697E-2</v>
      </c>
      <c r="AC35" s="43"/>
      <c r="AD35" s="22"/>
    </row>
    <row r="36" spans="1:30" s="23" customFormat="1" x14ac:dyDescent="0.3">
      <c r="A36" s="47"/>
      <c r="B36" s="40" t="s">
        <v>10</v>
      </c>
      <c r="C36" s="68"/>
      <c r="D36" s="236"/>
      <c r="E36" s="236"/>
      <c r="F36" s="236">
        <v>1.7092099999999999E-2</v>
      </c>
      <c r="G36" s="236"/>
      <c r="H36" s="236">
        <v>2.1092099999999999E-2</v>
      </c>
      <c r="I36" s="236"/>
      <c r="J36" s="236">
        <v>2.4092100000000002E-2</v>
      </c>
      <c r="K36" s="236"/>
      <c r="L36" s="236">
        <v>2.7092100000000001E-2</v>
      </c>
      <c r="M36" s="236"/>
      <c r="N36" s="236">
        <v>3.7092100000000003E-2</v>
      </c>
      <c r="O36" s="236"/>
      <c r="P36" s="236">
        <v>4.7592099999999998E-2</v>
      </c>
      <c r="Q36" s="236"/>
      <c r="R36" s="236">
        <v>4.7592099999999998E-2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0.17349710955422876</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44819</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44635</v>
      </c>
      <c r="AA47" s="76"/>
      <c r="AB47" s="75">
        <v>44726</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44727</v>
      </c>
      <c r="AA48" s="76"/>
      <c r="AB48" s="75">
        <v>44818</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44818</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364</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677191</v>
      </c>
      <c r="S57" s="234"/>
      <c r="T57" s="233">
        <f>378+18</f>
        <v>396</v>
      </c>
      <c r="U57" s="234"/>
      <c r="V57" s="234">
        <v>18867</v>
      </c>
      <c r="W57" s="234"/>
      <c r="X57" s="234">
        <v>5</v>
      </c>
      <c r="Y57" s="234"/>
      <c r="Z57" s="234">
        <v>0</v>
      </c>
      <c r="AA57" s="234"/>
      <c r="AB57" s="233">
        <f>R57-T57-V57+X57-Z57</f>
        <v>657933</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677191</v>
      </c>
      <c r="S60" s="234"/>
      <c r="T60" s="234">
        <f>T57+T58</f>
        <v>396</v>
      </c>
      <c r="U60" s="234"/>
      <c r="V60" s="234">
        <f>SUM(V57:V59)</f>
        <v>18867</v>
      </c>
      <c r="W60" s="234"/>
      <c r="X60" s="234">
        <f>SUM(X57:X59)</f>
        <v>5</v>
      </c>
      <c r="Y60" s="234"/>
      <c r="Z60" s="234">
        <f>SUM(Z57:Z59)</f>
        <v>0</v>
      </c>
      <c r="AA60" s="234"/>
      <c r="AB60" s="234">
        <f>SUM(AB57:AB59)</f>
        <v>657933</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3</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584</v>
      </c>
      <c r="S64" s="234"/>
      <c r="T64" s="234"/>
      <c r="U64" s="234"/>
      <c r="V64" s="234"/>
      <c r="W64" s="234"/>
      <c r="X64" s="234">
        <f>-X57</f>
        <v>-5</v>
      </c>
      <c r="Y64" s="234"/>
      <c r="Z64" s="234"/>
      <c r="AA64" s="234"/>
      <c r="AB64" s="234">
        <f>+R64+X64</f>
        <v>579</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677779</v>
      </c>
      <c r="S66" s="234"/>
      <c r="T66" s="234"/>
      <c r="U66" s="234"/>
      <c r="V66" s="234"/>
      <c r="W66" s="234"/>
      <c r="X66" s="234"/>
      <c r="Y66" s="234"/>
      <c r="Z66" s="234"/>
      <c r="AA66" s="234"/>
      <c r="AB66" s="234">
        <f>SUM(AB60:AB65)</f>
        <v>658515</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44804</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5</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-5</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+T57+V57+Z57-3-1</f>
        <v>19259</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6634+199-684-34</f>
        <v>6115</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303+1</f>
        <v>304</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94</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268</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672</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19263</v>
      </c>
      <c r="AA83" s="40"/>
      <c r="AB83" s="96">
        <f>SUM(AB70:AB82)</f>
        <v>7453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19263</v>
      </c>
      <c r="AA86" s="40"/>
      <c r="AB86" s="96">
        <f>AB83+AB84+AB85</f>
        <v>7453</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-341-14-9</f>
        <v>-364</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1782</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-3381</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-271</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-164</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-151</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3</v>
      </c>
      <c r="AA99" s="111"/>
      <c r="AB99" s="97">
        <v>-3</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-24</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-196</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-138</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-268</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-12-63</f>
        <v>-75</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-1693</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-19263</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-19263</v>
      </c>
      <c r="AA128" s="96"/>
      <c r="AB128" s="96">
        <f>SUM(AB87:AB126)</f>
        <v>-7453</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3</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AUGUST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22'!AB144</f>
        <v>9569.14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-268</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9301.14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22'!AB157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22'!AB163</f>
        <v>584</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-5</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579</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3</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3</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-3</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22'!AB196</f>
        <v>2322</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1916</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672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3566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22'!AB204</f>
        <v>1960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1916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2544</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22'!AB212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22'!Y219</f>
        <v>0</v>
      </c>
      <c r="Z217" s="97">
        <f>+'May 22'!Z219</f>
        <v>467</v>
      </c>
      <c r="AA217" s="40"/>
      <c r="AB217" s="97">
        <f>Y217+Z217</f>
        <v>467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5</v>
      </c>
      <c r="AA218" s="40"/>
      <c r="AB218" s="97">
        <f>Y218+Z218</f>
        <v>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472</v>
      </c>
      <c r="AA219" s="40"/>
      <c r="AB219" s="97">
        <f>Y219+Z219</f>
        <v>472</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116881.76000000001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638400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641789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-3389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2.82873746867168E-3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2.6231884057971016</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3.3</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20.250922509225092</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26.81</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31.810975609756099</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40.270000000000003</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33.463576158940398</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40.9</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25.010204081632654</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27.91</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AUGUST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44804</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3.5734459307974031E-2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2.4364888407765697E-2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1.1369570900208334E-2</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1.3625385265698701E-2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19.52</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2.8420768421565143E-2</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4.8099999999999997E-2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3</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22'!Z273</f>
        <v>13</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3458</v>
      </c>
      <c r="Y286" s="189">
        <f>X286/$X$295</f>
        <v>1</v>
      </c>
      <c r="Z286" s="106">
        <f t="shared" ref="Z286:Z293" si="1">+Z298+Z310+Z332</f>
        <v>657933</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3458</v>
      </c>
      <c r="Y295" s="195">
        <f>SUM(Y286:Y294)</f>
        <v>1</v>
      </c>
      <c r="Z295" s="97">
        <f>SUM(Z286:Z294)</f>
        <v>657933</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3458</v>
      </c>
      <c r="Y298" s="189">
        <f>X298/$X$307</f>
        <v>1</v>
      </c>
      <c r="Z298" s="106">
        <v>657933</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3458</v>
      </c>
      <c r="Y307" s="195">
        <f>SUM(Y298:Y306)</f>
        <v>1</v>
      </c>
      <c r="Z307" s="97">
        <f>SUM(Z298:Z306)</f>
        <v>657933</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3458</v>
      </c>
      <c r="Y343" s="195"/>
      <c r="Z343" s="208">
        <f>+Z341+Z319+Z307</f>
        <v>657933</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582</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658515</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658515</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AUGUST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sheetData>
  <hyperlinks>
    <hyperlink ref="K9" r:id="rId1" display="http://www.paragon-group.co.uk" xr:uid="{6A2F316A-EA2C-4C03-AF1F-E47BCF76D61D}"/>
    <hyperlink ref="P355" r:id="rId2" xr:uid="{6A630F33-59A7-424A-94AD-65EC222FCBB6}"/>
    <hyperlink ref="P283" r:id="rId3" xr:uid="{98E9ABD1-AA08-438D-8CB0-1E43C41CAA91}"/>
    <hyperlink ref="B361" r:id="rId4" display="https://investorreporting.paragonbankinggroup.co.uk/bondinvestor_viewer/resources/bondinvestor/pdf/investornews/2021/libor-mortgages-transition-july-19" xr:uid="{4EA265A0-2A1C-4533-BF40-0AB4C3816BE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DCAD-D9CC-40DC-9B73-AAEF17C47A9B}">
  <sheetPr>
    <tabColor rgb="FF89CB31"/>
  </sheetPr>
  <dimension ref="A1:JB361"/>
  <sheetViews>
    <sheetView showGridLines="0" showOutlineSymbols="0" topLeftCell="L21" zoomScale="70" zoomScaleNormal="70" workbookViewId="0"/>
  </sheetViews>
  <sheetFormatPr defaultColWidth="9.7265625" defaultRowHeight="15.6" x14ac:dyDescent="0.3"/>
  <cols>
    <col min="1" max="1" width="4" style="6" customWidth="1"/>
    <col min="2" max="2" width="71.08984375" style="6" customWidth="1"/>
    <col min="3" max="3" width="2.08984375" style="6" customWidth="1"/>
    <col min="4" max="4" width="16.08984375" style="6" customWidth="1"/>
    <col min="5" max="5" width="2.7265625" style="6" customWidth="1"/>
    <col min="6" max="6" width="16.08984375" style="6" customWidth="1"/>
    <col min="7" max="7" width="2.08984375" style="6" customWidth="1"/>
    <col min="8" max="8" width="17.7265625" style="6" customWidth="1"/>
    <col min="9" max="9" width="2.26953125" style="6" customWidth="1"/>
    <col min="10" max="10" width="14.7265625" style="6" customWidth="1"/>
    <col min="11" max="11" width="2.26953125" style="6" customWidth="1"/>
    <col min="12" max="12" width="15.54296875" style="6" customWidth="1"/>
    <col min="13" max="13" width="2.26953125" style="6" customWidth="1"/>
    <col min="14" max="14" width="15.54296875" style="6" customWidth="1"/>
    <col min="15" max="15" width="2.2695312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26953125" style="6" customWidth="1"/>
    <col min="22" max="22" width="15.54296875" style="6" customWidth="1"/>
    <col min="23" max="23" width="2.08984375" style="6" customWidth="1"/>
    <col min="24" max="24" width="15.54296875" style="6" customWidth="1"/>
    <col min="25" max="25" width="12.7265625" style="6" customWidth="1"/>
    <col min="26" max="26" width="18.08984375" style="6" customWidth="1"/>
    <col min="27" max="27" width="8.7265625" style="6" bestFit="1" customWidth="1"/>
    <col min="28" max="28" width="14.7265625" style="6" customWidth="1"/>
    <col min="29" max="29" width="11.7265625" style="6" customWidth="1"/>
    <col min="30" max="16384" width="9.7265625" style="6"/>
  </cols>
  <sheetData>
    <row r="1" spans="1:30" ht="21" x14ac:dyDescent="0.4">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2.2547486418320582E-2</v>
      </c>
      <c r="Z17" s="299" t="s">
        <v>259</v>
      </c>
      <c r="AA17" s="299">
        <v>0.97745251358167939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44916</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
      <c r="A30" s="47"/>
      <c r="B30" s="40" t="s">
        <v>90</v>
      </c>
      <c r="C30" s="49"/>
      <c r="D30" s="54"/>
      <c r="E30" s="54"/>
      <c r="F30" s="54">
        <f>F29*F33</f>
        <v>561156.32272000005</v>
      </c>
      <c r="G30" s="54"/>
      <c r="H30" s="54">
        <f>H29</f>
        <v>39664</v>
      </c>
      <c r="I30" s="54"/>
      <c r="J30" s="54">
        <f>J29</f>
        <v>21635</v>
      </c>
      <c r="K30" s="54"/>
      <c r="L30" s="54">
        <f>L29</f>
        <v>18029</v>
      </c>
      <c r="M30" s="54"/>
      <c r="N30" s="54">
        <f>N29</f>
        <v>18031</v>
      </c>
      <c r="O30" s="54"/>
      <c r="P30" s="54">
        <f>P29*P33</f>
        <v>9896.0796000000009</v>
      </c>
      <c r="Q30" s="54"/>
      <c r="R30" s="54">
        <v>0</v>
      </c>
      <c r="S30" s="54"/>
      <c r="T30" s="54" t="s">
        <v>83</v>
      </c>
      <c r="U30" s="54"/>
      <c r="V30" s="54" t="s">
        <v>83</v>
      </c>
      <c r="W30" s="54"/>
      <c r="X30" s="54" t="s">
        <v>83</v>
      </c>
      <c r="Y30" s="54" t="s">
        <v>83</v>
      </c>
      <c r="Z30" s="54"/>
      <c r="AA30" s="49"/>
      <c r="AB30" s="50">
        <f>SUM(F30:N30)</f>
        <v>658515.32272000005</v>
      </c>
      <c r="AC30" s="51"/>
      <c r="AD30" s="22"/>
    </row>
    <row r="31" spans="1:33" s="23" customFormat="1" x14ac:dyDescent="0.3">
      <c r="A31" s="47"/>
      <c r="B31" s="44" t="s">
        <v>92</v>
      </c>
      <c r="C31" s="49"/>
      <c r="D31" s="56"/>
      <c r="E31" s="56"/>
      <c r="F31" s="56">
        <f>F29*F32</f>
        <v>537301.75184000004</v>
      </c>
      <c r="G31" s="56"/>
      <c r="H31" s="56">
        <f>H29</f>
        <v>39664</v>
      </c>
      <c r="I31" s="56"/>
      <c r="J31" s="56">
        <f>J29</f>
        <v>21635</v>
      </c>
      <c r="K31" s="56"/>
      <c r="L31" s="56">
        <f>L29</f>
        <v>18029</v>
      </c>
      <c r="M31" s="56"/>
      <c r="N31" s="56">
        <f>N29</f>
        <v>18031</v>
      </c>
      <c r="O31" s="56"/>
      <c r="P31" s="56">
        <f>P29*P32</f>
        <v>9607.1234399999994</v>
      </c>
      <c r="Q31" s="56"/>
      <c r="R31" s="56">
        <v>0</v>
      </c>
      <c r="S31" s="56"/>
      <c r="T31" s="56" t="s">
        <v>83</v>
      </c>
      <c r="U31" s="56"/>
      <c r="V31" s="56" t="s">
        <v>83</v>
      </c>
      <c r="W31" s="56"/>
      <c r="X31" s="56" t="s">
        <v>83</v>
      </c>
      <c r="Y31" s="56" t="s">
        <v>83</v>
      </c>
      <c r="Z31" s="56"/>
      <c r="AA31" s="49"/>
      <c r="AB31" s="55">
        <f>SUM(F31:N31)</f>
        <v>634660.75184000004</v>
      </c>
      <c r="AC31" s="51"/>
      <c r="AD31" s="22"/>
      <c r="AE31" s="231"/>
    </row>
    <row r="32" spans="1:33" s="64" customFormat="1" x14ac:dyDescent="0.3">
      <c r="A32" s="57"/>
      <c r="B32" s="163" t="s">
        <v>88</v>
      </c>
      <c r="C32" s="60"/>
      <c r="D32" s="59"/>
      <c r="E32" s="59"/>
      <c r="F32" s="59">
        <v>0.86131999999999997</v>
      </c>
      <c r="G32" s="59"/>
      <c r="H32" s="59">
        <v>1</v>
      </c>
      <c r="I32" s="59"/>
      <c r="J32" s="59">
        <v>1</v>
      </c>
      <c r="K32" s="59"/>
      <c r="L32" s="59">
        <v>1</v>
      </c>
      <c r="M32" s="59"/>
      <c r="N32" s="59">
        <v>1</v>
      </c>
      <c r="O32" s="59"/>
      <c r="P32" s="59">
        <v>0.86177999999999999</v>
      </c>
      <c r="Q32" s="59"/>
      <c r="R32" s="59">
        <v>0</v>
      </c>
      <c r="S32" s="59"/>
      <c r="T32" s="59" t="s">
        <v>83</v>
      </c>
      <c r="U32" s="59"/>
      <c r="V32" s="59" t="s">
        <v>83</v>
      </c>
      <c r="W32" s="59"/>
      <c r="X32" s="59" t="s">
        <v>83</v>
      </c>
      <c r="Y32" s="59" t="s">
        <v>83</v>
      </c>
      <c r="Z32" s="59"/>
      <c r="AA32" s="60"/>
      <c r="AB32" s="61"/>
      <c r="AC32" s="62"/>
      <c r="AD32" s="63"/>
    </row>
    <row r="33" spans="1:30" s="64" customFormat="1" x14ac:dyDescent="0.3">
      <c r="A33" s="57"/>
      <c r="B33" s="60" t="s">
        <v>89</v>
      </c>
      <c r="C33" s="60"/>
      <c r="D33" s="59"/>
      <c r="E33" s="222"/>
      <c r="F33" s="59">
        <v>0.89956000000000003</v>
      </c>
      <c r="G33" s="59"/>
      <c r="H33" s="59">
        <v>1</v>
      </c>
      <c r="I33" s="59"/>
      <c r="J33" s="59">
        <v>1</v>
      </c>
      <c r="K33" s="59"/>
      <c r="L33" s="59">
        <v>1</v>
      </c>
      <c r="M33" s="59"/>
      <c r="N33" s="59">
        <v>1</v>
      </c>
      <c r="O33" s="59"/>
      <c r="P33" s="59">
        <v>0.88770000000000004</v>
      </c>
      <c r="Q33" s="59"/>
      <c r="R33" s="59">
        <v>0</v>
      </c>
      <c r="S33" s="222"/>
      <c r="T33" s="222" t="s">
        <v>83</v>
      </c>
      <c r="U33" s="222"/>
      <c r="V33" s="222" t="s">
        <v>83</v>
      </c>
      <c r="W33" s="222"/>
      <c r="X33" s="222" t="s">
        <v>83</v>
      </c>
      <c r="Y33" s="59" t="s">
        <v>83</v>
      </c>
      <c r="Z33" s="59"/>
      <c r="AA33" s="60"/>
      <c r="AB33" s="65"/>
      <c r="AC33" s="62"/>
      <c r="AD33" s="63"/>
    </row>
    <row r="34" spans="1:30" s="23" customFormat="1" x14ac:dyDescent="0.3">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
      <c r="A35" s="47"/>
      <c r="B35" s="40" t="s">
        <v>9</v>
      </c>
      <c r="C35" s="68"/>
      <c r="D35" s="236"/>
      <c r="E35" s="236"/>
      <c r="F35" s="236">
        <v>3.3522900000000001E-2</v>
      </c>
      <c r="G35" s="236"/>
      <c r="H35" s="236">
        <v>3.7522899999999998E-2</v>
      </c>
      <c r="I35" s="236"/>
      <c r="J35" s="236">
        <v>4.0522900000000001E-2</v>
      </c>
      <c r="K35" s="236"/>
      <c r="L35" s="236">
        <v>4.3522900000000003E-2</v>
      </c>
      <c r="M35" s="236"/>
      <c r="N35" s="236">
        <v>5.3522899999999998E-2</v>
      </c>
      <c r="O35" s="236"/>
      <c r="P35" s="236">
        <v>6.4022899999999994E-2</v>
      </c>
      <c r="Q35" s="236"/>
      <c r="R35" s="236">
        <v>6.4022899999999994E-2</v>
      </c>
      <c r="S35" s="67"/>
      <c r="T35" s="67" t="s">
        <v>83</v>
      </c>
      <c r="U35" s="67"/>
      <c r="V35" s="67" t="s">
        <v>83</v>
      </c>
      <c r="W35" s="67"/>
      <c r="X35" s="67" t="s">
        <v>83</v>
      </c>
      <c r="Y35" s="67" t="s">
        <v>83</v>
      </c>
      <c r="Z35" s="67"/>
      <c r="AA35" s="40"/>
      <c r="AB35" s="66">
        <f>SUMPRODUCT(D35:N35,D30:N30)/AB30</f>
        <v>3.4815217688956575E-2</v>
      </c>
      <c r="AC35" s="43"/>
      <c r="AD35" s="22"/>
    </row>
    <row r="36" spans="1:30" s="23" customFormat="1" x14ac:dyDescent="0.3">
      <c r="A36" s="47"/>
      <c r="B36" s="40" t="s">
        <v>10</v>
      </c>
      <c r="C36" s="68"/>
      <c r="D36" s="236"/>
      <c r="E36" s="236"/>
      <c r="F36" s="236">
        <v>2.3109299999999999E-2</v>
      </c>
      <c r="G36" s="236"/>
      <c r="H36" s="236">
        <v>2.7109299999999999E-2</v>
      </c>
      <c r="I36" s="236"/>
      <c r="J36" s="236">
        <v>3.0109299999999999E-2</v>
      </c>
      <c r="K36" s="236"/>
      <c r="L36" s="236">
        <v>3.3109300000000001E-2</v>
      </c>
      <c r="M36" s="236"/>
      <c r="N36" s="236">
        <v>4.3109300000000003E-2</v>
      </c>
      <c r="O36" s="236"/>
      <c r="P36" s="236">
        <v>5.3609299999999999E-2</v>
      </c>
      <c r="Q36" s="236"/>
      <c r="R36" s="236">
        <v>5.3609299999999999E-2</v>
      </c>
      <c r="S36" s="67"/>
      <c r="T36" s="67" t="s">
        <v>83</v>
      </c>
      <c r="U36" s="67"/>
      <c r="V36" s="67" t="s">
        <v>83</v>
      </c>
      <c r="W36" s="67"/>
      <c r="X36" s="67" t="s">
        <v>83</v>
      </c>
      <c r="Y36" s="67" t="s">
        <v>83</v>
      </c>
      <c r="Z36" s="67"/>
      <c r="AA36" s="40"/>
      <c r="AB36" s="40"/>
      <c r="AC36" s="43"/>
      <c r="AD36" s="22"/>
    </row>
    <row r="37" spans="1:30" s="23" customFormat="1" x14ac:dyDescent="0.3">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0.18119985588469098</v>
      </c>
      <c r="AC42" s="43"/>
      <c r="AD42" s="22"/>
    </row>
    <row r="43" spans="1:30" s="23" customFormat="1" x14ac:dyDescent="0.3">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44910</v>
      </c>
      <c r="AC46" s="43"/>
      <c r="AD46" s="22"/>
    </row>
    <row r="47" spans="1:30" s="23" customFormat="1" x14ac:dyDescent="0.3">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44727</v>
      </c>
      <c r="AA47" s="76"/>
      <c r="AB47" s="75">
        <v>44818</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44819</v>
      </c>
      <c r="AA48" s="76"/>
      <c r="AB48" s="75">
        <v>44909</v>
      </c>
      <c r="AC48" s="43"/>
      <c r="AD48" s="22"/>
    </row>
    <row r="49" spans="1:31" s="23" customFormat="1" x14ac:dyDescent="0.3">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44909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8.600000000000001" thickBot="1" x14ac:dyDescent="0.4">
      <c r="A53" s="82"/>
      <c r="B53" s="83" t="s">
        <v>366</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8" x14ac:dyDescent="0.3">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
      <c r="A57" s="47"/>
      <c r="B57" s="40" t="s">
        <v>15</v>
      </c>
      <c r="C57" s="96"/>
      <c r="D57" s="96"/>
      <c r="E57" s="96"/>
      <c r="F57" s="96"/>
      <c r="G57" s="96"/>
      <c r="H57" s="97"/>
      <c r="I57" s="96"/>
      <c r="J57" s="97"/>
      <c r="K57" s="96"/>
      <c r="L57" s="96"/>
      <c r="M57" s="96"/>
      <c r="N57" s="96"/>
      <c r="O57" s="96"/>
      <c r="P57" s="234">
        <v>720120</v>
      </c>
      <c r="Q57" s="234"/>
      <c r="R57" s="233">
        <v>657933</v>
      </c>
      <c r="S57" s="234"/>
      <c r="T57" s="233">
        <f>369+17</f>
        <v>386</v>
      </c>
      <c r="U57" s="234"/>
      <c r="V57" s="234">
        <v>23185</v>
      </c>
      <c r="W57" s="234"/>
      <c r="X57" s="234">
        <v>13</v>
      </c>
      <c r="Y57" s="234"/>
      <c r="Z57" s="234">
        <v>0</v>
      </c>
      <c r="AA57" s="234"/>
      <c r="AB57" s="233">
        <f>R57-T57-V57+X57-Z57</f>
        <v>634375</v>
      </c>
      <c r="AC57" s="43"/>
      <c r="AD57" s="22"/>
      <c r="AE57" s="266"/>
    </row>
    <row r="58" spans="1:31" s="23" customFormat="1" x14ac:dyDescent="0.3">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
      <c r="A60" s="47"/>
      <c r="B60" s="40" t="s">
        <v>17</v>
      </c>
      <c r="C60" s="96"/>
      <c r="D60" s="96"/>
      <c r="E60" s="96"/>
      <c r="F60" s="96"/>
      <c r="G60" s="96"/>
      <c r="H60" s="96"/>
      <c r="I60" s="96"/>
      <c r="J60" s="96"/>
      <c r="K60" s="96"/>
      <c r="L60" s="96"/>
      <c r="M60" s="96"/>
      <c r="N60" s="96"/>
      <c r="O60" s="96"/>
      <c r="P60" s="234">
        <f>SUM(P57:P59)</f>
        <v>720120</v>
      </c>
      <c r="Q60" s="234"/>
      <c r="R60" s="234">
        <f>R57+R58</f>
        <v>657933</v>
      </c>
      <c r="S60" s="234"/>
      <c r="T60" s="234">
        <f>T57+T58</f>
        <v>386</v>
      </c>
      <c r="U60" s="234"/>
      <c r="V60" s="234">
        <f>SUM(V57:V59)</f>
        <v>23185</v>
      </c>
      <c r="W60" s="234"/>
      <c r="X60" s="234">
        <f>SUM(X57:X59)</f>
        <v>13</v>
      </c>
      <c r="Y60" s="234"/>
      <c r="Z60" s="234">
        <f>SUM(Z57:Z59)</f>
        <v>0</v>
      </c>
      <c r="AA60" s="234"/>
      <c r="AB60" s="234">
        <f>SUM(AB57:AB59)</f>
        <v>634375</v>
      </c>
      <c r="AC60" s="43"/>
      <c r="AD60" s="22"/>
    </row>
    <row r="61" spans="1:31" s="23" customFormat="1" ht="32.1" customHeight="1" x14ac:dyDescent="0.3">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
      <c r="A63" s="47"/>
      <c r="B63" s="40" t="s">
        <v>267</v>
      </c>
      <c r="C63" s="96"/>
      <c r="D63" s="96"/>
      <c r="E63" s="96"/>
      <c r="F63" s="96"/>
      <c r="G63" s="96"/>
      <c r="H63" s="96"/>
      <c r="I63" s="96"/>
      <c r="J63" s="96"/>
      <c r="K63" s="96"/>
      <c r="L63" s="96"/>
      <c r="M63" s="96"/>
      <c r="N63" s="96"/>
      <c r="O63" s="96"/>
      <c r="P63" s="234">
        <v>0</v>
      </c>
      <c r="Q63" s="234"/>
      <c r="R63" s="234">
        <v>3</v>
      </c>
      <c r="S63" s="234"/>
      <c r="T63" s="234">
        <v>0</v>
      </c>
      <c r="U63" s="234"/>
      <c r="V63" s="234">
        <v>-1</v>
      </c>
      <c r="W63" s="234"/>
      <c r="X63" s="234"/>
      <c r="Y63" s="234"/>
      <c r="Z63" s="234"/>
      <c r="AA63" s="234"/>
      <c r="AB63" s="234">
        <f>R63+V63</f>
        <v>2</v>
      </c>
      <c r="AC63" s="43"/>
      <c r="AD63" s="22"/>
    </row>
    <row r="64" spans="1:31" s="23" customFormat="1" x14ac:dyDescent="0.3">
      <c r="A64" s="47"/>
      <c r="B64" s="40" t="s">
        <v>169</v>
      </c>
      <c r="C64" s="96"/>
      <c r="D64" s="96"/>
      <c r="E64" s="96"/>
      <c r="F64" s="96"/>
      <c r="G64" s="96"/>
      <c r="H64" s="96"/>
      <c r="I64" s="96"/>
      <c r="J64" s="96"/>
      <c r="K64" s="96"/>
      <c r="L64" s="96"/>
      <c r="M64" s="96"/>
      <c r="N64" s="96"/>
      <c r="O64" s="96"/>
      <c r="P64" s="234">
        <v>1051</v>
      </c>
      <c r="Q64" s="234"/>
      <c r="R64" s="234">
        <v>579</v>
      </c>
      <c r="S64" s="234"/>
      <c r="T64" s="234"/>
      <c r="U64" s="234"/>
      <c r="V64" s="234"/>
      <c r="W64" s="234"/>
      <c r="X64" s="234">
        <f>-X57-283</f>
        <v>-296</v>
      </c>
      <c r="Y64" s="234"/>
      <c r="Z64" s="234"/>
      <c r="AA64" s="234"/>
      <c r="AB64" s="234">
        <f>+R64+X64+1</f>
        <v>284</v>
      </c>
      <c r="AC64" s="43"/>
      <c r="AD64" s="22"/>
    </row>
    <row r="65" spans="1:30" s="23" customFormat="1" x14ac:dyDescent="0.3">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
      <c r="A66" s="47"/>
      <c r="B66" s="40" t="s">
        <v>20</v>
      </c>
      <c r="C66" s="96"/>
      <c r="D66" s="96"/>
      <c r="E66" s="96"/>
      <c r="F66" s="96"/>
      <c r="G66" s="96"/>
      <c r="H66" s="96"/>
      <c r="I66" s="96"/>
      <c r="J66" s="96"/>
      <c r="K66" s="96"/>
      <c r="L66" s="96"/>
      <c r="M66" s="96"/>
      <c r="N66" s="96"/>
      <c r="O66" s="96"/>
      <c r="P66" s="234">
        <f>SUM(P60:P65)</f>
        <v>721171</v>
      </c>
      <c r="Q66" s="234"/>
      <c r="R66" s="234">
        <f>SUM(R60:R65)</f>
        <v>658515</v>
      </c>
      <c r="S66" s="234"/>
      <c r="T66" s="234"/>
      <c r="U66" s="234"/>
      <c r="V66" s="234"/>
      <c r="W66" s="234"/>
      <c r="X66" s="234"/>
      <c r="Y66" s="234"/>
      <c r="Z66" s="234"/>
      <c r="AA66" s="234"/>
      <c r="AB66" s="234">
        <f>SUM(AB60:AB65)</f>
        <v>634661</v>
      </c>
      <c r="AC66" s="43"/>
      <c r="AD66" s="22"/>
    </row>
    <row r="67" spans="1:30" x14ac:dyDescent="0.3">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1" t="s">
        <v>21</v>
      </c>
      <c r="C69" s="101"/>
      <c r="D69" s="102"/>
      <c r="E69" s="102"/>
      <c r="F69" s="102"/>
      <c r="G69" s="102"/>
      <c r="H69" s="103"/>
      <c r="I69" s="102"/>
      <c r="J69" s="104"/>
      <c r="K69" s="102"/>
      <c r="L69" s="102"/>
      <c r="M69" s="102"/>
      <c r="N69" s="102"/>
      <c r="O69" s="102"/>
      <c r="P69" s="102"/>
      <c r="Q69" s="102"/>
      <c r="R69" s="103" t="s">
        <v>64</v>
      </c>
      <c r="S69" s="102"/>
      <c r="T69" s="104">
        <f>+Z244</f>
        <v>44895</v>
      </c>
      <c r="U69" s="102"/>
      <c r="V69" s="102"/>
      <c r="W69" s="102"/>
      <c r="X69" s="102"/>
      <c r="Y69" s="102"/>
      <c r="Z69" s="102" t="s">
        <v>73</v>
      </c>
      <c r="AA69" s="102"/>
      <c r="AB69" s="102"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3</v>
      </c>
      <c r="AA70" s="37"/>
      <c r="AB70" s="106">
        <v>0</v>
      </c>
      <c r="AC70" s="21"/>
      <c r="AD70" s="22"/>
    </row>
    <row r="71" spans="1:30" s="23" customFormat="1" x14ac:dyDescent="0.3">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296</v>
      </c>
      <c r="AA71" s="40"/>
      <c r="AB71" s="97"/>
      <c r="AC71" s="43"/>
      <c r="AD71" s="22"/>
    </row>
    <row r="72" spans="1:30" s="23" customFormat="1" x14ac:dyDescent="0.3">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-Z71+283</f>
        <v>-13</v>
      </c>
      <c r="AA72" s="40"/>
      <c r="AB72" s="97"/>
      <c r="AC72" s="43"/>
      <c r="AD72" s="22"/>
    </row>
    <row r="73" spans="1:30" s="23" customFormat="1" x14ac:dyDescent="0.3">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23570</v>
      </c>
      <c r="AA73" s="40"/>
      <c r="AB73" s="97"/>
      <c r="AC73" s="43"/>
      <c r="AD73" s="22"/>
    </row>
    <row r="74" spans="1:30" s="23" customFormat="1" x14ac:dyDescent="0.3">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6758+151-717-16</f>
        <v>6176</v>
      </c>
      <c r="AC74" s="43"/>
      <c r="AD74" s="22"/>
    </row>
    <row r="75" spans="1:30" s="23" customFormat="1" x14ac:dyDescent="0.3">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498+1</f>
        <v>499</v>
      </c>
      <c r="AC75" s="43"/>
      <c r="AD75" s="22"/>
    </row>
    <row r="76" spans="1:30" s="23" customFormat="1" x14ac:dyDescent="0.3">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116</v>
      </c>
      <c r="AC76" s="43"/>
      <c r="AD76" s="22"/>
    </row>
    <row r="77" spans="1:30" s="23" customFormat="1" x14ac:dyDescent="0.3">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289</v>
      </c>
      <c r="AC78" s="43"/>
      <c r="AD78" s="22"/>
    </row>
    <row r="79" spans="1:30" s="23" customFormat="1" x14ac:dyDescent="0.3">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1847</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23856</v>
      </c>
      <c r="AA83" s="40"/>
      <c r="AB83" s="96">
        <f>SUM(AB70:AB82)</f>
        <v>8927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23856</v>
      </c>
      <c r="AA86" s="40"/>
      <c r="AB86" s="96">
        <f>AB83+AB84+AB85</f>
        <v>8927</v>
      </c>
      <c r="AC86" s="43"/>
      <c r="AD86" s="22"/>
    </row>
    <row r="87" spans="1:30" x14ac:dyDescent="0.3">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-328-12-9</f>
        <v>-349</v>
      </c>
      <c r="AC90" s="113"/>
      <c r="AD90" s="5"/>
    </row>
    <row r="91" spans="1:30" x14ac:dyDescent="0.3">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2925</v>
      </c>
      <c r="AC91" s="113"/>
      <c r="AD91" s="5"/>
    </row>
    <row r="92" spans="1:30" x14ac:dyDescent="0.3">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-4691</v>
      </c>
      <c r="AC92" s="113"/>
      <c r="AD92" s="5"/>
    </row>
    <row r="93" spans="1:30" x14ac:dyDescent="0.3">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-371</v>
      </c>
      <c r="AC93" s="113"/>
      <c r="AD93" s="5"/>
    </row>
    <row r="94" spans="1:30" x14ac:dyDescent="0.3">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-219</v>
      </c>
      <c r="AC95" s="113"/>
      <c r="AD95" s="5"/>
    </row>
    <row r="96" spans="1:30" x14ac:dyDescent="0.3">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-195</v>
      </c>
      <c r="AC96" s="113"/>
      <c r="AD96" s="5"/>
    </row>
    <row r="97" spans="1:30" x14ac:dyDescent="0.3">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-241</v>
      </c>
      <c r="AC106" s="113"/>
      <c r="AD106" s="5"/>
    </row>
    <row r="107" spans="1:30" x14ac:dyDescent="0.3">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-158</v>
      </c>
      <c r="AC107" s="113"/>
      <c r="AD107" s="5"/>
    </row>
    <row r="108" spans="1:30" x14ac:dyDescent="0.3">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-289</v>
      </c>
      <c r="AC108" s="113"/>
      <c r="AD108" s="5"/>
    </row>
    <row r="109" spans="1:30" x14ac:dyDescent="0.3">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-13-63</f>
        <v>-76</v>
      </c>
      <c r="AC112" s="113"/>
      <c r="AD112" s="5"/>
    </row>
    <row r="113" spans="1:30" x14ac:dyDescent="0.3">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-2733</v>
      </c>
      <c r="AC114" s="113"/>
      <c r="AD114" s="5"/>
    </row>
    <row r="115" spans="1:30" x14ac:dyDescent="0.3">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-23855</v>
      </c>
      <c r="AA122" s="96"/>
      <c r="AB122" s="97"/>
      <c r="AC122" s="43"/>
      <c r="AD122" s="22"/>
    </row>
    <row r="123" spans="1:30" s="23" customFormat="1" x14ac:dyDescent="0.3">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-23855</v>
      </c>
      <c r="AA128" s="96"/>
      <c r="AB128" s="96">
        <f>SUM(AB87:AB126)</f>
        <v>-8927</v>
      </c>
      <c r="AC128" s="43"/>
      <c r="AD128" s="22"/>
    </row>
    <row r="129" spans="1:30" s="23" customFormat="1" x14ac:dyDescent="0.3">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2</v>
      </c>
      <c r="AA129" s="96"/>
      <c r="AB129" s="96">
        <f>AB86+AB128</f>
        <v>0</v>
      </c>
      <c r="AC129" s="43"/>
      <c r="AD129" s="22"/>
    </row>
    <row r="130" spans="1:30" s="23" customFormat="1" x14ac:dyDescent="0.3">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8.600000000000001" thickBot="1" x14ac:dyDescent="0.4">
      <c r="A132" s="82"/>
      <c r="B132" s="83" t="str">
        <f>B53</f>
        <v>PM28 INVESTOR REPORT QUARTER ENDING NOVEMBER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22'!AB144</f>
        <v>9301.14</v>
      </c>
      <c r="AC137" s="43"/>
      <c r="AD137" s="22"/>
    </row>
    <row r="138" spans="1:30" s="23" customFormat="1" x14ac:dyDescent="0.3">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-289</v>
      </c>
      <c r="AC143" s="43"/>
      <c r="AD143" s="22"/>
    </row>
    <row r="144" spans="1:30" s="23" customFormat="1" x14ac:dyDescent="0.3">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9012.14</v>
      </c>
      <c r="AC144" s="43"/>
      <c r="AD144" s="22"/>
    </row>
    <row r="145" spans="1:31" x14ac:dyDescent="0.3">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22'!AB157</f>
        <v>594.95999999999992</v>
      </c>
      <c r="AC148" s="43"/>
      <c r="AD148" s="22"/>
      <c r="AE148" s="114"/>
    </row>
    <row r="149" spans="1:31" s="23" customFormat="1" x14ac:dyDescent="0.3">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22'!AB163</f>
        <v>579</v>
      </c>
      <c r="AC160" s="131"/>
      <c r="AD160" s="22"/>
    </row>
    <row r="161" spans="1:262" s="23" customFormat="1" x14ac:dyDescent="0.3">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X64+283</f>
        <v>-13</v>
      </c>
      <c r="AC161" s="131"/>
      <c r="AD161" s="22"/>
    </row>
    <row r="162" spans="1:262" s="23" customFormat="1" x14ac:dyDescent="0.3">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-283</v>
      </c>
      <c r="AC162" s="131"/>
      <c r="AD162" s="306"/>
    </row>
    <row r="163" spans="1:262" s="23" customFormat="1" x14ac:dyDescent="0.3">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AB160+AB161+AB162+1</f>
        <v>284</v>
      </c>
      <c r="AC163" s="131"/>
      <c r="AD163" s="22"/>
    </row>
    <row r="164" spans="1:262" x14ac:dyDescent="0.3">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2" thickBot="1" x14ac:dyDescent="0.35">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2" thickBot="1" x14ac:dyDescent="0.35">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2" thickBot="1" x14ac:dyDescent="0.35">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22'!AB196</f>
        <v>3566</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2490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1847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4209</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2" thickBot="1" x14ac:dyDescent="0.35">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22'!AB204</f>
        <v>2544</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2490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2554</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2" thickBot="1" x14ac:dyDescent="0.35">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22'!AB212</f>
        <v>0</v>
      </c>
      <c r="AC209" s="43"/>
      <c r="AD209" s="5"/>
    </row>
    <row r="210" spans="1:262" x14ac:dyDescent="0.3">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2" thickBot="1" x14ac:dyDescent="0.35">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22'!Y219</f>
        <v>0</v>
      </c>
      <c r="Z217" s="97">
        <f>+'August 22'!Z219</f>
        <v>472</v>
      </c>
      <c r="AA217" s="40"/>
      <c r="AB217" s="97">
        <f>Y217+Z217</f>
        <v>472</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13</v>
      </c>
      <c r="AA218" s="40"/>
      <c r="AB218" s="97">
        <f>Y218+Z218</f>
        <v>13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485</v>
      </c>
      <c r="AA219" s="40"/>
      <c r="AB219" s="97">
        <f>Y219+Z219</f>
        <v>485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2" thickBot="1" x14ac:dyDescent="0.35">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614355</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-5455</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2" thickBot="1" x14ac:dyDescent="0.35">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2.4517160520144961</v>
      </c>
      <c r="AC231" s="43" t="s">
        <v>81</v>
      </c>
      <c r="AD231" s="22"/>
    </row>
    <row r="232" spans="1:262" s="23" customFormat="1" x14ac:dyDescent="0.3">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3.1</v>
      </c>
      <c r="AC232" s="43" t="s">
        <v>81</v>
      </c>
      <c r="AD232" s="22"/>
    </row>
    <row r="233" spans="1:262" s="23" customFormat="1" x14ac:dyDescent="0.3">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18.355795148247978</v>
      </c>
      <c r="AC233" s="43" t="s">
        <v>81</v>
      </c>
      <c r="AD233" s="22"/>
    </row>
    <row r="234" spans="1:262" s="23" customFormat="1" x14ac:dyDescent="0.3">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24.87</v>
      </c>
      <c r="AC234" s="43" t="s">
        <v>81</v>
      </c>
      <c r="AD234" s="22"/>
    </row>
    <row r="235" spans="1:262" s="23" customFormat="1" x14ac:dyDescent="0.3">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29.401826484018265</v>
      </c>
      <c r="AC235" s="43" t="s">
        <v>81</v>
      </c>
      <c r="AD235" s="22"/>
    </row>
    <row r="236" spans="1:262" s="23" customFormat="1" x14ac:dyDescent="0.3">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37.93</v>
      </c>
      <c r="AC236" s="43" t="s">
        <v>81</v>
      </c>
      <c r="AD236" s="22"/>
    </row>
    <row r="237" spans="1:262" s="23" customFormat="1" x14ac:dyDescent="0.3">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31.897435897435898</v>
      </c>
      <c r="AC237" s="43" t="s">
        <v>81</v>
      </c>
      <c r="AD237" s="22"/>
    </row>
    <row r="238" spans="1:262" s="23" customFormat="1" x14ac:dyDescent="0.3">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39.08</v>
      </c>
      <c r="AC238" s="43" t="s">
        <v>81</v>
      </c>
      <c r="AD238" s="22"/>
    </row>
    <row r="239" spans="1:262" s="23" customFormat="1" x14ac:dyDescent="0.3">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v>
      </c>
      <c r="AC239" s="43" t="s">
        <v>81</v>
      </c>
      <c r="AD239" s="22"/>
    </row>
    <row r="240" spans="1:262" s="23" customFormat="1" x14ac:dyDescent="0.3">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27.39</v>
      </c>
      <c r="AC240" s="43" t="s">
        <v>81</v>
      </c>
      <c r="AD240" s="22"/>
    </row>
    <row r="241" spans="1:30" s="23" customFormat="1" x14ac:dyDescent="0.3">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8.600000000000001" thickBot="1" x14ac:dyDescent="0.4">
      <c r="A243" s="82"/>
      <c r="B243" s="83" t="str">
        <f>B132</f>
        <v>PM28 INVESTOR REPORT QUARTER ENDING NOVEMBER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44895</v>
      </c>
      <c r="AA244" s="120"/>
      <c r="AB244" s="120"/>
      <c r="AC244" s="122"/>
      <c r="AD244" s="5"/>
    </row>
    <row r="245" spans="1:30" x14ac:dyDescent="0.3">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3.6767702922329629E-2</v>
      </c>
      <c r="AA249" s="40"/>
      <c r="AB249" s="40"/>
      <c r="AC249" s="43"/>
      <c r="AD249" s="22"/>
    </row>
    <row r="250" spans="1:30" s="23" customFormat="1" x14ac:dyDescent="0.3">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3.4815217688956575E-2</v>
      </c>
      <c r="AA250" s="40"/>
      <c r="AB250" s="40"/>
      <c r="AC250" s="43"/>
      <c r="AD250" s="22"/>
    </row>
    <row r="251" spans="1:30" s="23" customFormat="1" x14ac:dyDescent="0.3">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1.9524852333730539E-3</v>
      </c>
      <c r="AA251" s="40"/>
      <c r="AB251" s="40"/>
      <c r="AC251" s="43"/>
      <c r="AD251" s="22"/>
    </row>
    <row r="252" spans="1:30" s="23" customFormat="1" x14ac:dyDescent="0.3">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1.799807141826686E-2</v>
      </c>
      <c r="AA252" s="40"/>
      <c r="AB252" s="40"/>
      <c r="AC252" s="43"/>
      <c r="AD252" s="22"/>
    </row>
    <row r="253" spans="1:30" s="23" customFormat="1" x14ac:dyDescent="0.3">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19.23</v>
      </c>
      <c r="AA261" s="40" t="s">
        <v>76</v>
      </c>
      <c r="AB261" s="40"/>
      <c r="AC261" s="43"/>
      <c r="AD261" s="22"/>
    </row>
    <row r="262" spans="1:30" s="23" customFormat="1" x14ac:dyDescent="0.3">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3.5794173253456643E-2</v>
      </c>
      <c r="AA262" s="40"/>
      <c r="AB262" s="40"/>
      <c r="AC262" s="43"/>
      <c r="AD262" s="22"/>
    </row>
    <row r="263" spans="1:30" s="23" customFormat="1" x14ac:dyDescent="0.3">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5.91E-2</v>
      </c>
      <c r="AA263" s="40"/>
      <c r="AB263" s="40"/>
      <c r="AC263" s="43"/>
      <c r="AD263" s="22"/>
    </row>
    <row r="264" spans="1:30" x14ac:dyDescent="0.3">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22'!Z273</f>
        <v>14</v>
      </c>
      <c r="AA273" s="40"/>
      <c r="AB273" s="160"/>
      <c r="AC273" s="172"/>
      <c r="AD273" s="22"/>
    </row>
    <row r="274" spans="1:30" x14ac:dyDescent="0.3">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 x14ac:dyDescent="0.3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 x14ac:dyDescent="0.3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3309</v>
      </c>
      <c r="Y286" s="189">
        <f>X286/$X$295</f>
        <v>1</v>
      </c>
      <c r="Z286" s="106">
        <f t="shared" ref="Z286:Z293" si="1">+Z298+Z310+Z332</f>
        <v>634375</v>
      </c>
      <c r="AA286" s="189">
        <f>Z286/$Z$295</f>
        <v>1</v>
      </c>
      <c r="AB286" s="155"/>
      <c r="AC286" s="190"/>
      <c r="AD286" s="22"/>
    </row>
    <row r="287" spans="1:30" s="23" customFormat="1" x14ac:dyDescent="0.3">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3309</v>
      </c>
      <c r="Y295" s="195">
        <f>SUM(Y286:Y294)</f>
        <v>1</v>
      </c>
      <c r="Z295" s="97">
        <f>SUM(Z286:Z294)</f>
        <v>634375</v>
      </c>
      <c r="AA295" s="195">
        <f>SUM(AA286:AA294)</f>
        <v>1</v>
      </c>
      <c r="AB295" s="40"/>
      <c r="AC295" s="43"/>
      <c r="AD295" s="22"/>
    </row>
    <row r="296" spans="1:31" x14ac:dyDescent="0.3">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3309</v>
      </c>
      <c r="Y298" s="189">
        <f>X298/$X$307</f>
        <v>1</v>
      </c>
      <c r="Z298" s="106">
        <v>634375</v>
      </c>
      <c r="AA298" s="189">
        <f>Z298/$Z$307</f>
        <v>1</v>
      </c>
      <c r="AB298" s="155"/>
      <c r="AC298" s="190"/>
      <c r="AD298" s="22"/>
    </row>
    <row r="299" spans="1:31" s="23" customFormat="1" x14ac:dyDescent="0.3">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3309</v>
      </c>
      <c r="Y307" s="195">
        <f>SUM(Y298:Y306)</f>
        <v>1</v>
      </c>
      <c r="Z307" s="97">
        <f>SUM(Z298:Z306)</f>
        <v>634375</v>
      </c>
      <c r="AA307" s="195">
        <f>SUM(AA298:AA306)</f>
        <v>1</v>
      </c>
      <c r="AB307" s="40"/>
      <c r="AC307" s="43"/>
      <c r="AD307" s="22"/>
    </row>
    <row r="308" spans="1:31" x14ac:dyDescent="0.3">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3309</v>
      </c>
      <c r="Y343" s="195"/>
      <c r="Z343" s="208">
        <f>+Z341+Z319+Z307</f>
        <v>634375</v>
      </c>
      <c r="AA343" s="195"/>
      <c r="AB343" s="40"/>
      <c r="AC343" s="43"/>
      <c r="AD343" s="22"/>
    </row>
    <row r="344" spans="1:30" s="23" customFormat="1" x14ac:dyDescent="0.3">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286</v>
      </c>
      <c r="AA344" s="195"/>
      <c r="AB344" s="40"/>
      <c r="AC344" s="43"/>
      <c r="AD344" s="22"/>
    </row>
    <row r="345" spans="1:30" s="23" customFormat="1" x14ac:dyDescent="0.3">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634661</v>
      </c>
      <c r="AA345" s="195"/>
      <c r="AB345" s="40"/>
      <c r="AC345" s="43"/>
      <c r="AD345" s="22"/>
    </row>
    <row r="346" spans="1:30" s="23" customFormat="1" x14ac:dyDescent="0.3">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634661</v>
      </c>
      <c r="AA346" s="195"/>
      <c r="AB346" s="40"/>
      <c r="AC346" s="43"/>
      <c r="AD346" s="22"/>
    </row>
    <row r="347" spans="1:30" s="23" customFormat="1" x14ac:dyDescent="0.3">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 x14ac:dyDescent="0.3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 x14ac:dyDescent="0.3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8.600000000000001" thickBot="1" x14ac:dyDescent="0.4">
      <c r="A357" s="215"/>
      <c r="B357" s="219" t="str">
        <f>B243</f>
        <v>PM28 INVESTOR REPORT QUARTER ENDING NOVEMBER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
      <c r="B359" s="273" t="s">
        <v>349</v>
      </c>
    </row>
    <row r="360" spans="1:30" x14ac:dyDescent="0.3">
      <c r="B360" s="265" t="s">
        <v>352</v>
      </c>
    </row>
    <row r="361" spans="1:30" x14ac:dyDescent="0.3">
      <c r="B361" s="305" t="s">
        <v>348</v>
      </c>
    </row>
  </sheetData>
  <hyperlinks>
    <hyperlink ref="K9" r:id="rId1" display="http://www.paragon-group.co.uk" xr:uid="{06D544AA-F5DE-488B-AEED-ECEC35E1DA7D}"/>
    <hyperlink ref="P355" r:id="rId2" xr:uid="{FFDDAC17-1984-46AE-BFEB-74901775375F}"/>
    <hyperlink ref="P283" r:id="rId3" xr:uid="{74DE539C-8415-4B03-8A5D-1737FAC8996F}"/>
    <hyperlink ref="B361" r:id="rId4" display="https://investorreporting.paragonbankinggroup.co.uk/bondinvestor_viewer/resources/bondinvestor/pdf/investornews/2021/libor-mortgages-transition-july-19" xr:uid="{CB147307-A032-4431-A4A4-DB3E6AAD77E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75</vt:i4>
      </vt:variant>
    </vt:vector>
  </HeadingPairs>
  <TitlesOfParts>
    <vt:vector size="90" baseType="lpstr">
      <vt:lpstr>November 20</vt:lpstr>
      <vt:lpstr>February 21</vt:lpstr>
      <vt:lpstr>May 21</vt:lpstr>
      <vt:lpstr>August 21</vt:lpstr>
      <vt:lpstr>November 21</vt:lpstr>
      <vt:lpstr>February 22</vt:lpstr>
      <vt:lpstr>May 22</vt:lpstr>
      <vt:lpstr>August 22</vt:lpstr>
      <vt:lpstr>November 22</vt:lpstr>
      <vt:lpstr>February 23</vt:lpstr>
      <vt:lpstr>May 23</vt:lpstr>
      <vt:lpstr>August 23</vt:lpstr>
      <vt:lpstr>November 23</vt:lpstr>
      <vt:lpstr>February 24</vt:lpstr>
      <vt:lpstr>May 24</vt:lpstr>
      <vt:lpstr>'August 21'!_1PAGE_1</vt:lpstr>
      <vt:lpstr>'August 22'!_1PAGE_1</vt:lpstr>
      <vt:lpstr>'August 23'!_1PAGE_1</vt:lpstr>
      <vt:lpstr>'February 21'!_1PAGE_1</vt:lpstr>
      <vt:lpstr>'February 22'!_1PAGE_1</vt:lpstr>
      <vt:lpstr>'February 23'!_1PAGE_1</vt:lpstr>
      <vt:lpstr>'February 24'!_1PAGE_1</vt:lpstr>
      <vt:lpstr>'May 21'!_1PAGE_1</vt:lpstr>
      <vt:lpstr>'May 22'!_1PAGE_1</vt:lpstr>
      <vt:lpstr>'May 23'!_1PAGE_1</vt:lpstr>
      <vt:lpstr>'May 24'!_1PAGE_1</vt:lpstr>
      <vt:lpstr>'November 20'!_1PAGE_1</vt:lpstr>
      <vt:lpstr>'November 21'!_1PAGE_1</vt:lpstr>
      <vt:lpstr>'November 22'!_1PAGE_1</vt:lpstr>
      <vt:lpstr>'November 23'!_1PAGE_1</vt:lpstr>
      <vt:lpstr>'August 21'!_3PAGE_2</vt:lpstr>
      <vt:lpstr>'August 22'!_3PAGE_2</vt:lpstr>
      <vt:lpstr>'August 23'!_3PAGE_2</vt:lpstr>
      <vt:lpstr>'February 21'!_3PAGE_2</vt:lpstr>
      <vt:lpstr>'February 22'!_3PAGE_2</vt:lpstr>
      <vt:lpstr>'February 23'!_3PAGE_2</vt:lpstr>
      <vt:lpstr>'February 24'!_3PAGE_2</vt:lpstr>
      <vt:lpstr>'May 21'!_3PAGE_2</vt:lpstr>
      <vt:lpstr>'May 22'!_3PAGE_2</vt:lpstr>
      <vt:lpstr>'May 23'!_3PAGE_2</vt:lpstr>
      <vt:lpstr>'May 24'!_3PAGE_2</vt:lpstr>
      <vt:lpstr>'November 20'!_3PAGE_2</vt:lpstr>
      <vt:lpstr>'November 21'!_3PAGE_2</vt:lpstr>
      <vt:lpstr>'November 22'!_3PAGE_2</vt:lpstr>
      <vt:lpstr>'November 23'!_3PAGE_2</vt:lpstr>
      <vt:lpstr>'August 21'!_5PAGE_3</vt:lpstr>
      <vt:lpstr>'August 22'!_5PAGE_3</vt:lpstr>
      <vt:lpstr>'August 23'!_5PAGE_3</vt:lpstr>
      <vt:lpstr>'February 21'!_5PAGE_3</vt:lpstr>
      <vt:lpstr>'February 22'!_5PAGE_3</vt:lpstr>
      <vt:lpstr>'February 23'!_5PAGE_3</vt:lpstr>
      <vt:lpstr>'February 24'!_5PAGE_3</vt:lpstr>
      <vt:lpstr>'May 21'!_5PAGE_3</vt:lpstr>
      <vt:lpstr>'May 22'!_5PAGE_3</vt:lpstr>
      <vt:lpstr>'May 23'!_5PAGE_3</vt:lpstr>
      <vt:lpstr>'May 24'!_5PAGE_3</vt:lpstr>
      <vt:lpstr>'November 20'!_5PAGE_3</vt:lpstr>
      <vt:lpstr>'November 21'!_5PAGE_3</vt:lpstr>
      <vt:lpstr>'November 22'!_5PAGE_3</vt:lpstr>
      <vt:lpstr>'November 23'!_5PAGE_3</vt:lpstr>
      <vt:lpstr>'August 21'!_7PAGE_4</vt:lpstr>
      <vt:lpstr>'August 22'!_7PAGE_4</vt:lpstr>
      <vt:lpstr>'August 23'!_7PAGE_4</vt:lpstr>
      <vt:lpstr>'February 21'!_7PAGE_4</vt:lpstr>
      <vt:lpstr>'February 22'!_7PAGE_4</vt:lpstr>
      <vt:lpstr>'February 23'!_7PAGE_4</vt:lpstr>
      <vt:lpstr>'February 24'!_7PAGE_4</vt:lpstr>
      <vt:lpstr>'May 21'!_7PAGE_4</vt:lpstr>
      <vt:lpstr>'May 22'!_7PAGE_4</vt:lpstr>
      <vt:lpstr>'May 23'!_7PAGE_4</vt:lpstr>
      <vt:lpstr>'May 24'!_7PAGE_4</vt:lpstr>
      <vt:lpstr>'November 20'!_7PAGE_4</vt:lpstr>
      <vt:lpstr>'November 21'!_7PAGE_4</vt:lpstr>
      <vt:lpstr>'November 22'!_7PAGE_4</vt:lpstr>
      <vt:lpstr>'November 23'!_7PAGE_4</vt:lpstr>
      <vt:lpstr>'August 21'!Print_Area</vt:lpstr>
      <vt:lpstr>'August 22'!Print_Area</vt:lpstr>
      <vt:lpstr>'August 23'!Print_Area</vt:lpstr>
      <vt:lpstr>'February 21'!Print_Area</vt:lpstr>
      <vt:lpstr>'February 22'!Print_Area</vt:lpstr>
      <vt:lpstr>'February 23'!Print_Area</vt:lpstr>
      <vt:lpstr>'February 24'!Print_Area</vt:lpstr>
      <vt:lpstr>'May 21'!Print_Area</vt:lpstr>
      <vt:lpstr>'May 22'!Print_Area</vt:lpstr>
      <vt:lpstr>'May 23'!Print_Area</vt:lpstr>
      <vt:lpstr>'May 24'!Print_Area</vt:lpstr>
      <vt:lpstr>'November 20'!Print_Area</vt:lpstr>
      <vt:lpstr>'November 21'!Print_Area</vt:lpstr>
      <vt:lpstr>'November 22'!Print_Area</vt:lpstr>
      <vt:lpstr>'November 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2019-11-26T09:11:43Z</cp:lastPrinted>
  <dcterms:created xsi:type="dcterms:W3CDTF">2003-11-18T07:58:35Z</dcterms:created>
  <dcterms:modified xsi:type="dcterms:W3CDTF">2024-06-17T07:50:22Z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