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N:\JPG\Investor Reporting\Paragon Finance\PM26\"/>
    </mc:Choice>
  </mc:AlternateContent>
  <xr:revisionPtr revIDLastSave="0" documentId="13_ncr:1_{879DA624-F556-4A13-89F8-D4AB32FE2AD9}" xr6:coauthVersionLast="47" xr6:coauthVersionMax="47" xr10:uidLastSave="{00000000-0000-0000-0000-000000000000}"/>
  <bookViews>
    <workbookView xWindow="20052" yWindow="-108" windowWidth="20376" windowHeight="12216" firstSheet="11" activeTab="18" xr2:uid="{00000000-000D-0000-FFFF-FFFF00000000}"/>
  </bookViews>
  <sheets>
    <sheet name="October 19" sheetId="18" r:id="rId1"/>
    <sheet name="January 20" sheetId="19" r:id="rId2"/>
    <sheet name="April 20" sheetId="20" r:id="rId3"/>
    <sheet name="July 20" sheetId="21" r:id="rId4"/>
    <sheet name="October 20" sheetId="22" r:id="rId5"/>
    <sheet name="January 21" sheetId="23" r:id="rId6"/>
    <sheet name="April 21" sheetId="24" r:id="rId7"/>
    <sheet name="July 21" sheetId="25" r:id="rId8"/>
    <sheet name="October 21" sheetId="26" r:id="rId9"/>
    <sheet name="January 22" sheetId="27" r:id="rId10"/>
    <sheet name="April 22" sheetId="28" r:id="rId11"/>
    <sheet name="July 22" sheetId="29" r:id="rId12"/>
    <sheet name="October 22" sheetId="30" r:id="rId13"/>
    <sheet name="January 23" sheetId="31" r:id="rId14"/>
    <sheet name="April 23" sheetId="32" r:id="rId15"/>
    <sheet name="July 23" sheetId="33" r:id="rId16"/>
    <sheet name="October 23" sheetId="34" r:id="rId17"/>
    <sheet name="January 24" sheetId="35" r:id="rId18"/>
    <sheet name="April 24" sheetId="36" r:id="rId19"/>
  </sheets>
  <definedNames>
    <definedName name="_1PAGE_1" localSheetId="2">'April 20'!$A$1:$AC$54</definedName>
    <definedName name="_1PAGE_1" localSheetId="6">'April 21'!$A$1:$AC$54</definedName>
    <definedName name="_1PAGE_1" localSheetId="10">'April 22'!$A$1:$AC$54</definedName>
    <definedName name="_1PAGE_1" localSheetId="14">'April 23'!$A$1:$AC$54</definedName>
    <definedName name="_1PAGE_1" localSheetId="18">'April 24'!$A$1:$AC$54</definedName>
    <definedName name="_1PAGE_1" localSheetId="1">'January 20'!$A$1:$AC$54</definedName>
    <definedName name="_1PAGE_1" localSheetId="5">'January 21'!$A$1:$AC$54</definedName>
    <definedName name="_1PAGE_1" localSheetId="9">'January 22'!$A$1:$AC$54</definedName>
    <definedName name="_1PAGE_1" localSheetId="13">'January 23'!$A$1:$AC$54</definedName>
    <definedName name="_1PAGE_1" localSheetId="17">'January 24'!$A$1:$AC$54</definedName>
    <definedName name="_1PAGE_1" localSheetId="3">'July 20'!$A$1:$AC$54</definedName>
    <definedName name="_1PAGE_1" localSheetId="7">'July 21'!$A$1:$AC$54</definedName>
    <definedName name="_1PAGE_1" localSheetId="11">'July 22'!$A$1:$AC$54</definedName>
    <definedName name="_1PAGE_1" localSheetId="15">'July 23'!$A$1:$AC$54</definedName>
    <definedName name="_1PAGE_1" localSheetId="0">'October 19'!$A$1:$AC$54</definedName>
    <definedName name="_1PAGE_1" localSheetId="4">'October 20'!$A$1:$AC$54</definedName>
    <definedName name="_1PAGE_1" localSheetId="8">'October 21'!$A$1:$AC$54</definedName>
    <definedName name="_1PAGE_1" localSheetId="12">'October 22'!$A$1:$AC$54</definedName>
    <definedName name="_1PAGE_1" localSheetId="16">'October 23'!$A$1:$AC$54</definedName>
    <definedName name="_2PAGE_1" localSheetId="2">#REF!</definedName>
    <definedName name="_2PAGE_1" localSheetId="6">#REF!</definedName>
    <definedName name="_2PAGE_1" localSheetId="10">#REF!</definedName>
    <definedName name="_2PAGE_1" localSheetId="14">#REF!</definedName>
    <definedName name="_2PAGE_1" localSheetId="18">#REF!</definedName>
    <definedName name="_2PAGE_1" localSheetId="1">#REF!</definedName>
    <definedName name="_2PAGE_1" localSheetId="5">#REF!</definedName>
    <definedName name="_2PAGE_1" localSheetId="9">#REF!</definedName>
    <definedName name="_2PAGE_1" localSheetId="13">#REF!</definedName>
    <definedName name="_2PAGE_1" localSheetId="17">#REF!</definedName>
    <definedName name="_2PAGE_1" localSheetId="3">#REF!</definedName>
    <definedName name="_2PAGE_1" localSheetId="7">#REF!</definedName>
    <definedName name="_2PAGE_1" localSheetId="11">#REF!</definedName>
    <definedName name="_2PAGE_1" localSheetId="15">#REF!</definedName>
    <definedName name="_2PAGE_1" localSheetId="0">#REF!</definedName>
    <definedName name="_2PAGE_1" localSheetId="4">#REF!</definedName>
    <definedName name="_2PAGE_1" localSheetId="8">#REF!</definedName>
    <definedName name="_2PAGE_1" localSheetId="12">#REF!</definedName>
    <definedName name="_2PAGE_1" localSheetId="16">#REF!</definedName>
    <definedName name="_2PAGE_1">#REF!</definedName>
    <definedName name="_3PAGE_2" localSheetId="2">'April 20'!$A$55:$AC$134</definedName>
    <definedName name="_3PAGE_2" localSheetId="6">'April 21'!$A$55:$AC$134</definedName>
    <definedName name="_3PAGE_2" localSheetId="10">'April 22'!$A$55:$AC$134</definedName>
    <definedName name="_3PAGE_2" localSheetId="14">'April 23'!$A$55:$AC$134</definedName>
    <definedName name="_3PAGE_2" localSheetId="18">'April 24'!$A$55:$AC$134</definedName>
    <definedName name="_3PAGE_2" localSheetId="1">'January 20'!$A$55:$AC$134</definedName>
    <definedName name="_3PAGE_2" localSheetId="5">'January 21'!$A$55:$AC$134</definedName>
    <definedName name="_3PAGE_2" localSheetId="9">'January 22'!$A$55:$AC$134</definedName>
    <definedName name="_3PAGE_2" localSheetId="13">'January 23'!$A$55:$AC$134</definedName>
    <definedName name="_3PAGE_2" localSheetId="17">'January 24'!$A$55:$AC$134</definedName>
    <definedName name="_3PAGE_2" localSheetId="3">'July 20'!$A$55:$AC$134</definedName>
    <definedName name="_3PAGE_2" localSheetId="7">'July 21'!$A$55:$AC$134</definedName>
    <definedName name="_3PAGE_2" localSheetId="11">'July 22'!$A$55:$AC$134</definedName>
    <definedName name="_3PAGE_2" localSheetId="15">'July 23'!$A$55:$AC$134</definedName>
    <definedName name="_3PAGE_2" localSheetId="0">'October 19'!$A$55:$AC$134</definedName>
    <definedName name="_3PAGE_2" localSheetId="4">'October 20'!$A$55:$AC$134</definedName>
    <definedName name="_3PAGE_2" localSheetId="8">'October 21'!$A$55:$AC$134</definedName>
    <definedName name="_3PAGE_2" localSheetId="12">'October 22'!$A$55:$AC$134</definedName>
    <definedName name="_3PAGE_2" localSheetId="16">'October 23'!$A$55:$AC$134</definedName>
    <definedName name="_4PAGE_2" localSheetId="2">#REF!</definedName>
    <definedName name="_4PAGE_2" localSheetId="6">#REF!</definedName>
    <definedName name="_4PAGE_2" localSheetId="10">#REF!</definedName>
    <definedName name="_4PAGE_2" localSheetId="14">#REF!</definedName>
    <definedName name="_4PAGE_2" localSheetId="18">#REF!</definedName>
    <definedName name="_4PAGE_2" localSheetId="1">#REF!</definedName>
    <definedName name="_4PAGE_2" localSheetId="5">#REF!</definedName>
    <definedName name="_4PAGE_2" localSheetId="9">#REF!</definedName>
    <definedName name="_4PAGE_2" localSheetId="13">#REF!</definedName>
    <definedName name="_4PAGE_2" localSheetId="17">#REF!</definedName>
    <definedName name="_4PAGE_2" localSheetId="3">#REF!</definedName>
    <definedName name="_4PAGE_2" localSheetId="7">#REF!</definedName>
    <definedName name="_4PAGE_2" localSheetId="11">#REF!</definedName>
    <definedName name="_4PAGE_2" localSheetId="15">#REF!</definedName>
    <definedName name="_4PAGE_2" localSheetId="0">#REF!</definedName>
    <definedName name="_4PAGE_2" localSheetId="4">#REF!</definedName>
    <definedName name="_4PAGE_2" localSheetId="8">#REF!</definedName>
    <definedName name="_4PAGE_2" localSheetId="12">#REF!</definedName>
    <definedName name="_4PAGE_2" localSheetId="16">#REF!</definedName>
    <definedName name="_4PAGE_2">#REF!</definedName>
    <definedName name="_5PAGE_3" localSheetId="2">'April 20'!$A$135:$AC$237</definedName>
    <definedName name="_5PAGE_3" localSheetId="6">'April 21'!$A$135:$AC$237</definedName>
    <definedName name="_5PAGE_3" localSheetId="10">'April 22'!$A$135:$AC$237</definedName>
    <definedName name="_5PAGE_3" localSheetId="14">'April 23'!$A$135:$AC$238</definedName>
    <definedName name="_5PAGE_3" localSheetId="18">'April 24'!$A$135:$AC$238</definedName>
    <definedName name="_5PAGE_3" localSheetId="1">'January 20'!$A$135:$AC$237</definedName>
    <definedName name="_5PAGE_3" localSheetId="5">'January 21'!$A$135:$AC$237</definedName>
    <definedName name="_5PAGE_3" localSheetId="9">'January 22'!$A$135:$AC$237</definedName>
    <definedName name="_5PAGE_3" localSheetId="13">'January 23'!$A$135:$AC$238</definedName>
    <definedName name="_5PAGE_3" localSheetId="17">'January 24'!$A$135:$AC$238</definedName>
    <definedName name="_5PAGE_3" localSheetId="3">'July 20'!$A$135:$AC$237</definedName>
    <definedName name="_5PAGE_3" localSheetId="7">'July 21'!$A$135:$AC$237</definedName>
    <definedName name="_5PAGE_3" localSheetId="11">'July 22'!$A$135:$AC$237</definedName>
    <definedName name="_5PAGE_3" localSheetId="15">'July 23'!$A$135:$AC$238</definedName>
    <definedName name="_5PAGE_3" localSheetId="0">'October 19'!$A$135:$AC$237</definedName>
    <definedName name="_5PAGE_3" localSheetId="4">'October 20'!$A$135:$AC$237</definedName>
    <definedName name="_5PAGE_3" localSheetId="8">'October 21'!$A$135:$AC$237</definedName>
    <definedName name="_5PAGE_3" localSheetId="12">'October 22'!$A$135:$AC$238</definedName>
    <definedName name="_5PAGE_3" localSheetId="16">'October 23'!$A$135:$AC$238</definedName>
    <definedName name="_6PAGE_3" localSheetId="2">#REF!</definedName>
    <definedName name="_6PAGE_3" localSheetId="6">#REF!</definedName>
    <definedName name="_6PAGE_3" localSheetId="10">#REF!</definedName>
    <definedName name="_6PAGE_3" localSheetId="14">#REF!</definedName>
    <definedName name="_6PAGE_3" localSheetId="18">#REF!</definedName>
    <definedName name="_6PAGE_3" localSheetId="1">#REF!</definedName>
    <definedName name="_6PAGE_3" localSheetId="5">#REF!</definedName>
    <definedName name="_6PAGE_3" localSheetId="9">#REF!</definedName>
    <definedName name="_6PAGE_3" localSheetId="13">#REF!</definedName>
    <definedName name="_6PAGE_3" localSheetId="17">#REF!</definedName>
    <definedName name="_6PAGE_3" localSheetId="3">#REF!</definedName>
    <definedName name="_6PAGE_3" localSheetId="7">#REF!</definedName>
    <definedName name="_6PAGE_3" localSheetId="11">#REF!</definedName>
    <definedName name="_6PAGE_3" localSheetId="15">#REF!</definedName>
    <definedName name="_6PAGE_3" localSheetId="0">#REF!</definedName>
    <definedName name="_6PAGE_3" localSheetId="4">#REF!</definedName>
    <definedName name="_6PAGE_3" localSheetId="8">#REF!</definedName>
    <definedName name="_6PAGE_3" localSheetId="12">#REF!</definedName>
    <definedName name="_6PAGE_3" localSheetId="16">#REF!</definedName>
    <definedName name="_6PAGE_3">#REF!</definedName>
    <definedName name="_7PAGE_4" localSheetId="2">'April 20'!$A$238:$AC$366</definedName>
    <definedName name="_7PAGE_4" localSheetId="6">'April 21'!$A$238:$AC$368</definedName>
    <definedName name="_7PAGE_4" localSheetId="10">'April 22'!$A$238:$AC$351</definedName>
    <definedName name="_7PAGE_4" localSheetId="14">'April 23'!$A$239:$AC$352</definedName>
    <definedName name="_7PAGE_4" localSheetId="18">'April 24'!$A$239:$AC$352</definedName>
    <definedName name="_7PAGE_4" localSheetId="1">'January 20'!$A$238:$AC$340</definedName>
    <definedName name="_7PAGE_4" localSheetId="5">'January 21'!$A$238:$AC$368</definedName>
    <definedName name="_7PAGE_4" localSheetId="9">'January 22'!$A$238:$AC$351</definedName>
    <definedName name="_7PAGE_4" localSheetId="13">'January 23'!$A$239:$AC$352</definedName>
    <definedName name="_7PAGE_4" localSheetId="17">'January 24'!$A$239:$AC$352</definedName>
    <definedName name="_7PAGE_4" localSheetId="3">'July 20'!$A$238:$AC$368</definedName>
    <definedName name="_7PAGE_4" localSheetId="7">'July 21'!$A$238:$AC$368</definedName>
    <definedName name="_7PAGE_4" localSheetId="11">'July 22'!$A$238:$AC$351</definedName>
    <definedName name="_7PAGE_4" localSheetId="15">'July 23'!$A$239:$AC$352</definedName>
    <definedName name="_7PAGE_4" localSheetId="0">'October 19'!$A$238:$AC$340</definedName>
    <definedName name="_7PAGE_4" localSheetId="4">'October 20'!$A$238:$AC$368</definedName>
    <definedName name="_7PAGE_4" localSheetId="8">'October 21'!$A$238:$AC$351</definedName>
    <definedName name="_7PAGE_4" localSheetId="12">'October 22'!$A$239:$AC$352</definedName>
    <definedName name="_7PAGE_4" localSheetId="16">'October 23'!$A$239:$AC$352</definedName>
    <definedName name="_8PAGE_4" localSheetId="2">#REF!</definedName>
    <definedName name="_8PAGE_4" localSheetId="6">#REF!</definedName>
    <definedName name="_8PAGE_4" localSheetId="10">#REF!</definedName>
    <definedName name="_8PAGE_4" localSheetId="14">#REF!</definedName>
    <definedName name="_8PAGE_4" localSheetId="18">#REF!</definedName>
    <definedName name="_8PAGE_4" localSheetId="1">#REF!</definedName>
    <definedName name="_8PAGE_4" localSheetId="5">#REF!</definedName>
    <definedName name="_8PAGE_4" localSheetId="9">#REF!</definedName>
    <definedName name="_8PAGE_4" localSheetId="13">#REF!</definedName>
    <definedName name="_8PAGE_4" localSheetId="17">#REF!</definedName>
    <definedName name="_8PAGE_4" localSheetId="3">#REF!</definedName>
    <definedName name="_8PAGE_4" localSheetId="7">#REF!</definedName>
    <definedName name="_8PAGE_4" localSheetId="11">#REF!</definedName>
    <definedName name="_8PAGE_4" localSheetId="15">#REF!</definedName>
    <definedName name="_8PAGE_4" localSheetId="0">#REF!</definedName>
    <definedName name="_8PAGE_4" localSheetId="4">#REF!</definedName>
    <definedName name="_8PAGE_4" localSheetId="8">#REF!</definedName>
    <definedName name="_8PAGE_4" localSheetId="12">#REF!</definedName>
    <definedName name="_8PAGE_4" localSheetId="16">#REF!</definedName>
    <definedName name="_8PAGE_4">#REF!</definedName>
    <definedName name="_xlnm.Print_Area" localSheetId="2">'April 20'!$A$1:$AC$367</definedName>
    <definedName name="_xlnm.Print_Area" localSheetId="6">'April 21'!$A$1:$AC$369</definedName>
    <definedName name="_xlnm.Print_Area" localSheetId="10">'April 22'!$A$1:$AC$352</definedName>
    <definedName name="_xlnm.Print_Area" localSheetId="14">'April 23'!$A$1:$AC$353</definedName>
    <definedName name="_xlnm.Print_Area" localSheetId="18">'April 24'!$A$1:$AC$353</definedName>
    <definedName name="_xlnm.Print_Area" localSheetId="1">'January 20'!$A$1:$AC$341</definedName>
    <definedName name="_xlnm.Print_Area" localSheetId="5">'January 21'!$A$1:$AC$369</definedName>
    <definedName name="_xlnm.Print_Area" localSheetId="9">'January 22'!$A$1:$AC$352</definedName>
    <definedName name="_xlnm.Print_Area" localSheetId="13">'January 23'!$A$1:$AC$353</definedName>
    <definedName name="_xlnm.Print_Area" localSheetId="17">'January 24'!$A$1:$AC$353</definedName>
    <definedName name="_xlnm.Print_Area" localSheetId="3">'July 20'!$A$1:$AC$369</definedName>
    <definedName name="_xlnm.Print_Area" localSheetId="7">'July 21'!$A$1:$AC$369</definedName>
    <definedName name="_xlnm.Print_Area" localSheetId="11">'July 22'!$A$1:$AC$352</definedName>
    <definedName name="_xlnm.Print_Area" localSheetId="15">'July 23'!$A$1:$AC$353</definedName>
    <definedName name="_xlnm.Print_Area" localSheetId="0">'October 19'!$A$1:$AC$341</definedName>
    <definedName name="_xlnm.Print_Area" localSheetId="4">'October 20'!$A$1:$AC$369</definedName>
    <definedName name="_xlnm.Print_Area" localSheetId="8">'October 21'!$A$1:$AC$352</definedName>
    <definedName name="_xlnm.Print_Area" localSheetId="12">'October 22'!$A$1:$AC$353</definedName>
    <definedName name="_xlnm.Print_Area" localSheetId="16">'October 23'!$A$1:$AC$353</definedName>
    <definedName name="_xlnm.Print_Are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30" i="36" l="1"/>
  <c r="AB113" i="36" l="1"/>
  <c r="AB91" i="36"/>
  <c r="AB76" i="36"/>
  <c r="AB75" i="36"/>
  <c r="Z74" i="36"/>
  <c r="T58" i="36" l="1"/>
  <c r="Z268" i="36" l="1"/>
  <c r="Z212" i="36"/>
  <c r="Z214" i="36" s="1"/>
  <c r="Y212" i="36"/>
  <c r="AB204" i="36"/>
  <c r="AB207" i="36" s="1"/>
  <c r="AB195" i="36"/>
  <c r="AB187" i="36"/>
  <c r="AB190" i="36" s="1"/>
  <c r="AB179" i="36"/>
  <c r="AB168" i="36"/>
  <c r="AB171" i="36" s="1"/>
  <c r="AB162" i="36"/>
  <c r="AB165" i="36" s="1"/>
  <c r="AB150" i="36"/>
  <c r="AB159" i="36" s="1"/>
  <c r="AB139" i="36"/>
  <c r="AA336" i="36"/>
  <c r="Z336" i="36"/>
  <c r="Z263" i="36" s="1"/>
  <c r="Y336" i="36"/>
  <c r="X336" i="36"/>
  <c r="Z324" i="36"/>
  <c r="AA320" i="36" s="1"/>
  <c r="X324" i="36"/>
  <c r="Y322" i="36" s="1"/>
  <c r="Z314" i="36"/>
  <c r="AA312" i="36" s="1"/>
  <c r="X314" i="36"/>
  <c r="Y311" i="36" s="1"/>
  <c r="Z302" i="36"/>
  <c r="AA297" i="36" s="1"/>
  <c r="X302" i="36"/>
  <c r="Y296" i="36" s="1"/>
  <c r="Z288" i="36"/>
  <c r="X288" i="36"/>
  <c r="Z287" i="36"/>
  <c r="X287" i="36"/>
  <c r="Z286" i="36"/>
  <c r="X286" i="36"/>
  <c r="Z285" i="36"/>
  <c r="X285" i="36"/>
  <c r="Z284" i="36"/>
  <c r="X284" i="36"/>
  <c r="Z283" i="36"/>
  <c r="X283" i="36"/>
  <c r="Z282" i="36"/>
  <c r="X282" i="36"/>
  <c r="Z281" i="36"/>
  <c r="X281" i="36"/>
  <c r="Z267" i="36"/>
  <c r="Z265" i="36"/>
  <c r="Z264" i="36"/>
  <c r="Z243" i="36"/>
  <c r="AB221" i="36"/>
  <c r="AB213" i="36"/>
  <c r="AB206" i="36"/>
  <c r="AB198" i="36"/>
  <c r="AB196" i="36"/>
  <c r="AB181" i="36"/>
  <c r="AB182" i="36" s="1"/>
  <c r="AB174" i="36"/>
  <c r="AB172" i="36"/>
  <c r="AB163" i="36"/>
  <c r="AB149" i="36"/>
  <c r="AB146" i="36"/>
  <c r="AB138" i="36"/>
  <c r="B134" i="36"/>
  <c r="B238" i="36" s="1"/>
  <c r="B352" i="36" s="1"/>
  <c r="AB130" i="36"/>
  <c r="Z130" i="36"/>
  <c r="Z101" i="36"/>
  <c r="Z85" i="36"/>
  <c r="AB84" i="36"/>
  <c r="AB87" i="36" s="1"/>
  <c r="AB81" i="36"/>
  <c r="Z72" i="36"/>
  <c r="Z71" i="36"/>
  <c r="T70" i="36"/>
  <c r="AB65" i="36"/>
  <c r="AB64" i="36"/>
  <c r="Z61" i="36"/>
  <c r="X61" i="36"/>
  <c r="V61" i="36"/>
  <c r="R61" i="36"/>
  <c r="R67" i="36" s="1"/>
  <c r="P61" i="36"/>
  <c r="P67" i="36" s="1"/>
  <c r="AB59" i="36"/>
  <c r="X49" i="36"/>
  <c r="X48" i="36"/>
  <c r="AB42" i="36"/>
  <c r="P31" i="36"/>
  <c r="N31" i="36"/>
  <c r="AB31" i="36" s="1"/>
  <c r="L31" i="36"/>
  <c r="J31" i="36"/>
  <c r="H31" i="36"/>
  <c r="F31" i="36"/>
  <c r="D31" i="36"/>
  <c r="P30" i="36"/>
  <c r="N30" i="36"/>
  <c r="L30" i="36"/>
  <c r="J30" i="36"/>
  <c r="H30" i="36"/>
  <c r="F30" i="36"/>
  <c r="D30" i="36"/>
  <c r="AB29" i="36"/>
  <c r="Y211" i="36" s="1"/>
  <c r="Z74" i="35"/>
  <c r="AA299" i="36" l="1"/>
  <c r="AA294" i="36"/>
  <c r="AA295" i="36"/>
  <c r="AA293" i="36"/>
  <c r="AA296" i="36"/>
  <c r="AA298" i="36"/>
  <c r="AA300" i="36"/>
  <c r="Y294" i="36"/>
  <c r="Y300" i="36"/>
  <c r="Y293" i="36"/>
  <c r="Y297" i="36"/>
  <c r="Y298" i="36"/>
  <c r="Y299" i="36"/>
  <c r="Y295" i="36"/>
  <c r="AA319" i="36"/>
  <c r="AA317" i="36"/>
  <c r="AA321" i="36"/>
  <c r="AA322" i="36"/>
  <c r="Z262" i="36"/>
  <c r="AA308" i="36"/>
  <c r="AA310" i="36"/>
  <c r="AA305" i="36"/>
  <c r="AA311" i="36"/>
  <c r="Y262" i="36"/>
  <c r="Y305" i="36"/>
  <c r="Y308" i="36"/>
  <c r="Y310" i="36"/>
  <c r="X338" i="36"/>
  <c r="Y312" i="36"/>
  <c r="Z338" i="36"/>
  <c r="Z340" i="36" s="1"/>
  <c r="Y263" i="36"/>
  <c r="AB228" i="36"/>
  <c r="AB230" i="36"/>
  <c r="AB131" i="36"/>
  <c r="AB173" i="36"/>
  <c r="Z339" i="36"/>
  <c r="Z247" i="36"/>
  <c r="Z343" i="36"/>
  <c r="AB35" i="36"/>
  <c r="Z245" i="36" s="1"/>
  <c r="AB212" i="36"/>
  <c r="Y214" i="36"/>
  <c r="AB214" i="36" s="1"/>
  <c r="Y215" i="36"/>
  <c r="AB199" i="36"/>
  <c r="Z84" i="36"/>
  <c r="Z87" i="36" s="1"/>
  <c r="Z131" i="36" s="1"/>
  <c r="X290" i="36"/>
  <c r="Y287" i="36" s="1"/>
  <c r="AB234" i="36"/>
  <c r="Z290" i="36"/>
  <c r="AA287" i="36" s="1"/>
  <c r="Y320" i="36"/>
  <c r="AB232" i="36"/>
  <c r="AB43" i="36"/>
  <c r="T61" i="36"/>
  <c r="Y321" i="36"/>
  <c r="Z257" i="36"/>
  <c r="AB58" i="36"/>
  <c r="AB61" i="36" s="1"/>
  <c r="AB67" i="36" s="1"/>
  <c r="Z341" i="36" s="1"/>
  <c r="Y319" i="36"/>
  <c r="AB226" i="36"/>
  <c r="Y317" i="36"/>
  <c r="AB196" i="35"/>
  <c r="AA302" i="36" l="1"/>
  <c r="Y302" i="36"/>
  <c r="AA324" i="36"/>
  <c r="AA314" i="36"/>
  <c r="Y314" i="36"/>
  <c r="AA283" i="36"/>
  <c r="AA285" i="36"/>
  <c r="AA281" i="36"/>
  <c r="Y288" i="36"/>
  <c r="Y284" i="36"/>
  <c r="Y282" i="36"/>
  <c r="Y283" i="36"/>
  <c r="Y285" i="36"/>
  <c r="Y286" i="36"/>
  <c r="Y324" i="36"/>
  <c r="AA288" i="36"/>
  <c r="AA286" i="36"/>
  <c r="AA284" i="36"/>
  <c r="AA282" i="36"/>
  <c r="Y281" i="36"/>
  <c r="Z71" i="35"/>
  <c r="AA290" i="36" l="1"/>
  <c r="Y290" i="36"/>
  <c r="D31" i="35"/>
  <c r="AB113" i="35" l="1"/>
  <c r="AB91" i="35"/>
  <c r="AB76" i="35"/>
  <c r="AB75" i="35"/>
  <c r="T58" i="35" l="1"/>
  <c r="X284" i="35" l="1"/>
  <c r="X281" i="35"/>
  <c r="Z212" i="35" l="1"/>
  <c r="Y212" i="35"/>
  <c r="Y214" i="35" s="1"/>
  <c r="AB204" i="35"/>
  <c r="AB195" i="35"/>
  <c r="AB187" i="35"/>
  <c r="AB190" i="35" s="1"/>
  <c r="AB179" i="35"/>
  <c r="AB168" i="35"/>
  <c r="AB171" i="35" s="1"/>
  <c r="AB173" i="35" s="1"/>
  <c r="AB162" i="35"/>
  <c r="AB150" i="35"/>
  <c r="AB159" i="35" s="1"/>
  <c r="AB139" i="35"/>
  <c r="AB146" i="35" s="1"/>
  <c r="AA336" i="35"/>
  <c r="Z336" i="35"/>
  <c r="Z263" i="35" s="1"/>
  <c r="Y336" i="35"/>
  <c r="X336" i="35"/>
  <c r="Y263" i="35" s="1"/>
  <c r="Z324" i="35"/>
  <c r="AA321" i="35" s="1"/>
  <c r="X324" i="35"/>
  <c r="Y321" i="35" s="1"/>
  <c r="Z314" i="35"/>
  <c r="X314" i="35"/>
  <c r="Y310" i="35" s="1"/>
  <c r="Z302" i="35"/>
  <c r="AA297" i="35" s="1"/>
  <c r="X302" i="35"/>
  <c r="Y299" i="35" s="1"/>
  <c r="Z288" i="35"/>
  <c r="X288" i="35"/>
  <c r="Z287" i="35"/>
  <c r="X287" i="35"/>
  <c r="Z286" i="35"/>
  <c r="X286" i="35"/>
  <c r="Z285" i="35"/>
  <c r="X285" i="35"/>
  <c r="Z284" i="35"/>
  <c r="Z283" i="35"/>
  <c r="X283" i="35"/>
  <c r="Z282" i="35"/>
  <c r="X282" i="35"/>
  <c r="Z281" i="35"/>
  <c r="Z267" i="35"/>
  <c r="Z268" i="35" s="1"/>
  <c r="Z265" i="35"/>
  <c r="Z264" i="35"/>
  <c r="Z243" i="35"/>
  <c r="AB221" i="35"/>
  <c r="AB213" i="35"/>
  <c r="Z214" i="35"/>
  <c r="AB206" i="35"/>
  <c r="AB207" i="35"/>
  <c r="AB198" i="35"/>
  <c r="AB181" i="35"/>
  <c r="AB174" i="35"/>
  <c r="AB172" i="35"/>
  <c r="AB163" i="35"/>
  <c r="AB165" i="35" s="1"/>
  <c r="AB149" i="35"/>
  <c r="AB138" i="35"/>
  <c r="B134" i="35"/>
  <c r="B238" i="35" s="1"/>
  <c r="B352" i="35" s="1"/>
  <c r="Z130" i="35"/>
  <c r="Z101" i="35"/>
  <c r="AB130" i="35"/>
  <c r="Z85" i="35"/>
  <c r="AB81" i="35"/>
  <c r="AB84" i="35" s="1"/>
  <c r="AB87" i="35" s="1"/>
  <c r="Z72" i="35"/>
  <c r="Z84" i="35" s="1"/>
  <c r="T70" i="35"/>
  <c r="AB65" i="35"/>
  <c r="AB64" i="35"/>
  <c r="Z61" i="35"/>
  <c r="X61" i="35"/>
  <c r="V61" i="35"/>
  <c r="R61" i="35"/>
  <c r="R67" i="35" s="1"/>
  <c r="P61" i="35"/>
  <c r="P67" i="35" s="1"/>
  <c r="AB59" i="35"/>
  <c r="T61" i="35"/>
  <c r="X49" i="35"/>
  <c r="X48" i="35"/>
  <c r="AB42" i="35"/>
  <c r="P31" i="35"/>
  <c r="N31" i="35"/>
  <c r="L31" i="35"/>
  <c r="J31" i="35"/>
  <c r="H31" i="35"/>
  <c r="F31" i="35"/>
  <c r="P30" i="35"/>
  <c r="N30" i="35"/>
  <c r="L30" i="35"/>
  <c r="J30" i="35"/>
  <c r="H30" i="35"/>
  <c r="F30" i="35"/>
  <c r="D30" i="35"/>
  <c r="AB29" i="35"/>
  <c r="Y211" i="35" s="1"/>
  <c r="AB31" i="34"/>
  <c r="AB30" i="35" l="1"/>
  <c r="AB35" i="35" s="1"/>
  <c r="Z245" i="35" s="1"/>
  <c r="AB31" i="35"/>
  <c r="Z339" i="35"/>
  <c r="Z87" i="35"/>
  <c r="Z131" i="35" s="1"/>
  <c r="AA311" i="35"/>
  <c r="AA312" i="35"/>
  <c r="AA308" i="35"/>
  <c r="AA310" i="35"/>
  <c r="AB199" i="35"/>
  <c r="Z343" i="35"/>
  <c r="Y320" i="35"/>
  <c r="Y319" i="35"/>
  <c r="Y317" i="35"/>
  <c r="Y322" i="35"/>
  <c r="Z262" i="35"/>
  <c r="AA305" i="35"/>
  <c r="AA295" i="35"/>
  <c r="AA299" i="35"/>
  <c r="Z338" i="35"/>
  <c r="Z340" i="35" s="1"/>
  <c r="Y296" i="35"/>
  <c r="X290" i="35"/>
  <c r="Y284" i="35" s="1"/>
  <c r="Y298" i="35"/>
  <c r="Y300" i="35"/>
  <c r="Y297" i="35"/>
  <c r="X338" i="35"/>
  <c r="Y293" i="35"/>
  <c r="Y294" i="35"/>
  <c r="Y215" i="35"/>
  <c r="AB182" i="35"/>
  <c r="AB234" i="35"/>
  <c r="AB232" i="35"/>
  <c r="AB230" i="35"/>
  <c r="AB131" i="35"/>
  <c r="Z247" i="35"/>
  <c r="AB228" i="35"/>
  <c r="AB226" i="35"/>
  <c r="AB214" i="35"/>
  <c r="Y311" i="35"/>
  <c r="AA322" i="35"/>
  <c r="AB212" i="35"/>
  <c r="Z257" i="35"/>
  <c r="AA294" i="35"/>
  <c r="AA298" i="35"/>
  <c r="AA317" i="35"/>
  <c r="AB58" i="35"/>
  <c r="AB61" i="35" s="1"/>
  <c r="AB67" i="35" s="1"/>
  <c r="Z341" i="35" s="1"/>
  <c r="Y262" i="35"/>
  <c r="Y295" i="35"/>
  <c r="Y305" i="35"/>
  <c r="Y312" i="35"/>
  <c r="AA319" i="35"/>
  <c r="Z290" i="35"/>
  <c r="AA285" i="35" s="1"/>
  <c r="AA320" i="35"/>
  <c r="AA296" i="35"/>
  <c r="AA300" i="35"/>
  <c r="Y308" i="35"/>
  <c r="AB43" i="35"/>
  <c r="AA293" i="35"/>
  <c r="AB113" i="34"/>
  <c r="AB91" i="34"/>
  <c r="AB76" i="34"/>
  <c r="AB75" i="34"/>
  <c r="Z74" i="34"/>
  <c r="T58" i="34"/>
  <c r="Z268" i="34"/>
  <c r="Z212" i="34"/>
  <c r="Z214" i="34" s="1"/>
  <c r="Y212" i="34"/>
  <c r="AB204" i="34"/>
  <c r="AB207" i="34" s="1"/>
  <c r="AB195" i="34"/>
  <c r="AB187" i="34"/>
  <c r="AB179" i="34"/>
  <c r="AB168" i="34"/>
  <c r="AB171" i="34" s="1"/>
  <c r="AB162" i="34"/>
  <c r="AB150" i="34"/>
  <c r="AB159" i="34" s="1"/>
  <c r="AB139" i="34"/>
  <c r="AB146" i="34" s="1"/>
  <c r="AA336" i="34"/>
  <c r="Z336" i="34"/>
  <c r="Y336" i="34"/>
  <c r="X336" i="34"/>
  <c r="Y263" i="34" s="1"/>
  <c r="Z324" i="34"/>
  <c r="AA320" i="34" s="1"/>
  <c r="X324" i="34"/>
  <c r="Y321" i="34" s="1"/>
  <c r="Z314" i="34"/>
  <c r="AA305" i="34" s="1"/>
  <c r="X314" i="34"/>
  <c r="Y308" i="34" s="1"/>
  <c r="Z302" i="34"/>
  <c r="AA298" i="34" s="1"/>
  <c r="X302" i="34"/>
  <c r="Y300" i="34" s="1"/>
  <c r="AA300" i="34"/>
  <c r="Z288" i="34"/>
  <c r="X288" i="34"/>
  <c r="Z287" i="34"/>
  <c r="X287" i="34"/>
  <c r="Z286" i="34"/>
  <c r="X286" i="34"/>
  <c r="Z285" i="34"/>
  <c r="X285" i="34"/>
  <c r="Z284" i="34"/>
  <c r="X284" i="34"/>
  <c r="Z283" i="34"/>
  <c r="X283" i="34"/>
  <c r="Z282" i="34"/>
  <c r="X282" i="34"/>
  <c r="Z281" i="34"/>
  <c r="X281" i="34"/>
  <c r="Z267" i="34"/>
  <c r="Z265" i="34"/>
  <c r="Z264" i="34"/>
  <c r="Z263" i="34"/>
  <c r="Z243" i="34"/>
  <c r="AB221" i="34"/>
  <c r="AB213" i="34"/>
  <c r="Y214" i="34"/>
  <c r="AB206" i="34"/>
  <c r="AB198" i="34"/>
  <c r="AB196" i="34"/>
  <c r="AB199" i="34" s="1"/>
  <c r="AB190" i="34"/>
  <c r="AB181" i="34"/>
  <c r="AB174" i="34"/>
  <c r="AB172" i="34"/>
  <c r="AB163" i="34"/>
  <c r="AB165" i="34"/>
  <c r="AB149" i="34"/>
  <c r="AB138" i="34"/>
  <c r="B134" i="34"/>
  <c r="B238" i="34" s="1"/>
  <c r="B352" i="34" s="1"/>
  <c r="Z130" i="34"/>
  <c r="Z101" i="34"/>
  <c r="Z85" i="34"/>
  <c r="AB81" i="34"/>
  <c r="Z72" i="34"/>
  <c r="Z71" i="34"/>
  <c r="T70" i="34"/>
  <c r="P67" i="34"/>
  <c r="AB65" i="34"/>
  <c r="AB64" i="34"/>
  <c r="Z61" i="34"/>
  <c r="X61" i="34"/>
  <c r="V61" i="34"/>
  <c r="R61" i="34"/>
  <c r="R67" i="34" s="1"/>
  <c r="P61" i="34"/>
  <c r="AB59" i="34"/>
  <c r="X49" i="34"/>
  <c r="X48" i="34"/>
  <c r="AB42" i="34"/>
  <c r="P31" i="34"/>
  <c r="N31" i="34"/>
  <c r="L31" i="34"/>
  <c r="J31" i="34"/>
  <c r="H31" i="34"/>
  <c r="F31" i="34"/>
  <c r="D31" i="34"/>
  <c r="P30" i="34"/>
  <c r="N30" i="34"/>
  <c r="L30" i="34"/>
  <c r="J30" i="34"/>
  <c r="H30" i="34"/>
  <c r="F30" i="34"/>
  <c r="D30" i="34"/>
  <c r="AB29" i="34"/>
  <c r="Y211" i="34" s="1"/>
  <c r="AB130" i="33"/>
  <c r="AA302" i="35" l="1"/>
  <c r="Y324" i="35"/>
  <c r="AA314" i="35"/>
  <c r="Y286" i="35"/>
  <c r="Y288" i="35"/>
  <c r="Y287" i="35"/>
  <c r="Y281" i="35"/>
  <c r="Y285" i="35"/>
  <c r="Y282" i="35"/>
  <c r="Y283" i="35"/>
  <c r="Y302" i="35"/>
  <c r="AA287" i="35"/>
  <c r="AA283" i="35"/>
  <c r="AA281" i="35"/>
  <c r="Y314" i="35"/>
  <c r="AA286" i="35"/>
  <c r="AA288" i="35"/>
  <c r="AA282" i="35"/>
  <c r="AA324" i="35"/>
  <c r="AA284" i="35"/>
  <c r="AB130" i="34"/>
  <c r="AB182" i="34"/>
  <c r="AB84" i="34"/>
  <c r="AB87" i="34" s="1"/>
  <c r="Z247" i="34" s="1"/>
  <c r="AB173" i="34"/>
  <c r="AB58" i="34"/>
  <c r="AB61" i="34" s="1"/>
  <c r="AB67" i="34" s="1"/>
  <c r="Z341" i="34" s="1"/>
  <c r="T61" i="34"/>
  <c r="Z339" i="34"/>
  <c r="Z84" i="34"/>
  <c r="Z87" i="34" s="1"/>
  <c r="Z131" i="34" s="1"/>
  <c r="Z343" i="34"/>
  <c r="AB30" i="34"/>
  <c r="AB35" i="34" s="1"/>
  <c r="Z245" i="34" s="1"/>
  <c r="AA321" i="34"/>
  <c r="Y317" i="34"/>
  <c r="Y322" i="34"/>
  <c r="Y319" i="34"/>
  <c r="Y320" i="34"/>
  <c r="AA294" i="34"/>
  <c r="AA293" i="34"/>
  <c r="AA295" i="34"/>
  <c r="AA296" i="34"/>
  <c r="AA299" i="34"/>
  <c r="AA297" i="34"/>
  <c r="X290" i="34"/>
  <c r="Y282" i="34" s="1"/>
  <c r="Z290" i="34"/>
  <c r="AA287" i="34" s="1"/>
  <c r="AA308" i="34"/>
  <c r="Z338" i="34"/>
  <c r="Y310" i="34"/>
  <c r="Y286" i="34"/>
  <c r="AB214" i="34"/>
  <c r="Y215" i="34"/>
  <c r="Y284" i="34"/>
  <c r="Y287" i="34"/>
  <c r="Y285" i="34"/>
  <c r="Y283" i="34"/>
  <c r="Y281" i="34"/>
  <c r="Y293" i="34"/>
  <c r="AA310" i="34"/>
  <c r="Y294" i="34"/>
  <c r="Y298" i="34"/>
  <c r="Y311" i="34"/>
  <c r="AA317" i="34"/>
  <c r="AA322" i="34"/>
  <c r="AB212" i="34"/>
  <c r="Z257" i="34"/>
  <c r="AA311" i="34"/>
  <c r="X338" i="34"/>
  <c r="AB43" i="34"/>
  <c r="Y297" i="34"/>
  <c r="Y262" i="34"/>
  <c r="Y295" i="34"/>
  <c r="Y299" i="34"/>
  <c r="Y305" i="34"/>
  <c r="Y312" i="34"/>
  <c r="AA319" i="34"/>
  <c r="Z262" i="34"/>
  <c r="Y296" i="34"/>
  <c r="Z131" i="33"/>
  <c r="Z130" i="33"/>
  <c r="Y290" i="35" l="1"/>
  <c r="AA290" i="35"/>
  <c r="AB230" i="34"/>
  <c r="AB226" i="34"/>
  <c r="AB228" i="34"/>
  <c r="AB131" i="34"/>
  <c r="AB232" i="34"/>
  <c r="AB234" i="34"/>
  <c r="Z340" i="34"/>
  <c r="Y324" i="34"/>
  <c r="AA302" i="34"/>
  <c r="AA286" i="34"/>
  <c r="AA288" i="34"/>
  <c r="AA281" i="34"/>
  <c r="AA283" i="34"/>
  <c r="Y288" i="34"/>
  <c r="Y290" i="34" s="1"/>
  <c r="AA282" i="34"/>
  <c r="AA285" i="34"/>
  <c r="AA284" i="34"/>
  <c r="AA314" i="34"/>
  <c r="Y314" i="34"/>
  <c r="Y302" i="34"/>
  <c r="AA324" i="34"/>
  <c r="AB113" i="33"/>
  <c r="AB91" i="33"/>
  <c r="AB76" i="33"/>
  <c r="AB75" i="33"/>
  <c r="Z74" i="33"/>
  <c r="T58" i="33"/>
  <c r="AA290" i="34" l="1"/>
  <c r="Z268" i="33"/>
  <c r="Z212" i="33"/>
  <c r="Z214" i="33" s="1"/>
  <c r="Y212" i="33"/>
  <c r="AB212" i="33" s="1"/>
  <c r="AB204" i="33"/>
  <c r="AB195" i="33"/>
  <c r="AB187" i="33"/>
  <c r="AB190" i="33" s="1"/>
  <c r="AB179" i="33"/>
  <c r="AB168" i="33"/>
  <c r="AB162" i="33"/>
  <c r="AB165" i="33" s="1"/>
  <c r="AB150" i="33"/>
  <c r="AB139" i="33"/>
  <c r="AA336" i="33"/>
  <c r="Z336" i="33"/>
  <c r="Y336" i="33"/>
  <c r="X336" i="33"/>
  <c r="Z324" i="33"/>
  <c r="AA322" i="33" s="1"/>
  <c r="X324" i="33"/>
  <c r="Y322" i="33"/>
  <c r="Y321" i="33"/>
  <c r="Y320" i="33"/>
  <c r="Y319" i="33"/>
  <c r="Y317" i="33"/>
  <c r="Y324" i="33" s="1"/>
  <c r="Z314" i="33"/>
  <c r="AA310" i="33" s="1"/>
  <c r="X314" i="33"/>
  <c r="Y310" i="33" s="1"/>
  <c r="Z302" i="33"/>
  <c r="AA300" i="33" s="1"/>
  <c r="X302" i="33"/>
  <c r="Y300" i="33" s="1"/>
  <c r="Z288" i="33"/>
  <c r="X288" i="33"/>
  <c r="Z287" i="33"/>
  <c r="X287" i="33"/>
  <c r="Z286" i="33"/>
  <c r="X286" i="33"/>
  <c r="Z285" i="33"/>
  <c r="X285" i="33"/>
  <c r="Z284" i="33"/>
  <c r="X284" i="33"/>
  <c r="Z283" i="33"/>
  <c r="X283" i="33"/>
  <c r="Z282" i="33"/>
  <c r="X282" i="33"/>
  <c r="Z281" i="33"/>
  <c r="X281" i="33"/>
  <c r="Z267" i="33"/>
  <c r="Z265" i="33"/>
  <c r="Z264" i="33"/>
  <c r="Z263" i="33"/>
  <c r="Y263" i="33"/>
  <c r="Z262" i="33"/>
  <c r="Z243" i="33"/>
  <c r="AB221" i="33"/>
  <c r="AB213" i="33"/>
  <c r="AB206" i="33"/>
  <c r="AB198" i="33"/>
  <c r="AB196" i="33"/>
  <c r="AB181" i="33"/>
  <c r="AB174" i="33"/>
  <c r="AB172" i="33"/>
  <c r="AB171" i="33"/>
  <c r="AB163" i="33"/>
  <c r="AB159" i="33"/>
  <c r="AB149" i="33"/>
  <c r="AB146" i="33"/>
  <c r="AB138" i="33"/>
  <c r="B134" i="33"/>
  <c r="B238" i="33" s="1"/>
  <c r="B352" i="33" s="1"/>
  <c r="Z101" i="33"/>
  <c r="Z85" i="33"/>
  <c r="AB81" i="33"/>
  <c r="AB84" i="33"/>
  <c r="AB87" i="33" s="1"/>
  <c r="Z72" i="33"/>
  <c r="Z71" i="33"/>
  <c r="T70" i="33"/>
  <c r="P67" i="33"/>
  <c r="AB65" i="33"/>
  <c r="AB64" i="33"/>
  <c r="Z61" i="33"/>
  <c r="X61" i="33"/>
  <c r="V61" i="33"/>
  <c r="R61" i="33"/>
  <c r="R67" i="33" s="1"/>
  <c r="P61" i="33"/>
  <c r="AB59" i="33"/>
  <c r="Z257" i="33"/>
  <c r="X49" i="33"/>
  <c r="X48" i="33"/>
  <c r="AB42" i="33"/>
  <c r="P31" i="33"/>
  <c r="N31" i="33"/>
  <c r="L31" i="33"/>
  <c r="J31" i="33"/>
  <c r="H31" i="33"/>
  <c r="F31" i="33"/>
  <c r="D31" i="33"/>
  <c r="AB43" i="33" s="1"/>
  <c r="P30" i="33"/>
  <c r="N30" i="33"/>
  <c r="AB30" i="33" s="1"/>
  <c r="AB35" i="33" s="1"/>
  <c r="Z245" i="33" s="1"/>
  <c r="L30" i="33"/>
  <c r="J30" i="33"/>
  <c r="H30" i="33"/>
  <c r="F30" i="33"/>
  <c r="D30" i="33"/>
  <c r="AB29" i="33"/>
  <c r="Y211" i="33" s="1"/>
  <c r="AB113" i="32"/>
  <c r="AB91" i="32"/>
  <c r="AB76" i="32"/>
  <c r="AB75" i="32"/>
  <c r="Z74" i="32"/>
  <c r="AB199" i="33" l="1"/>
  <c r="AB207" i="33"/>
  <c r="AB182" i="33"/>
  <c r="AB173" i="33"/>
  <c r="Z339" i="33"/>
  <c r="AB31" i="33"/>
  <c r="Z343" i="33" s="1"/>
  <c r="AA317" i="33"/>
  <c r="AA320" i="33"/>
  <c r="AA321" i="33"/>
  <c r="AA319" i="33"/>
  <c r="Y308" i="33"/>
  <c r="AA308" i="33"/>
  <c r="AA305" i="33"/>
  <c r="Y312" i="33"/>
  <c r="Y305" i="33"/>
  <c r="Y311" i="33"/>
  <c r="Y262" i="33"/>
  <c r="AA311" i="33"/>
  <c r="AA314" i="33"/>
  <c r="Z290" i="33"/>
  <c r="AA281" i="33" s="1"/>
  <c r="AA297" i="33"/>
  <c r="AA295" i="33"/>
  <c r="AA296" i="33"/>
  <c r="AA298" i="33"/>
  <c r="AA293" i="33"/>
  <c r="AA299" i="33"/>
  <c r="Z338" i="33"/>
  <c r="AA294" i="33"/>
  <c r="X338" i="33"/>
  <c r="Y297" i="33"/>
  <c r="Y293" i="33"/>
  <c r="Y214" i="33"/>
  <c r="AB214" i="33" s="1"/>
  <c r="AA283" i="33"/>
  <c r="AA286" i="33"/>
  <c r="AB234" i="33"/>
  <c r="AB232" i="33"/>
  <c r="AB230" i="33"/>
  <c r="AB131" i="33"/>
  <c r="Z247" i="33"/>
  <c r="AB226" i="33"/>
  <c r="AB228" i="33"/>
  <c r="T61" i="33"/>
  <c r="Y294" i="33"/>
  <c r="Y298" i="33"/>
  <c r="AB58" i="33"/>
  <c r="AB61" i="33" s="1"/>
  <c r="AB67" i="33" s="1"/>
  <c r="Z341" i="33" s="1"/>
  <c r="X290" i="33"/>
  <c r="Y281" i="33" s="1"/>
  <c r="Y295" i="33"/>
  <c r="Y299" i="33"/>
  <c r="Z84" i="33"/>
  <c r="Z87" i="33" s="1"/>
  <c r="Y296" i="33"/>
  <c r="T58" i="32"/>
  <c r="Z340" i="33" l="1"/>
  <c r="AA324" i="33"/>
  <c r="Y314" i="33"/>
  <c r="AA285" i="33"/>
  <c r="AA288" i="33"/>
  <c r="AA287" i="33"/>
  <c r="AA282" i="33"/>
  <c r="AA284" i="33"/>
  <c r="AA290" i="33"/>
  <c r="AA302" i="33"/>
  <c r="Y302" i="33"/>
  <c r="Y282" i="33"/>
  <c r="Y287" i="33"/>
  <c r="Y288" i="33"/>
  <c r="Y283" i="33"/>
  <c r="Y284" i="33"/>
  <c r="Y286" i="33"/>
  <c r="Y215" i="33"/>
  <c r="Y285" i="33"/>
  <c r="AA321" i="32"/>
  <c r="Y321" i="32"/>
  <c r="Y290" i="33" l="1"/>
  <c r="Z212" i="32"/>
  <c r="Y212" i="32"/>
  <c r="AB204" i="32"/>
  <c r="AB195" i="32"/>
  <c r="AB187" i="32"/>
  <c r="AB179" i="32"/>
  <c r="AB168" i="32"/>
  <c r="AB171" i="32" s="1"/>
  <c r="AB173" i="32" s="1"/>
  <c r="AB162" i="32"/>
  <c r="AB165" i="32" s="1"/>
  <c r="AB150" i="32"/>
  <c r="AB159" i="32" s="1"/>
  <c r="AB139" i="32"/>
  <c r="AB146" i="32" s="1"/>
  <c r="AA336" i="32"/>
  <c r="Z336" i="32"/>
  <c r="Y336" i="32"/>
  <c r="X336" i="32"/>
  <c r="Z324" i="32"/>
  <c r="AA317" i="32" s="1"/>
  <c r="X324" i="32"/>
  <c r="Y317" i="32" s="1"/>
  <c r="Z314" i="32"/>
  <c r="AA308" i="32" s="1"/>
  <c r="X314" i="32"/>
  <c r="Y312" i="32" s="1"/>
  <c r="Z302" i="32"/>
  <c r="AA297" i="32" s="1"/>
  <c r="X302" i="32"/>
  <c r="Y295" i="32" s="1"/>
  <c r="AA295" i="32"/>
  <c r="Z288" i="32"/>
  <c r="X288" i="32"/>
  <c r="Z287" i="32"/>
  <c r="X287" i="32"/>
  <c r="Z286" i="32"/>
  <c r="X286" i="32"/>
  <c r="Z285" i="32"/>
  <c r="X285" i="32"/>
  <c r="Z284" i="32"/>
  <c r="X284" i="32"/>
  <c r="Z283" i="32"/>
  <c r="X283" i="32"/>
  <c r="Z282" i="32"/>
  <c r="X282" i="32"/>
  <c r="Z281" i="32"/>
  <c r="X281" i="32"/>
  <c r="Z267" i="32"/>
  <c r="Z268" i="32" s="1"/>
  <c r="Z265" i="32"/>
  <c r="Z264" i="32"/>
  <c r="Z263" i="32"/>
  <c r="Y263" i="32"/>
  <c r="Z243" i="32"/>
  <c r="B238" i="32"/>
  <c r="B352" i="32" s="1"/>
  <c r="AB221" i="32"/>
  <c r="Z214" i="32"/>
  <c r="AB213" i="32"/>
  <c r="AB212" i="32"/>
  <c r="Y214" i="32"/>
  <c r="AB206" i="32"/>
  <c r="AB198" i="32"/>
  <c r="AB196" i="32"/>
  <c r="AB181" i="32"/>
  <c r="AB174" i="32"/>
  <c r="AB172" i="32"/>
  <c r="AB163" i="32"/>
  <c r="AB149" i="32"/>
  <c r="AB138" i="32"/>
  <c r="B134" i="32"/>
  <c r="AB130" i="32"/>
  <c r="Z130" i="32"/>
  <c r="Z101" i="32"/>
  <c r="Z85" i="32"/>
  <c r="AB84" i="32"/>
  <c r="AB87" i="32" s="1"/>
  <c r="AB81" i="32"/>
  <c r="Z84" i="32"/>
  <c r="Z87" i="32" s="1"/>
  <c r="Z72" i="32"/>
  <c r="Z71" i="32"/>
  <c r="T70" i="32"/>
  <c r="P67" i="32"/>
  <c r="AB65" i="32"/>
  <c r="AB64" i="32"/>
  <c r="Z61" i="32"/>
  <c r="X61" i="32"/>
  <c r="V61" i="32"/>
  <c r="T61" i="32"/>
  <c r="R61" i="32"/>
  <c r="R67" i="32" s="1"/>
  <c r="P61" i="32"/>
  <c r="AB59" i="32"/>
  <c r="AB58" i="32"/>
  <c r="AB61" i="32" s="1"/>
  <c r="AB67" i="32" s="1"/>
  <c r="Z341" i="32" s="1"/>
  <c r="Z257" i="32"/>
  <c r="X49" i="32"/>
  <c r="X48" i="32"/>
  <c r="AB42" i="32"/>
  <c r="P31" i="32"/>
  <c r="N31" i="32"/>
  <c r="L31" i="32"/>
  <c r="J31" i="32"/>
  <c r="H31" i="32"/>
  <c r="F31" i="32"/>
  <c r="D31" i="32"/>
  <c r="P30" i="32"/>
  <c r="N30" i="32"/>
  <c r="L30" i="32"/>
  <c r="J30" i="32"/>
  <c r="H30" i="32"/>
  <c r="F30" i="32"/>
  <c r="D30" i="32"/>
  <c r="AB29" i="32"/>
  <c r="Y211" i="32" s="1"/>
  <c r="Z247" i="31"/>
  <c r="Z247" i="30"/>
  <c r="Z246" i="29"/>
  <c r="AB181" i="31"/>
  <c r="AB199" i="32" l="1"/>
  <c r="AB207" i="32"/>
  <c r="Z131" i="32"/>
  <c r="Z339" i="32"/>
  <c r="AB31" i="32"/>
  <c r="Z343" i="32" s="1"/>
  <c r="AB30" i="32"/>
  <c r="AB35" i="32" s="1"/>
  <c r="Z245" i="32" s="1"/>
  <c r="AA319" i="32"/>
  <c r="AA320" i="32"/>
  <c r="AA322" i="32"/>
  <c r="Y320" i="32"/>
  <c r="Y319" i="32"/>
  <c r="Y322" i="32"/>
  <c r="AA310" i="32"/>
  <c r="Y262" i="32"/>
  <c r="Y310" i="32"/>
  <c r="Y308" i="32"/>
  <c r="AA298" i="32"/>
  <c r="AA299" i="32"/>
  <c r="AA300" i="32"/>
  <c r="AA296" i="32"/>
  <c r="AA294" i="32"/>
  <c r="Z338" i="32"/>
  <c r="Z340" i="32" s="1"/>
  <c r="Z290" i="32"/>
  <c r="AA282" i="32" s="1"/>
  <c r="Y294" i="32"/>
  <c r="Y297" i="32"/>
  <c r="Y298" i="32"/>
  <c r="Y296" i="32"/>
  <c r="Y299" i="32"/>
  <c r="Y293" i="32"/>
  <c r="Y300" i="32"/>
  <c r="X338" i="32"/>
  <c r="AB214" i="32"/>
  <c r="Y215" i="32"/>
  <c r="AB182" i="32"/>
  <c r="AB190" i="32"/>
  <c r="AB234" i="32"/>
  <c r="AB232" i="32"/>
  <c r="AB230" i="32"/>
  <c r="AB228" i="32"/>
  <c r="Z247" i="32"/>
  <c r="AB226" i="32"/>
  <c r="AB131" i="32"/>
  <c r="Y285" i="32"/>
  <c r="Y311" i="32"/>
  <c r="Y314" i="32" s="1"/>
  <c r="AA293" i="32"/>
  <c r="AA311" i="32"/>
  <c r="AA312" i="32"/>
  <c r="X290" i="32"/>
  <c r="Y286" i="32" s="1"/>
  <c r="AB43" i="32"/>
  <c r="Z262" i="32"/>
  <c r="T58" i="31"/>
  <c r="Z74" i="31" s="1"/>
  <c r="AA324" i="32" l="1"/>
  <c r="Y324" i="32"/>
  <c r="AA281" i="32"/>
  <c r="AA314" i="32"/>
  <c r="AA288" i="32"/>
  <c r="AA284" i="32"/>
  <c r="AA285" i="32"/>
  <c r="AA286" i="32"/>
  <c r="AA283" i="32"/>
  <c r="AA287" i="32"/>
  <c r="AA302" i="32"/>
  <c r="Y302" i="32"/>
  <c r="Y281" i="32"/>
  <c r="Y288" i="32"/>
  <c r="Y284" i="32"/>
  <c r="Y283" i="32"/>
  <c r="Y282" i="32"/>
  <c r="Y287" i="32"/>
  <c r="AB206" i="31"/>
  <c r="AB198" i="31"/>
  <c r="AA290" i="32" l="1"/>
  <c r="Y290" i="32"/>
  <c r="AB204" i="31"/>
  <c r="AB207" i="31" s="1"/>
  <c r="AB195" i="31"/>
  <c r="AB113" i="31"/>
  <c r="AB91" i="31"/>
  <c r="AB130" i="31" s="1"/>
  <c r="AB76" i="31"/>
  <c r="AB75" i="31"/>
  <c r="Z212" i="31" l="1"/>
  <c r="Z214" i="31" s="1"/>
  <c r="Y212" i="31"/>
  <c r="AB187" i="31"/>
  <c r="AB179" i="31"/>
  <c r="AB168" i="31"/>
  <c r="AB171" i="31" s="1"/>
  <c r="AB162" i="31"/>
  <c r="AB150" i="31"/>
  <c r="AB159" i="31" s="1"/>
  <c r="AB139" i="31"/>
  <c r="AB146" i="31" s="1"/>
  <c r="AA336" i="31"/>
  <c r="Z336" i="31"/>
  <c r="Z263" i="31" s="1"/>
  <c r="Y336" i="31"/>
  <c r="X336" i="31"/>
  <c r="Z324" i="31"/>
  <c r="X324" i="31"/>
  <c r="Z314" i="31"/>
  <c r="X314" i="31"/>
  <c r="Z302" i="31"/>
  <c r="AA300" i="31" s="1"/>
  <c r="X302" i="31"/>
  <c r="Y300" i="31" s="1"/>
  <c r="Z288" i="31"/>
  <c r="X288" i="31"/>
  <c r="Z287" i="31"/>
  <c r="X287" i="31"/>
  <c r="Z286" i="31"/>
  <c r="X286" i="31"/>
  <c r="Z285" i="31"/>
  <c r="X285" i="31"/>
  <c r="Z284" i="31"/>
  <c r="X284" i="31"/>
  <c r="Z283" i="31"/>
  <c r="X283" i="31"/>
  <c r="Z282" i="31"/>
  <c r="X282" i="31"/>
  <c r="Z281" i="31"/>
  <c r="X281" i="31"/>
  <c r="Z267" i="31"/>
  <c r="Z268" i="31" s="1"/>
  <c r="Z265" i="31"/>
  <c r="Z264" i="31"/>
  <c r="Y263" i="31"/>
  <c r="Z243" i="31"/>
  <c r="AB221" i="31"/>
  <c r="AB213" i="31"/>
  <c r="AB196" i="31"/>
  <c r="AB199" i="31" s="1"/>
  <c r="AB188" i="31"/>
  <c r="AB174" i="31"/>
  <c r="AB172" i="31"/>
  <c r="AB163" i="31"/>
  <c r="AB149" i="31"/>
  <c r="AB138" i="31"/>
  <c r="B134" i="31"/>
  <c r="B238" i="31" s="1"/>
  <c r="B352" i="31" s="1"/>
  <c r="Z130" i="31"/>
  <c r="Z101" i="31"/>
  <c r="Z85" i="31"/>
  <c r="AB81" i="31"/>
  <c r="AB84" i="31" s="1"/>
  <c r="AB87" i="31" s="1"/>
  <c r="Z72" i="31"/>
  <c r="Z71" i="31"/>
  <c r="T70" i="31"/>
  <c r="AB65" i="31"/>
  <c r="AB64" i="31"/>
  <c r="Z61" i="31"/>
  <c r="X61" i="31"/>
  <c r="V61" i="31"/>
  <c r="R61" i="31"/>
  <c r="R67" i="31" s="1"/>
  <c r="P61" i="31"/>
  <c r="P67" i="31" s="1"/>
  <c r="AB59" i="31"/>
  <c r="T61" i="31"/>
  <c r="X49" i="31"/>
  <c r="X48" i="31"/>
  <c r="AB42" i="31"/>
  <c r="P31" i="31"/>
  <c r="N31" i="31"/>
  <c r="L31" i="31"/>
  <c r="J31" i="31"/>
  <c r="H31" i="31"/>
  <c r="F31" i="31"/>
  <c r="D31" i="31"/>
  <c r="P30" i="31"/>
  <c r="N30" i="31"/>
  <c r="L30" i="31"/>
  <c r="J30" i="31"/>
  <c r="H30" i="31"/>
  <c r="F30" i="31"/>
  <c r="D30" i="31"/>
  <c r="AB29" i="31"/>
  <c r="Y211" i="31" s="1"/>
  <c r="AB199" i="30"/>
  <c r="AB180" i="30"/>
  <c r="AB196" i="30"/>
  <c r="Z84" i="31" l="1"/>
  <c r="Z87" i="31" s="1"/>
  <c r="Z131" i="31" s="1"/>
  <c r="AB212" i="31"/>
  <c r="AB165" i="31"/>
  <c r="AB35" i="31"/>
  <c r="Z245" i="31" s="1"/>
  <c r="AB30" i="31"/>
  <c r="Y311" i="31"/>
  <c r="Y312" i="31"/>
  <c r="Y310" i="31"/>
  <c r="AB31" i="31"/>
  <c r="Z343" i="31" s="1"/>
  <c r="Y322" i="31"/>
  <c r="Y319" i="31"/>
  <c r="AA311" i="31"/>
  <c r="AA310" i="31"/>
  <c r="AA312" i="31"/>
  <c r="AA320" i="31"/>
  <c r="AA319" i="31"/>
  <c r="Y214" i="31"/>
  <c r="AB214" i="31" s="1"/>
  <c r="AB189" i="31"/>
  <c r="AB180" i="31" s="1"/>
  <c r="AB182" i="31" s="1"/>
  <c r="AB173" i="31"/>
  <c r="Z339" i="31"/>
  <c r="Y308" i="31"/>
  <c r="Y262" i="31"/>
  <c r="Z338" i="31"/>
  <c r="X338" i="31"/>
  <c r="Y299" i="31"/>
  <c r="Y293" i="31"/>
  <c r="Y294" i="31"/>
  <c r="Y295" i="31"/>
  <c r="Y296" i="31"/>
  <c r="Y297" i="31"/>
  <c r="Y298" i="31"/>
  <c r="AB228" i="31"/>
  <c r="AB234" i="31"/>
  <c r="AB232" i="31"/>
  <c r="AB230" i="31"/>
  <c r="AB226" i="31"/>
  <c r="AB131" i="31"/>
  <c r="AB58" i="31"/>
  <c r="AB61" i="31" s="1"/>
  <c r="AB67" i="31" s="1"/>
  <c r="Z341" i="31" s="1"/>
  <c r="AA293" i="31"/>
  <c r="AA297" i="31"/>
  <c r="AA322" i="31"/>
  <c r="Z257" i="31"/>
  <c r="AA294" i="31"/>
  <c r="AA298" i="31"/>
  <c r="X290" i="31"/>
  <c r="Y288" i="31" s="1"/>
  <c r="Y317" i="31"/>
  <c r="AB43" i="31"/>
  <c r="Z262" i="31"/>
  <c r="AA295" i="31"/>
  <c r="AA299" i="31"/>
  <c r="AA308" i="31"/>
  <c r="AA317" i="31"/>
  <c r="Z290" i="31"/>
  <c r="AA282" i="31" s="1"/>
  <c r="Y320" i="31"/>
  <c r="AA296" i="31"/>
  <c r="AB91" i="30"/>
  <c r="AB76" i="30"/>
  <c r="AB75" i="30"/>
  <c r="T58" i="30"/>
  <c r="Z257" i="30" s="1"/>
  <c r="Y314" i="31" l="1"/>
  <c r="Y215" i="31"/>
  <c r="AB190" i="31"/>
  <c r="AA314" i="31"/>
  <c r="Z340" i="31"/>
  <c r="AA324" i="31"/>
  <c r="Y284" i="31"/>
  <c r="Y281" i="31"/>
  <c r="AA288" i="31"/>
  <c r="AA283" i="31"/>
  <c r="AA285" i="31"/>
  <c r="AA287" i="31"/>
  <c r="AA281" i="31"/>
  <c r="Y302" i="31"/>
  <c r="Y286" i="31"/>
  <c r="Y287" i="31"/>
  <c r="Y285" i="31"/>
  <c r="AA302" i="31"/>
  <c r="AA284" i="31"/>
  <c r="Y283" i="31"/>
  <c r="Y282" i="31"/>
  <c r="AA286" i="31"/>
  <c r="Y324" i="31"/>
  <c r="Z74" i="30"/>
  <c r="AB130" i="30"/>
  <c r="Z268" i="30"/>
  <c r="Z212" i="30"/>
  <c r="Z214" i="30" s="1"/>
  <c r="Y212" i="30"/>
  <c r="Y214" i="30" s="1"/>
  <c r="AB204" i="30"/>
  <c r="AB195" i="30"/>
  <c r="AB187" i="30"/>
  <c r="AB179" i="30"/>
  <c r="AB168" i="30"/>
  <c r="AB171" i="30" s="1"/>
  <c r="AB173" i="30" s="1"/>
  <c r="AB162" i="30"/>
  <c r="AB165" i="30" s="1"/>
  <c r="AB150" i="30"/>
  <c r="AB159" i="30" s="1"/>
  <c r="AB139" i="30"/>
  <c r="AB146" i="30" s="1"/>
  <c r="AA336" i="30"/>
  <c r="Z336" i="30"/>
  <c r="Z263" i="30" s="1"/>
  <c r="Y336" i="30"/>
  <c r="X336" i="30"/>
  <c r="Z324" i="30"/>
  <c r="AA320" i="30" s="1"/>
  <c r="X324" i="30"/>
  <c r="Y320" i="30" s="1"/>
  <c r="Z314" i="30"/>
  <c r="AA311" i="30" s="1"/>
  <c r="X314" i="30"/>
  <c r="Y308" i="30" s="1"/>
  <c r="Y311" i="30"/>
  <c r="AA308" i="30"/>
  <c r="AA314" i="30" s="1"/>
  <c r="Z302" i="30"/>
  <c r="AA299" i="30" s="1"/>
  <c r="X302" i="30"/>
  <c r="Y300" i="30" s="1"/>
  <c r="Z288" i="30"/>
  <c r="X288" i="30"/>
  <c r="Z287" i="30"/>
  <c r="X287" i="30"/>
  <c r="Z286" i="30"/>
  <c r="X286" i="30"/>
  <c r="Z285" i="30"/>
  <c r="X285" i="30"/>
  <c r="Z284" i="30"/>
  <c r="X284" i="30"/>
  <c r="Z283" i="30"/>
  <c r="X283" i="30"/>
  <c r="Z282" i="30"/>
  <c r="X282" i="30"/>
  <c r="Z281" i="30"/>
  <c r="X281" i="30"/>
  <c r="Z267" i="30"/>
  <c r="Z265" i="30"/>
  <c r="Z264" i="30"/>
  <c r="Z262" i="30"/>
  <c r="Y262" i="30"/>
  <c r="Z243" i="30"/>
  <c r="AB221" i="30"/>
  <c r="AB213" i="30"/>
  <c r="AB206" i="30"/>
  <c r="AB198" i="30"/>
  <c r="AB189" i="30"/>
  <c r="AB190" i="30" s="1"/>
  <c r="AB181" i="30"/>
  <c r="AB174" i="30"/>
  <c r="AB172" i="30"/>
  <c r="AB163" i="30"/>
  <c r="AB149" i="30"/>
  <c r="AB138" i="30"/>
  <c r="B134" i="30"/>
  <c r="B238" i="30" s="1"/>
  <c r="B352" i="30" s="1"/>
  <c r="Z130" i="30"/>
  <c r="AB113" i="30"/>
  <c r="Z101" i="30"/>
  <c r="Z85" i="30"/>
  <c r="AB81" i="30"/>
  <c r="AB84" i="30" s="1"/>
  <c r="AB87" i="30" s="1"/>
  <c r="Z72" i="30"/>
  <c r="Z71" i="30"/>
  <c r="T70" i="30"/>
  <c r="AB65" i="30"/>
  <c r="AB64" i="30"/>
  <c r="Z61" i="30"/>
  <c r="X61" i="30"/>
  <c r="V61" i="30"/>
  <c r="T61" i="30"/>
  <c r="R61" i="30"/>
  <c r="R67" i="30" s="1"/>
  <c r="P61" i="30"/>
  <c r="P67" i="30" s="1"/>
  <c r="AB59" i="30"/>
  <c r="X49" i="30"/>
  <c r="X48" i="30"/>
  <c r="AB42" i="30"/>
  <c r="P31" i="30"/>
  <c r="N31" i="30"/>
  <c r="L31" i="30"/>
  <c r="J31" i="30"/>
  <c r="H31" i="30"/>
  <c r="F31" i="30"/>
  <c r="D31" i="30"/>
  <c r="P30" i="30"/>
  <c r="N30" i="30"/>
  <c r="L30" i="30"/>
  <c r="J30" i="30"/>
  <c r="H30" i="30"/>
  <c r="F30" i="30"/>
  <c r="D30" i="30"/>
  <c r="AB30" i="30" s="1"/>
  <c r="AB29" i="30"/>
  <c r="Y211" i="30" s="1"/>
  <c r="AB31" i="29"/>
  <c r="AB231" i="29"/>
  <c r="AA290" i="31" l="1"/>
  <c r="Y290" i="31"/>
  <c r="AB207" i="30"/>
  <c r="AB31" i="30"/>
  <c r="Z343" i="30" s="1"/>
  <c r="Y314" i="30"/>
  <c r="AA317" i="30"/>
  <c r="AA322" i="30"/>
  <c r="Y317" i="30"/>
  <c r="Y322" i="30"/>
  <c r="Z339" i="30"/>
  <c r="AB35" i="30"/>
  <c r="Z245" i="30" s="1"/>
  <c r="Z246" i="30" s="1"/>
  <c r="AA297" i="30"/>
  <c r="AA294" i="30"/>
  <c r="AA300" i="30"/>
  <c r="Z338" i="30"/>
  <c r="Y295" i="30"/>
  <c r="X290" i="30"/>
  <c r="Y286" i="30" s="1"/>
  <c r="X338" i="30"/>
  <c r="Y298" i="30"/>
  <c r="Y215" i="30"/>
  <c r="AB182" i="30"/>
  <c r="AB232" i="30"/>
  <c r="AB234" i="30"/>
  <c r="AB230" i="30"/>
  <c r="AB131" i="30"/>
  <c r="AB228" i="30"/>
  <c r="AB226" i="30"/>
  <c r="AB214" i="30"/>
  <c r="Z84" i="30"/>
  <c r="Z87" i="30" s="1"/>
  <c r="Z131" i="30" s="1"/>
  <c r="Z290" i="30"/>
  <c r="AA286" i="30" s="1"/>
  <c r="AB58" i="30"/>
  <c r="AB61" i="30" s="1"/>
  <c r="AB67" i="30" s="1"/>
  <c r="Z341" i="30" s="1"/>
  <c r="AA295" i="30"/>
  <c r="AA298" i="30"/>
  <c r="Y263" i="30"/>
  <c r="Y293" i="30"/>
  <c r="Y296" i="30"/>
  <c r="Y299" i="30"/>
  <c r="AB212" i="30"/>
  <c r="AB43" i="30"/>
  <c r="AA293" i="30"/>
  <c r="AA296" i="30"/>
  <c r="Y294" i="30"/>
  <c r="Y297" i="30"/>
  <c r="AB113" i="29"/>
  <c r="AB91" i="29"/>
  <c r="AB76" i="29"/>
  <c r="AB75" i="29"/>
  <c r="Z74" i="29"/>
  <c r="Y287" i="30" l="1"/>
  <c r="Y281" i="30"/>
  <c r="Y288" i="30"/>
  <c r="Y284" i="30"/>
  <c r="Y290" i="30" s="1"/>
  <c r="Y285" i="30"/>
  <c r="Y283" i="30"/>
  <c r="Y282" i="30"/>
  <c r="Z340" i="30"/>
  <c r="AA324" i="30"/>
  <c r="Y324" i="30"/>
  <c r="AA285" i="30"/>
  <c r="AA283" i="30"/>
  <c r="AA288" i="30"/>
  <c r="AA282" i="30"/>
  <c r="AA284" i="30"/>
  <c r="AA281" i="30"/>
  <c r="AA287" i="30"/>
  <c r="AA302" i="30"/>
  <c r="Y302" i="30"/>
  <c r="T58" i="29"/>
  <c r="AB58" i="29" s="1"/>
  <c r="AB61" i="29" s="1"/>
  <c r="Z211" i="29"/>
  <c r="Z213" i="29" s="1"/>
  <c r="Y211" i="29"/>
  <c r="Y213" i="29" s="1"/>
  <c r="AB203" i="29"/>
  <c r="AB206" i="29" s="1"/>
  <c r="AB195" i="29"/>
  <c r="AB187" i="29"/>
  <c r="AB179" i="29"/>
  <c r="AB182" i="29" s="1"/>
  <c r="AB168" i="29"/>
  <c r="AB162" i="29"/>
  <c r="AB165" i="29" s="1"/>
  <c r="AB150" i="29"/>
  <c r="AB159" i="29" s="1"/>
  <c r="AB139" i="29"/>
  <c r="AA335" i="29"/>
  <c r="Z335" i="29"/>
  <c r="Y335" i="29"/>
  <c r="X335" i="29"/>
  <c r="Z323" i="29"/>
  <c r="AA316" i="29" s="1"/>
  <c r="AA323" i="29" s="1"/>
  <c r="X323" i="29"/>
  <c r="Y316" i="29"/>
  <c r="Y323" i="29" s="1"/>
  <c r="Z313" i="29"/>
  <c r="Z261" i="29" s="1"/>
  <c r="X313" i="29"/>
  <c r="Y310" i="29" s="1"/>
  <c r="Z301" i="29"/>
  <c r="AA294" i="29" s="1"/>
  <c r="X301" i="29"/>
  <c r="Y299" i="29" s="1"/>
  <c r="Z287" i="29"/>
  <c r="X287" i="29"/>
  <c r="Z286" i="29"/>
  <c r="X286" i="29"/>
  <c r="Z285" i="29"/>
  <c r="X285" i="29"/>
  <c r="Z284" i="29"/>
  <c r="X284" i="29"/>
  <c r="Z283" i="29"/>
  <c r="X283" i="29"/>
  <c r="Z282" i="29"/>
  <c r="X282" i="29"/>
  <c r="Z281" i="29"/>
  <c r="X281" i="29"/>
  <c r="Z280" i="29"/>
  <c r="X280" i="29"/>
  <c r="Z266" i="29"/>
  <c r="Z267" i="29" s="1"/>
  <c r="Z264" i="29"/>
  <c r="Z263" i="29"/>
  <c r="Z262" i="29"/>
  <c r="Y262" i="29"/>
  <c r="Z242" i="29"/>
  <c r="AB220" i="29"/>
  <c r="AB212" i="29"/>
  <c r="AB205" i="29"/>
  <c r="AB197" i="29"/>
  <c r="AB196" i="29"/>
  <c r="AB198" i="29" s="1"/>
  <c r="AB190" i="29"/>
  <c r="AB189" i="29"/>
  <c r="AB181" i="29"/>
  <c r="AB180" i="29"/>
  <c r="AB174" i="29"/>
  <c r="AB172" i="29"/>
  <c r="AB171" i="29"/>
  <c r="AB163" i="29"/>
  <c r="AB149" i="29"/>
  <c r="AB146" i="29"/>
  <c r="AB138" i="29"/>
  <c r="B134" i="29"/>
  <c r="B237" i="29" s="1"/>
  <c r="B351" i="29" s="1"/>
  <c r="Z130" i="29"/>
  <c r="Z101" i="29"/>
  <c r="AB130" i="29"/>
  <c r="Z85" i="29"/>
  <c r="AB81" i="29"/>
  <c r="AB84" i="29"/>
  <c r="AB87" i="29" s="1"/>
  <c r="Z72" i="29"/>
  <c r="Z71" i="29"/>
  <c r="T70" i="29"/>
  <c r="P67" i="29"/>
  <c r="AB65" i="29"/>
  <c r="AB64" i="29"/>
  <c r="Z61" i="29"/>
  <c r="X61" i="29"/>
  <c r="V61" i="29"/>
  <c r="T61" i="29"/>
  <c r="R61" i="29"/>
  <c r="R67" i="29" s="1"/>
  <c r="P61" i="29"/>
  <c r="AB59" i="29"/>
  <c r="X49" i="29"/>
  <c r="X48" i="29"/>
  <c r="AB42" i="29"/>
  <c r="P31" i="29"/>
  <c r="N31" i="29"/>
  <c r="L31" i="29"/>
  <c r="J31" i="29"/>
  <c r="H31" i="29"/>
  <c r="F31" i="29"/>
  <c r="D31" i="29"/>
  <c r="P30" i="29"/>
  <c r="N30" i="29"/>
  <c r="L30" i="29"/>
  <c r="J30" i="29"/>
  <c r="H30" i="29"/>
  <c r="F30" i="29"/>
  <c r="D30" i="29"/>
  <c r="AB29" i="29"/>
  <c r="Y210" i="29" s="1"/>
  <c r="AA316" i="28"/>
  <c r="Y316" i="28"/>
  <c r="AA310" i="28"/>
  <c r="AA307" i="28"/>
  <c r="Y310" i="28"/>
  <c r="Y307" i="28"/>
  <c r="AA290" i="30" l="1"/>
  <c r="AB173" i="29"/>
  <c r="Z84" i="29"/>
  <c r="Z87" i="29" s="1"/>
  <c r="Z131" i="29" s="1"/>
  <c r="Z256" i="29"/>
  <c r="Z338" i="29"/>
  <c r="AB67" i="29"/>
  <c r="Z340" i="29" s="1"/>
  <c r="AB43" i="29"/>
  <c r="AB30" i="29"/>
  <c r="AB35" i="29" s="1"/>
  <c r="Z244" i="29" s="1"/>
  <c r="Z245" i="29" s="1"/>
  <c r="AA310" i="29"/>
  <c r="AA307" i="29"/>
  <c r="Y261" i="29"/>
  <c r="Y307" i="29"/>
  <c r="Y313" i="29" s="1"/>
  <c r="AA293" i="29"/>
  <c r="AA296" i="29"/>
  <c r="AA295" i="29"/>
  <c r="AA297" i="29"/>
  <c r="Z337" i="29"/>
  <c r="Z339" i="29" s="1"/>
  <c r="AA298" i="29"/>
  <c r="AA299" i="29"/>
  <c r="AA292" i="29"/>
  <c r="Y292" i="29"/>
  <c r="X289" i="29"/>
  <c r="Y287" i="29" s="1"/>
  <c r="X337" i="29"/>
  <c r="Y298" i="29"/>
  <c r="Y294" i="29"/>
  <c r="Y293" i="29"/>
  <c r="Y296" i="29"/>
  <c r="AB213" i="29"/>
  <c r="AB233" i="29"/>
  <c r="AB229" i="29"/>
  <c r="AB227" i="29"/>
  <c r="AB225" i="29"/>
  <c r="AB131" i="29"/>
  <c r="Y214" i="29"/>
  <c r="Z342" i="29"/>
  <c r="AB211" i="29"/>
  <c r="Z289" i="29"/>
  <c r="AA286" i="29" s="1"/>
  <c r="Y295" i="29"/>
  <c r="Y297" i="29"/>
  <c r="AB113" i="28"/>
  <c r="AB91" i="28"/>
  <c r="AB76" i="28"/>
  <c r="AB75" i="28"/>
  <c r="Z74" i="28"/>
  <c r="T58" i="28"/>
  <c r="AA313" i="29" l="1"/>
  <c r="AA301" i="29"/>
  <c r="AA284" i="29"/>
  <c r="AA282" i="29"/>
  <c r="AA280" i="29"/>
  <c r="AA287" i="29"/>
  <c r="AA283" i="29"/>
  <c r="AA281" i="29"/>
  <c r="Y281" i="29"/>
  <c r="Y283" i="29"/>
  <c r="Y285" i="29"/>
  <c r="Y284" i="29"/>
  <c r="Y280" i="29"/>
  <c r="Y286" i="29"/>
  <c r="Y282" i="29"/>
  <c r="Y301" i="29"/>
  <c r="AA285" i="29"/>
  <c r="Z211" i="28"/>
  <c r="Z213" i="28" s="1"/>
  <c r="Y211" i="28"/>
  <c r="AB203" i="28"/>
  <c r="AB206" i="28" s="1"/>
  <c r="AB195" i="28"/>
  <c r="AB187" i="28"/>
  <c r="AB179" i="28"/>
  <c r="AB168" i="28"/>
  <c r="AB171" i="28" s="1"/>
  <c r="AB173" i="28" s="1"/>
  <c r="AB162" i="28"/>
  <c r="AB150" i="28"/>
  <c r="AB159" i="28" s="1"/>
  <c r="AB139" i="28"/>
  <c r="AB146" i="28" s="1"/>
  <c r="AA335" i="28"/>
  <c r="Z335" i="28"/>
  <c r="Y335" i="28"/>
  <c r="X335" i="28"/>
  <c r="AA323" i="28"/>
  <c r="Z323" i="28"/>
  <c r="Y323" i="28"/>
  <c r="X323" i="28"/>
  <c r="AA313" i="28"/>
  <c r="Z313" i="28"/>
  <c r="Y313" i="28"/>
  <c r="X313" i="28"/>
  <c r="Y261" i="28" s="1"/>
  <c r="Z301" i="28"/>
  <c r="AA299" i="28" s="1"/>
  <c r="X301" i="28"/>
  <c r="Y299" i="28" s="1"/>
  <c r="Z287" i="28"/>
  <c r="X287" i="28"/>
  <c r="Z286" i="28"/>
  <c r="X286" i="28"/>
  <c r="Z285" i="28"/>
  <c r="X285" i="28"/>
  <c r="Z284" i="28"/>
  <c r="X284" i="28"/>
  <c r="Z283" i="28"/>
  <c r="X283" i="28"/>
  <c r="Z282" i="28"/>
  <c r="X282" i="28"/>
  <c r="Z281" i="28"/>
  <c r="X281" i="28"/>
  <c r="Z280" i="28"/>
  <c r="X280" i="28"/>
  <c r="Z266" i="28"/>
  <c r="Z267" i="28" s="1"/>
  <c r="Z264" i="28"/>
  <c r="Z263" i="28"/>
  <c r="Z262" i="28"/>
  <c r="Y262" i="28"/>
  <c r="Z261" i="28"/>
  <c r="Z242" i="28"/>
  <c r="AB220" i="28"/>
  <c r="AB212" i="28"/>
  <c r="Y210" i="28"/>
  <c r="AB205" i="28"/>
  <c r="AB197" i="28"/>
  <c r="AB196" i="28"/>
  <c r="AB190" i="28"/>
  <c r="AB189" i="28"/>
  <c r="AB181" i="28"/>
  <c r="AB180" i="28"/>
  <c r="AB182" i="28"/>
  <c r="AB174" i="28"/>
  <c r="AB172" i="28"/>
  <c r="AB165" i="28"/>
  <c r="AB163" i="28"/>
  <c r="AB149" i="28"/>
  <c r="AB138" i="28"/>
  <c r="B134" i="28"/>
  <c r="B237" i="28" s="1"/>
  <c r="B351" i="28" s="1"/>
  <c r="Z130" i="28"/>
  <c r="Z101" i="28"/>
  <c r="AB130" i="28"/>
  <c r="Z85" i="28"/>
  <c r="AB81" i="28"/>
  <c r="AB84" i="28"/>
  <c r="AB87" i="28" s="1"/>
  <c r="Z72" i="28"/>
  <c r="Z71" i="28"/>
  <c r="T70" i="28"/>
  <c r="R67" i="28"/>
  <c r="AB65" i="28"/>
  <c r="AB64" i="28"/>
  <c r="Z61" i="28"/>
  <c r="X61" i="28"/>
  <c r="V61" i="28"/>
  <c r="R61" i="28"/>
  <c r="P61" i="28"/>
  <c r="P67" i="28" s="1"/>
  <c r="AB59" i="28"/>
  <c r="Z84" i="28"/>
  <c r="Z87" i="28" s="1"/>
  <c r="X49" i="28"/>
  <c r="X48" i="28"/>
  <c r="AB42" i="28"/>
  <c r="P31" i="28"/>
  <c r="N31" i="28"/>
  <c r="L31" i="28"/>
  <c r="J31" i="28"/>
  <c r="H31" i="28"/>
  <c r="F31" i="28"/>
  <c r="D31" i="28"/>
  <c r="P30" i="28"/>
  <c r="N30" i="28"/>
  <c r="L30" i="28"/>
  <c r="J30" i="28"/>
  <c r="H30" i="28"/>
  <c r="F30" i="28"/>
  <c r="D30" i="28"/>
  <c r="AB30" i="28" s="1"/>
  <c r="AB35" i="28" s="1"/>
  <c r="Z244" i="28" s="1"/>
  <c r="Z245" i="28" s="1"/>
  <c r="AB29" i="28"/>
  <c r="V58" i="27"/>
  <c r="AA289" i="29" l="1"/>
  <c r="Y289" i="29"/>
  <c r="Z289" i="28"/>
  <c r="AA294" i="28"/>
  <c r="AA295" i="28"/>
  <c r="AA296" i="28"/>
  <c r="AA297" i="28"/>
  <c r="AA292" i="28"/>
  <c r="AA298" i="28"/>
  <c r="AA293" i="28"/>
  <c r="Y295" i="28"/>
  <c r="Y294" i="28"/>
  <c r="Y297" i="28"/>
  <c r="Y292" i="28"/>
  <c r="Y298" i="28"/>
  <c r="Y296" i="28"/>
  <c r="Y293" i="28"/>
  <c r="Z337" i="28"/>
  <c r="X337" i="28"/>
  <c r="AB198" i="28"/>
  <c r="Z131" i="28"/>
  <c r="Z338" i="28"/>
  <c r="AB211" i="28"/>
  <c r="Z342" i="28"/>
  <c r="Z246" i="28"/>
  <c r="AB227" i="28"/>
  <c r="AB233" i="28"/>
  <c r="AB225" i="28"/>
  <c r="AB131" i="28"/>
  <c r="AB231" i="28"/>
  <c r="AB229" i="28"/>
  <c r="AA286" i="28"/>
  <c r="AA284" i="28"/>
  <c r="AA282" i="28"/>
  <c r="AA280" i="28"/>
  <c r="AA287" i="28"/>
  <c r="AA285" i="28"/>
  <c r="AA283" i="28"/>
  <c r="AA281" i="28"/>
  <c r="AB43" i="28"/>
  <c r="Y213" i="28"/>
  <c r="AB213" i="28" s="1"/>
  <c r="X289" i="28"/>
  <c r="Y281" i="28" s="1"/>
  <c r="Z256" i="28"/>
  <c r="AB31" i="28"/>
  <c r="AB58" i="28"/>
  <c r="AB61" i="28" s="1"/>
  <c r="AB67" i="28" s="1"/>
  <c r="Z340" i="28" s="1"/>
  <c r="T61" i="28"/>
  <c r="AB91" i="27"/>
  <c r="AB76" i="27"/>
  <c r="AB75" i="27"/>
  <c r="Z74" i="27"/>
  <c r="T58" i="27"/>
  <c r="Z339" i="28" l="1"/>
  <c r="AA301" i="28"/>
  <c r="Y301" i="28"/>
  <c r="Y283" i="28"/>
  <c r="Y280" i="28"/>
  <c r="AA289" i="28"/>
  <c r="Y287" i="28"/>
  <c r="Y286" i="28"/>
  <c r="Y285" i="28"/>
  <c r="Y284" i="28"/>
  <c r="Y282" i="28"/>
  <c r="Y214" i="28"/>
  <c r="Z267" i="27"/>
  <c r="Z211" i="27"/>
  <c r="Y211" i="27"/>
  <c r="Y213" i="27" s="1"/>
  <c r="AB203" i="27"/>
  <c r="AB195" i="27"/>
  <c r="AB187" i="27"/>
  <c r="AB179" i="27"/>
  <c r="AB168" i="27"/>
  <c r="AB171" i="27" s="1"/>
  <c r="AB162" i="27"/>
  <c r="AB150" i="27"/>
  <c r="AB159" i="27" s="1"/>
  <c r="AB139" i="27"/>
  <c r="AB146" i="27" s="1"/>
  <c r="AA335" i="27"/>
  <c r="Z335" i="27"/>
  <c r="Y335" i="27"/>
  <c r="X335" i="27"/>
  <c r="AA323" i="27"/>
  <c r="Z323" i="27"/>
  <c r="Y323" i="27"/>
  <c r="X323" i="27"/>
  <c r="AA313" i="27"/>
  <c r="Z313" i="27"/>
  <c r="Z261" i="27" s="1"/>
  <c r="Y313" i="27"/>
  <c r="X313" i="27"/>
  <c r="Y261" i="27" s="1"/>
  <c r="Z301" i="27"/>
  <c r="AA298" i="27" s="1"/>
  <c r="X301" i="27"/>
  <c r="Y297" i="27" s="1"/>
  <c r="Z287" i="27"/>
  <c r="X287" i="27"/>
  <c r="Z286" i="27"/>
  <c r="X286" i="27"/>
  <c r="Z285" i="27"/>
  <c r="X285" i="27"/>
  <c r="Z284" i="27"/>
  <c r="X284" i="27"/>
  <c r="Z283" i="27"/>
  <c r="X283" i="27"/>
  <c r="Z282" i="27"/>
  <c r="X282" i="27"/>
  <c r="Z281" i="27"/>
  <c r="X281" i="27"/>
  <c r="Z280" i="27"/>
  <c r="X280" i="27"/>
  <c r="Z266" i="27"/>
  <c r="Z264" i="27"/>
  <c r="Z263" i="27"/>
  <c r="Y262" i="27"/>
  <c r="Z256" i="27"/>
  <c r="Z242" i="27"/>
  <c r="AB220" i="27"/>
  <c r="AB212" i="27"/>
  <c r="Z213" i="27"/>
  <c r="AB205" i="27"/>
  <c r="AB197" i="27"/>
  <c r="AB196" i="27"/>
  <c r="AB189" i="27"/>
  <c r="AB190" i="27" s="1"/>
  <c r="AB181" i="27"/>
  <c r="AB180" i="27"/>
  <c r="AB174" i="27"/>
  <c r="AB172" i="27"/>
  <c r="AB163" i="27"/>
  <c r="AB149" i="27"/>
  <c r="AB138" i="27"/>
  <c r="B134" i="27"/>
  <c r="B237" i="27" s="1"/>
  <c r="B351" i="27" s="1"/>
  <c r="Z130" i="27"/>
  <c r="AB113" i="27"/>
  <c r="AB130" i="27" s="1"/>
  <c r="Z101" i="27"/>
  <c r="Z85" i="27"/>
  <c r="AB81" i="27"/>
  <c r="AB84" i="27"/>
  <c r="AB87" i="27" s="1"/>
  <c r="Z72" i="27"/>
  <c r="Z71" i="27"/>
  <c r="T70" i="27"/>
  <c r="AB65" i="27"/>
  <c r="AB64" i="27"/>
  <c r="Z338" i="27" s="1"/>
  <c r="Z61" i="27"/>
  <c r="X61" i="27"/>
  <c r="V61" i="27"/>
  <c r="T61" i="27"/>
  <c r="R61" i="27"/>
  <c r="R67" i="27" s="1"/>
  <c r="P61" i="27"/>
  <c r="P67" i="27" s="1"/>
  <c r="AB59" i="27"/>
  <c r="AB58" i="27"/>
  <c r="X49" i="27"/>
  <c r="X48" i="27"/>
  <c r="AB42" i="27"/>
  <c r="P31" i="27"/>
  <c r="N31" i="27"/>
  <c r="L31" i="27"/>
  <c r="J31" i="27"/>
  <c r="H31" i="27"/>
  <c r="F31" i="27"/>
  <c r="D31" i="27"/>
  <c r="P30" i="27"/>
  <c r="N30" i="27"/>
  <c r="L30" i="27"/>
  <c r="J30" i="27"/>
  <c r="H30" i="27"/>
  <c r="F30" i="27"/>
  <c r="D30" i="27"/>
  <c r="AB29" i="27"/>
  <c r="Y210" i="27" s="1"/>
  <c r="Z342" i="26"/>
  <c r="Y289" i="28" l="1"/>
  <c r="AB173" i="27"/>
  <c r="Z84" i="27"/>
  <c r="Z87" i="27" s="1"/>
  <c r="AB61" i="27"/>
  <c r="AB67" i="27" s="1"/>
  <c r="Z340" i="27" s="1"/>
  <c r="AB165" i="27"/>
  <c r="Z342" i="27"/>
  <c r="AB182" i="27"/>
  <c r="AB206" i="27"/>
  <c r="Z131" i="27"/>
  <c r="AB31" i="27"/>
  <c r="AB43" i="27"/>
  <c r="AB30" i="27"/>
  <c r="AB35" i="27" s="1"/>
  <c r="Z244" i="27" s="1"/>
  <c r="Z245" i="27" s="1"/>
  <c r="Z337" i="27"/>
  <c r="Z339" i="27" s="1"/>
  <c r="Y293" i="27"/>
  <c r="Y296" i="27"/>
  <c r="X289" i="27"/>
  <c r="Y286" i="27" s="1"/>
  <c r="Y292" i="27"/>
  <c r="Y294" i="27"/>
  <c r="X337" i="27"/>
  <c r="Y298" i="27"/>
  <c r="Y295" i="27"/>
  <c r="Y299" i="27"/>
  <c r="AB213" i="27"/>
  <c r="Y214" i="27"/>
  <c r="AB211" i="27"/>
  <c r="AB198" i="27"/>
  <c r="AB233" i="27"/>
  <c r="AB225" i="27"/>
  <c r="AB131" i="27"/>
  <c r="Z246" i="27"/>
  <c r="AB231" i="27"/>
  <c r="AB229" i="27"/>
  <c r="AB227" i="27"/>
  <c r="Z289" i="27"/>
  <c r="AA287" i="27" s="1"/>
  <c r="Z262" i="27"/>
  <c r="AA293" i="27"/>
  <c r="AA295" i="27"/>
  <c r="AA297" i="27"/>
  <c r="AA299" i="27"/>
  <c r="AA292" i="27"/>
  <c r="AA294" i="27"/>
  <c r="AA296" i="27"/>
  <c r="AB113" i="26"/>
  <c r="AB91" i="26"/>
  <c r="AB76" i="26"/>
  <c r="AB75" i="26"/>
  <c r="AA286" i="27" l="1"/>
  <c r="AA283" i="27"/>
  <c r="AA301" i="27"/>
  <c r="AA284" i="27"/>
  <c r="AA282" i="27"/>
  <c r="AA285" i="27"/>
  <c r="Y283" i="27"/>
  <c r="Y280" i="27"/>
  <c r="Y285" i="27"/>
  <c r="Y284" i="27"/>
  <c r="Y281" i="27"/>
  <c r="Y287" i="27"/>
  <c r="Y301" i="27"/>
  <c r="Y282" i="27"/>
  <c r="AA280" i="27"/>
  <c r="AA281" i="27"/>
  <c r="Z74" i="26"/>
  <c r="T58" i="26"/>
  <c r="AB31" i="26"/>
  <c r="Y289" i="27" l="1"/>
  <c r="AA289" i="27"/>
  <c r="Z211" i="26"/>
  <c r="Y211" i="26"/>
  <c r="Y213" i="26" s="1"/>
  <c r="AB203" i="26"/>
  <c r="AB195" i="26"/>
  <c r="AB187" i="26"/>
  <c r="AB179" i="26"/>
  <c r="AB168" i="26"/>
  <c r="AB171" i="26" s="1"/>
  <c r="AB162" i="26"/>
  <c r="AB150" i="26"/>
  <c r="AB139" i="26"/>
  <c r="AA335" i="26"/>
  <c r="Z335" i="26"/>
  <c r="Y335" i="26"/>
  <c r="X335" i="26"/>
  <c r="AA323" i="26"/>
  <c r="Z323" i="26"/>
  <c r="Y323" i="26"/>
  <c r="X323" i="26"/>
  <c r="AA313" i="26"/>
  <c r="Z313" i="26"/>
  <c r="Z261" i="26" s="1"/>
  <c r="Y313" i="26"/>
  <c r="X313" i="26"/>
  <c r="Y261" i="26" s="1"/>
  <c r="Z301" i="26"/>
  <c r="AA299" i="26" s="1"/>
  <c r="X301" i="26"/>
  <c r="Y299" i="26" s="1"/>
  <c r="Z287" i="26"/>
  <c r="X287" i="26"/>
  <c r="Z286" i="26"/>
  <c r="X286" i="26"/>
  <c r="Z285" i="26"/>
  <c r="X285" i="26"/>
  <c r="Z284" i="26"/>
  <c r="X284" i="26"/>
  <c r="Z283" i="26"/>
  <c r="X283" i="26"/>
  <c r="Z282" i="26"/>
  <c r="X282" i="26"/>
  <c r="Z281" i="26"/>
  <c r="X281" i="26"/>
  <c r="Z280" i="26"/>
  <c r="X280" i="26"/>
  <c r="Z266" i="26"/>
  <c r="Z267" i="26" s="1"/>
  <c r="Z264" i="26"/>
  <c r="Z263" i="26"/>
  <c r="Z262" i="26"/>
  <c r="Y262" i="26"/>
  <c r="Z242" i="26"/>
  <c r="AB220" i="26"/>
  <c r="AB212" i="26"/>
  <c r="Z213" i="26"/>
  <c r="AB205" i="26"/>
  <c r="AB206" i="26" s="1"/>
  <c r="AB197" i="26"/>
  <c r="AB196" i="26"/>
  <c r="AB189" i="26"/>
  <c r="AB190" i="26" s="1"/>
  <c r="AB181" i="26"/>
  <c r="AB180" i="26"/>
  <c r="AB174" i="26"/>
  <c r="AB172" i="26"/>
  <c r="AB163" i="26"/>
  <c r="AB159" i="26"/>
  <c r="AB149" i="26"/>
  <c r="AB146" i="26"/>
  <c r="AB138" i="26"/>
  <c r="B134" i="26"/>
  <c r="B237" i="26" s="1"/>
  <c r="B351" i="26" s="1"/>
  <c r="Z130" i="26"/>
  <c r="Z101" i="26"/>
  <c r="Z85" i="26"/>
  <c r="AB81" i="26"/>
  <c r="Z72" i="26"/>
  <c r="Z71" i="26"/>
  <c r="T70" i="26"/>
  <c r="AB65" i="26"/>
  <c r="AB64" i="26"/>
  <c r="Z61" i="26"/>
  <c r="X61" i="26"/>
  <c r="V61" i="26"/>
  <c r="R61" i="26"/>
  <c r="R67" i="26" s="1"/>
  <c r="P61" i="26"/>
  <c r="P67" i="26" s="1"/>
  <c r="AB59" i="26"/>
  <c r="Z256" i="26"/>
  <c r="X49" i="26"/>
  <c r="X48" i="26"/>
  <c r="AB42" i="26"/>
  <c r="P31" i="26"/>
  <c r="N31" i="26"/>
  <c r="L31" i="26"/>
  <c r="J31" i="26"/>
  <c r="H31" i="26"/>
  <c r="F31" i="26"/>
  <c r="D31" i="26"/>
  <c r="P30" i="26"/>
  <c r="N30" i="26"/>
  <c r="L30" i="26"/>
  <c r="J30" i="26"/>
  <c r="H30" i="26"/>
  <c r="F30" i="26"/>
  <c r="D30" i="26"/>
  <c r="AB29" i="26"/>
  <c r="Y210" i="26" s="1"/>
  <c r="AB113" i="25"/>
  <c r="AB91" i="25"/>
  <c r="AB76" i="25"/>
  <c r="AB75" i="25"/>
  <c r="AB30" i="26" l="1"/>
  <c r="AB35" i="26" s="1"/>
  <c r="Z244" i="26" s="1"/>
  <c r="Z245" i="26" s="1"/>
  <c r="AB58" i="26"/>
  <c r="AB61" i="26" s="1"/>
  <c r="AB67" i="26" s="1"/>
  <c r="Z340" i="26" s="1"/>
  <c r="T61" i="26"/>
  <c r="AB182" i="26"/>
  <c r="AB173" i="26"/>
  <c r="Z338" i="26"/>
  <c r="AB84" i="26"/>
  <c r="AB87" i="26" s="1"/>
  <c r="AB233" i="26" s="1"/>
  <c r="AB130" i="26"/>
  <c r="X289" i="26"/>
  <c r="Y281" i="26" s="1"/>
  <c r="Y297" i="26"/>
  <c r="AB165" i="26"/>
  <c r="AB198" i="26"/>
  <c r="AA294" i="26"/>
  <c r="AA296" i="26"/>
  <c r="AA292" i="26"/>
  <c r="AA293" i="26"/>
  <c r="AA297" i="26"/>
  <c r="AA295" i="26"/>
  <c r="AA298" i="26"/>
  <c r="Z337" i="26"/>
  <c r="X337" i="26"/>
  <c r="Y292" i="26"/>
  <c r="Y294" i="26"/>
  <c r="Y293" i="26"/>
  <c r="Y295" i="26"/>
  <c r="Y296" i="26"/>
  <c r="Y298" i="26"/>
  <c r="Y214" i="26"/>
  <c r="AB213" i="26"/>
  <c r="Y283" i="26"/>
  <c r="Y284" i="26"/>
  <c r="AB43" i="26"/>
  <c r="Z84" i="26"/>
  <c r="Z87" i="26" s="1"/>
  <c r="Z131" i="26" s="1"/>
  <c r="AB211" i="26"/>
  <c r="Z289" i="26"/>
  <c r="AA287" i="26" s="1"/>
  <c r="Z74" i="25"/>
  <c r="T58" i="25"/>
  <c r="AB225" i="26" l="1"/>
  <c r="AB231" i="26"/>
  <c r="AB229" i="26"/>
  <c r="Y286" i="26"/>
  <c r="Y287" i="26"/>
  <c r="Y285" i="26"/>
  <c r="Y280" i="26"/>
  <c r="Y282" i="26"/>
  <c r="AB227" i="26"/>
  <c r="AB131" i="26"/>
  <c r="Z246" i="26"/>
  <c r="AA301" i="26"/>
  <c r="Z339" i="26"/>
  <c r="Y301" i="26"/>
  <c r="AA281" i="26"/>
  <c r="AA285" i="26"/>
  <c r="AA284" i="26"/>
  <c r="AA283" i="26"/>
  <c r="AA282" i="26"/>
  <c r="AA280" i="26"/>
  <c r="AA286" i="26"/>
  <c r="Z267" i="25"/>
  <c r="Z211" i="25"/>
  <c r="Y211" i="25"/>
  <c r="Y213" i="25" s="1"/>
  <c r="AB203" i="25"/>
  <c r="AB195" i="25"/>
  <c r="AB187" i="25"/>
  <c r="AB179" i="25"/>
  <c r="AB182" i="25" s="1"/>
  <c r="AB168" i="25"/>
  <c r="AB171" i="25" s="1"/>
  <c r="AB162" i="25"/>
  <c r="AB165" i="25" s="1"/>
  <c r="AB150" i="25"/>
  <c r="AB139" i="25"/>
  <c r="Z347" i="25"/>
  <c r="X347" i="25"/>
  <c r="Y347" i="25"/>
  <c r="AA335" i="25"/>
  <c r="Z335" i="25"/>
  <c r="Y335" i="25"/>
  <c r="X335" i="25"/>
  <c r="AA323" i="25"/>
  <c r="Z323" i="25"/>
  <c r="Y323" i="25"/>
  <c r="X323" i="25"/>
  <c r="AA313" i="25"/>
  <c r="Z313" i="25"/>
  <c r="Y313" i="25"/>
  <c r="X313" i="25"/>
  <c r="Z301" i="25"/>
  <c r="AA299" i="25" s="1"/>
  <c r="X301" i="25"/>
  <c r="Y299" i="25" s="1"/>
  <c r="Z287" i="25"/>
  <c r="X287" i="25"/>
  <c r="Z286" i="25"/>
  <c r="X286" i="25"/>
  <c r="Z285" i="25"/>
  <c r="X285" i="25"/>
  <c r="Z284" i="25"/>
  <c r="X284" i="25"/>
  <c r="Z283" i="25"/>
  <c r="X283" i="25"/>
  <c r="Z282" i="25"/>
  <c r="X282" i="25"/>
  <c r="Z281" i="25"/>
  <c r="X281" i="25"/>
  <c r="Z280" i="25"/>
  <c r="X280" i="25"/>
  <c r="Z266" i="25"/>
  <c r="Z264" i="25"/>
  <c r="Z263" i="25"/>
  <c r="Z262" i="25"/>
  <c r="Y262" i="25"/>
  <c r="Z261" i="25"/>
  <c r="Y261" i="25"/>
  <c r="Z242" i="25"/>
  <c r="AB220" i="25"/>
  <c r="AB212" i="25"/>
  <c r="Z213" i="25"/>
  <c r="AB205" i="25"/>
  <c r="AB206" i="25" s="1"/>
  <c r="AB197" i="25"/>
  <c r="AB196" i="25"/>
  <c r="AB189" i="25"/>
  <c r="AB190" i="25" s="1"/>
  <c r="AB181" i="25"/>
  <c r="AB180" i="25"/>
  <c r="AB174" i="25"/>
  <c r="AB172" i="25"/>
  <c r="AB163" i="25"/>
  <c r="AB159" i="25"/>
  <c r="AB149" i="25"/>
  <c r="AB146" i="25"/>
  <c r="AB138" i="25"/>
  <c r="B134" i="25"/>
  <c r="B237" i="25" s="1"/>
  <c r="B368" i="25" s="1"/>
  <c r="Z130" i="25"/>
  <c r="Z101" i="25"/>
  <c r="AB130" i="25"/>
  <c r="Z85" i="25"/>
  <c r="AB81" i="25"/>
  <c r="AB84" i="25"/>
  <c r="AB87" i="25" s="1"/>
  <c r="Z72" i="25"/>
  <c r="Z71" i="25"/>
  <c r="T70" i="25"/>
  <c r="AB65" i="25"/>
  <c r="AB64" i="25"/>
  <c r="Z61" i="25"/>
  <c r="X61" i="25"/>
  <c r="V61" i="25"/>
  <c r="T61" i="25"/>
  <c r="R61" i="25"/>
  <c r="R67" i="25" s="1"/>
  <c r="P61" i="25"/>
  <c r="P67" i="25" s="1"/>
  <c r="AB59" i="25"/>
  <c r="AB58" i="25"/>
  <c r="AB61" i="25" s="1"/>
  <c r="Z256" i="25"/>
  <c r="X49" i="25"/>
  <c r="X48" i="25"/>
  <c r="AB42" i="25"/>
  <c r="P31" i="25"/>
  <c r="N31" i="25"/>
  <c r="L31" i="25"/>
  <c r="J31" i="25"/>
  <c r="H31" i="25"/>
  <c r="F31" i="25"/>
  <c r="D31" i="25"/>
  <c r="P30" i="25"/>
  <c r="N30" i="25"/>
  <c r="L30" i="25"/>
  <c r="J30" i="25"/>
  <c r="H30" i="25"/>
  <c r="AB30" i="25" s="1"/>
  <c r="AB35" i="25" s="1"/>
  <c r="Z244" i="25" s="1"/>
  <c r="Z245" i="25" s="1"/>
  <c r="F30" i="25"/>
  <c r="D30" i="25"/>
  <c r="AB29" i="25"/>
  <c r="Y210" i="25" s="1"/>
  <c r="Y289" i="26" l="1"/>
  <c r="AA289" i="26"/>
  <c r="AB198" i="25"/>
  <c r="AB173" i="25"/>
  <c r="AB67" i="25"/>
  <c r="Z355" i="25" s="1"/>
  <c r="Z353" i="25"/>
  <c r="Z84" i="25"/>
  <c r="Z87" i="25" s="1"/>
  <c r="Z131" i="25" s="1"/>
  <c r="AB43" i="25"/>
  <c r="AA294" i="25"/>
  <c r="AA298" i="25"/>
  <c r="AA292" i="25"/>
  <c r="Z352" i="25"/>
  <c r="AA296" i="25"/>
  <c r="X289" i="25"/>
  <c r="Y287" i="25" s="1"/>
  <c r="Y295" i="25"/>
  <c r="Y298" i="25"/>
  <c r="Y293" i="25"/>
  <c r="Y296" i="25"/>
  <c r="Y292" i="25"/>
  <c r="Y297" i="25"/>
  <c r="Y294" i="25"/>
  <c r="X352" i="25"/>
  <c r="AB213" i="25"/>
  <c r="Y286" i="25"/>
  <c r="Y283" i="25"/>
  <c r="Y280" i="25"/>
  <c r="Y284" i="25"/>
  <c r="Y281" i="25"/>
  <c r="Y285" i="25"/>
  <c r="AB231" i="25"/>
  <c r="AB229" i="25"/>
  <c r="AB225" i="25"/>
  <c r="AB131" i="25"/>
  <c r="Z246" i="25"/>
  <c r="AB227" i="25"/>
  <c r="AB233" i="25"/>
  <c r="Y214" i="25"/>
  <c r="AB211" i="25"/>
  <c r="Z289" i="25"/>
  <c r="AA280" i="25" s="1"/>
  <c r="AB31" i="25"/>
  <c r="Z357" i="25" s="1"/>
  <c r="AA293" i="25"/>
  <c r="AA295" i="25"/>
  <c r="AA297" i="25"/>
  <c r="AA347" i="25"/>
  <c r="Y348" i="25"/>
  <c r="Z74" i="24"/>
  <c r="Z354" i="25" l="1"/>
  <c r="AA286" i="25"/>
  <c r="AA301" i="25"/>
  <c r="AA285" i="25"/>
  <c r="AA348" i="25"/>
  <c r="Y282" i="25"/>
  <c r="Y301" i="25"/>
  <c r="AA283" i="25"/>
  <c r="AA284" i="25"/>
  <c r="AA281" i="25"/>
  <c r="AA282" i="25"/>
  <c r="Y289" i="25"/>
  <c r="AA287" i="25"/>
  <c r="AB31" i="24"/>
  <c r="AB30" i="24"/>
  <c r="AA289" i="25" l="1"/>
  <c r="AB113" i="24"/>
  <c r="AB91" i="24"/>
  <c r="AB76" i="24"/>
  <c r="AB75" i="24"/>
  <c r="T58" i="24"/>
  <c r="Z211" i="24" l="1"/>
  <c r="Y211" i="24"/>
  <c r="AB203" i="24"/>
  <c r="AB195" i="24"/>
  <c r="AB187" i="24"/>
  <c r="AB179" i="24"/>
  <c r="AB168" i="24"/>
  <c r="AB162" i="24"/>
  <c r="AB150" i="24"/>
  <c r="AB159" i="24" s="1"/>
  <c r="AB139" i="24"/>
  <c r="AA350" i="24"/>
  <c r="Z347" i="24"/>
  <c r="AA349" i="24" s="1"/>
  <c r="X347" i="24"/>
  <c r="Y350" i="24" s="1"/>
  <c r="Y345" i="24"/>
  <c r="AA344" i="24"/>
  <c r="Y343" i="24"/>
  <c r="AA342" i="24"/>
  <c r="AA340" i="24"/>
  <c r="Y340" i="24"/>
  <c r="AA339" i="24"/>
  <c r="AA338" i="24"/>
  <c r="Y338" i="24"/>
  <c r="AA335" i="24"/>
  <c r="Z335" i="24"/>
  <c r="Y335" i="24"/>
  <c r="X335" i="24"/>
  <c r="AA323" i="24"/>
  <c r="Z323" i="24"/>
  <c r="Y323" i="24"/>
  <c r="X323" i="24"/>
  <c r="AA313" i="24"/>
  <c r="Z313" i="24"/>
  <c r="Y313" i="24"/>
  <c r="X313" i="24"/>
  <c r="Z301" i="24"/>
  <c r="AA296" i="24" s="1"/>
  <c r="X301" i="24"/>
  <c r="Y299" i="24" s="1"/>
  <c r="AA295" i="24"/>
  <c r="AA293" i="24"/>
  <c r="Z287" i="24"/>
  <c r="X287" i="24"/>
  <c r="Z286" i="24"/>
  <c r="X286" i="24"/>
  <c r="Z285" i="24"/>
  <c r="X285" i="24"/>
  <c r="Z284" i="24"/>
  <c r="X284" i="24"/>
  <c r="Z283" i="24"/>
  <c r="X283" i="24"/>
  <c r="Z282" i="24"/>
  <c r="X282" i="24"/>
  <c r="Z281" i="24"/>
  <c r="X281" i="24"/>
  <c r="Z280" i="24"/>
  <c r="X280" i="24"/>
  <c r="Z266" i="24"/>
  <c r="Z267" i="24" s="1"/>
  <c r="Z264" i="24"/>
  <c r="Z263" i="24"/>
  <c r="Z262" i="24"/>
  <c r="Y262" i="24"/>
  <c r="Z261" i="24"/>
  <c r="Y261" i="24"/>
  <c r="Z242" i="24"/>
  <c r="AB220" i="24"/>
  <c r="AB212" i="24"/>
  <c r="Z213" i="24"/>
  <c r="Y213" i="24"/>
  <c r="AB205" i="24"/>
  <c r="AB197" i="24"/>
  <c r="AB196" i="24"/>
  <c r="AB198" i="24" s="1"/>
  <c r="AB189" i="24"/>
  <c r="AB190" i="24" s="1"/>
  <c r="AB181" i="24"/>
  <c r="AB180" i="24"/>
  <c r="AB182" i="24"/>
  <c r="AB174" i="24"/>
  <c r="AB172" i="24"/>
  <c r="AB171" i="24"/>
  <c r="AB163" i="24"/>
  <c r="AB165" i="24"/>
  <c r="AB149" i="24"/>
  <c r="AB146" i="24"/>
  <c r="AB138" i="24"/>
  <c r="B134" i="24"/>
  <c r="B237" i="24" s="1"/>
  <c r="B368" i="24" s="1"/>
  <c r="Z130" i="24"/>
  <c r="Z101" i="24"/>
  <c r="AB130" i="24"/>
  <c r="Z85" i="24"/>
  <c r="AB81" i="24"/>
  <c r="AB84" i="24"/>
  <c r="AB87" i="24" s="1"/>
  <c r="Z72" i="24"/>
  <c r="Z71" i="24"/>
  <c r="T70" i="24"/>
  <c r="P67" i="24"/>
  <c r="AB65" i="24"/>
  <c r="AB64" i="24"/>
  <c r="Z61" i="24"/>
  <c r="X61" i="24"/>
  <c r="V61" i="24"/>
  <c r="R61" i="24"/>
  <c r="R67" i="24" s="1"/>
  <c r="P61" i="24"/>
  <c r="AB59" i="24"/>
  <c r="Z256" i="24"/>
  <c r="X49" i="24"/>
  <c r="X48" i="24"/>
  <c r="AB42" i="24"/>
  <c r="P31" i="24"/>
  <c r="N31" i="24"/>
  <c r="L31" i="24"/>
  <c r="J31" i="24"/>
  <c r="H31" i="24"/>
  <c r="F31" i="24"/>
  <c r="D31" i="24"/>
  <c r="P30" i="24"/>
  <c r="N30" i="24"/>
  <c r="L30" i="24"/>
  <c r="J30" i="24"/>
  <c r="H30" i="24"/>
  <c r="F30" i="24"/>
  <c r="D30" i="24"/>
  <c r="AB29" i="24"/>
  <c r="Y210" i="24" s="1"/>
  <c r="AB206" i="24" l="1"/>
  <c r="AB173" i="24"/>
  <c r="Z353" i="24"/>
  <c r="AB35" i="24"/>
  <c r="Z244" i="24" s="1"/>
  <c r="Z245" i="24" s="1"/>
  <c r="Y339" i="24"/>
  <c r="Y347" i="24" s="1"/>
  <c r="Y341" i="24"/>
  <c r="Y344" i="24"/>
  <c r="Y342" i="24"/>
  <c r="AA297" i="24"/>
  <c r="AA292" i="24"/>
  <c r="AA298" i="24"/>
  <c r="AA294" i="24"/>
  <c r="AA299" i="24"/>
  <c r="Z352" i="24"/>
  <c r="Z354" i="24" s="1"/>
  <c r="Y292" i="24"/>
  <c r="Y293" i="24"/>
  <c r="X352" i="24"/>
  <c r="Y296" i="24"/>
  <c r="Y294" i="24"/>
  <c r="Y295" i="24"/>
  <c r="Y297" i="24"/>
  <c r="X289" i="24"/>
  <c r="Y281" i="24" s="1"/>
  <c r="Y298" i="24"/>
  <c r="AB213" i="24"/>
  <c r="AB231" i="24"/>
  <c r="AB233" i="24"/>
  <c r="AB229" i="24"/>
  <c r="Z246" i="24"/>
  <c r="AB227" i="24"/>
  <c r="AB225" i="24"/>
  <c r="AB131" i="24"/>
  <c r="Y214" i="24"/>
  <c r="AB43" i="24"/>
  <c r="T61" i="24"/>
  <c r="AB211" i="24"/>
  <c r="Z289" i="24"/>
  <c r="AA280" i="24" s="1"/>
  <c r="Y349" i="24"/>
  <c r="AB58" i="24"/>
  <c r="AB61" i="24" s="1"/>
  <c r="AB67" i="24" s="1"/>
  <c r="Z355" i="24" s="1"/>
  <c r="Z357" i="24"/>
  <c r="Z84" i="24"/>
  <c r="Z87" i="24" s="1"/>
  <c r="Z131" i="24" s="1"/>
  <c r="AA341" i="24"/>
  <c r="AA343" i="24"/>
  <c r="AA345" i="24"/>
  <c r="AA347" i="24" s="1"/>
  <c r="Y348" i="24"/>
  <c r="AA349" i="23"/>
  <c r="AA301" i="24" l="1"/>
  <c r="AA281" i="24"/>
  <c r="AA348" i="24"/>
  <c r="AA285" i="24"/>
  <c r="AA283" i="24"/>
  <c r="Y286" i="24"/>
  <c r="Y280" i="24"/>
  <c r="Y283" i="24"/>
  <c r="Y301" i="24"/>
  <c r="Y287" i="24"/>
  <c r="Y282" i="24"/>
  <c r="Y284" i="24"/>
  <c r="Y285" i="24"/>
  <c r="AA286" i="24"/>
  <c r="AA284" i="24"/>
  <c r="AA287" i="24"/>
  <c r="AA282" i="24"/>
  <c r="AB31" i="23"/>
  <c r="AA289" i="24" l="1"/>
  <c r="Y289" i="24"/>
  <c r="AB91" i="23"/>
  <c r="AB76" i="23"/>
  <c r="AB75" i="23"/>
  <c r="Z74" i="23"/>
  <c r="T58" i="23"/>
  <c r="Z267" i="23" l="1"/>
  <c r="AB203" i="23"/>
  <c r="AB195" i="23"/>
  <c r="AB187" i="23"/>
  <c r="AB179" i="23"/>
  <c r="AB182" i="23" s="1"/>
  <c r="AB168" i="23"/>
  <c r="AB162" i="23"/>
  <c r="AB150" i="23"/>
  <c r="AB139" i="23"/>
  <c r="Z211" i="23"/>
  <c r="Y211" i="23"/>
  <c r="Y213" i="23" s="1"/>
  <c r="Z347" i="23"/>
  <c r="AA350" i="23" s="1"/>
  <c r="X347" i="23"/>
  <c r="Y349" i="23" s="1"/>
  <c r="AA345" i="23"/>
  <c r="AA344" i="23"/>
  <c r="AA343" i="23"/>
  <c r="AA341" i="23"/>
  <c r="AA340" i="23"/>
  <c r="Y340" i="23"/>
  <c r="AA339" i="23"/>
  <c r="AA338" i="23"/>
  <c r="AA335" i="23"/>
  <c r="Z335" i="23"/>
  <c r="Y335" i="23"/>
  <c r="X335" i="23"/>
  <c r="AA323" i="23"/>
  <c r="Z323" i="23"/>
  <c r="Y323" i="23"/>
  <c r="X323" i="23"/>
  <c r="AA313" i="23"/>
  <c r="Z313" i="23"/>
  <c r="Y313" i="23"/>
  <c r="X313" i="23"/>
  <c r="Z301" i="23"/>
  <c r="AA299" i="23" s="1"/>
  <c r="X301" i="23"/>
  <c r="Y299" i="23" s="1"/>
  <c r="Z287" i="23"/>
  <c r="X287" i="23"/>
  <c r="Z286" i="23"/>
  <c r="X286" i="23"/>
  <c r="Z285" i="23"/>
  <c r="X285" i="23"/>
  <c r="Z284" i="23"/>
  <c r="X284" i="23"/>
  <c r="Z283" i="23"/>
  <c r="X283" i="23"/>
  <c r="Z282" i="23"/>
  <c r="X282" i="23"/>
  <c r="Z281" i="23"/>
  <c r="X281" i="23"/>
  <c r="Z280" i="23"/>
  <c r="X280" i="23"/>
  <c r="Z266" i="23"/>
  <c r="Z264" i="23"/>
  <c r="Z263" i="23"/>
  <c r="Z262" i="23"/>
  <c r="Z261" i="23"/>
  <c r="Y261" i="23"/>
  <c r="AB220" i="23"/>
  <c r="AB212" i="23"/>
  <c r="Z213" i="23"/>
  <c r="AB205" i="23"/>
  <c r="AB197" i="23"/>
  <c r="AB196" i="23"/>
  <c r="AB190" i="23"/>
  <c r="AB189" i="23"/>
  <c r="AB181" i="23"/>
  <c r="AB180" i="23"/>
  <c r="AB174" i="23"/>
  <c r="AB172" i="23"/>
  <c r="AB171" i="23"/>
  <c r="AB163" i="23"/>
  <c r="AB165" i="23"/>
  <c r="AB159" i="23"/>
  <c r="AB149" i="23"/>
  <c r="AB146" i="23"/>
  <c r="AB138" i="23"/>
  <c r="B134" i="23"/>
  <c r="B237" i="23" s="1"/>
  <c r="B368" i="23" s="1"/>
  <c r="AB130" i="23"/>
  <c r="Z130" i="23"/>
  <c r="Z101" i="23"/>
  <c r="Z85" i="23"/>
  <c r="AB81" i="23"/>
  <c r="AB84" i="23"/>
  <c r="AB87" i="23" s="1"/>
  <c r="Z72" i="23"/>
  <c r="Z71" i="23"/>
  <c r="Z84" i="23" s="1"/>
  <c r="Z87" i="23" s="1"/>
  <c r="T70" i="23"/>
  <c r="P67" i="23"/>
  <c r="AB65" i="23"/>
  <c r="AB64" i="23"/>
  <c r="Z353" i="23" s="1"/>
  <c r="Z61" i="23"/>
  <c r="X61" i="23"/>
  <c r="T61" i="23"/>
  <c r="R61" i="23"/>
  <c r="R67" i="23" s="1"/>
  <c r="P61" i="23"/>
  <c r="AB59" i="23"/>
  <c r="Z256" i="23"/>
  <c r="X49" i="23"/>
  <c r="X48" i="23"/>
  <c r="AB42" i="23"/>
  <c r="P31" i="23"/>
  <c r="N31" i="23"/>
  <c r="L31" i="23"/>
  <c r="J31" i="23"/>
  <c r="H31" i="23"/>
  <c r="F31" i="23"/>
  <c r="D31" i="23"/>
  <c r="P30" i="23"/>
  <c r="N30" i="23"/>
  <c r="L30" i="23"/>
  <c r="J30" i="23"/>
  <c r="H30" i="23"/>
  <c r="F30" i="23"/>
  <c r="D30" i="23"/>
  <c r="AB30" i="23" s="1"/>
  <c r="AB35" i="23" s="1"/>
  <c r="AB29" i="23"/>
  <c r="Y210" i="23" s="1"/>
  <c r="AB206" i="23" l="1"/>
  <c r="AB198" i="23"/>
  <c r="AB173" i="23"/>
  <c r="Z131" i="23"/>
  <c r="AB43" i="23"/>
  <c r="AA342" i="23"/>
  <c r="AA347" i="23" s="1"/>
  <c r="Y344" i="23"/>
  <c r="Y338" i="23"/>
  <c r="Y342" i="23"/>
  <c r="AA292" i="23"/>
  <c r="AA296" i="23"/>
  <c r="AA293" i="23"/>
  <c r="AA297" i="23"/>
  <c r="AA295" i="23"/>
  <c r="AA294" i="23"/>
  <c r="Z352" i="23"/>
  <c r="Z354" i="23" s="1"/>
  <c r="Y296" i="23"/>
  <c r="Y294" i="23"/>
  <c r="X289" i="23"/>
  <c r="Y287" i="23" s="1"/>
  <c r="X352" i="23"/>
  <c r="Y348" i="23" s="1"/>
  <c r="Y292" i="23"/>
  <c r="Y214" i="23"/>
  <c r="Z244" i="23"/>
  <c r="Z245" i="23" s="1"/>
  <c r="Z242" i="23"/>
  <c r="AB231" i="23"/>
  <c r="AB225" i="23"/>
  <c r="Z246" i="23"/>
  <c r="AB229" i="23"/>
  <c r="AB131" i="23"/>
  <c r="AB227" i="23"/>
  <c r="AB233" i="23"/>
  <c r="AB213" i="23"/>
  <c r="Y298" i="23"/>
  <c r="Y350" i="23"/>
  <c r="Z357" i="23"/>
  <c r="AB58" i="23"/>
  <c r="AB61" i="23" s="1"/>
  <c r="AB67" i="23" s="1"/>
  <c r="Z355" i="23" s="1"/>
  <c r="AB211" i="23"/>
  <c r="AA298" i="23"/>
  <c r="V61" i="23"/>
  <c r="Y262" i="23"/>
  <c r="Z289" i="23"/>
  <c r="AA286" i="23" s="1"/>
  <c r="Y293" i="23"/>
  <c r="Y295" i="23"/>
  <c r="Y297" i="23"/>
  <c r="Y339" i="23"/>
  <c r="Y341" i="23"/>
  <c r="Y343" i="23"/>
  <c r="Y345" i="23"/>
  <c r="Y214" i="21"/>
  <c r="Y347" i="23" l="1"/>
  <c r="AA348" i="23"/>
  <c r="AA285" i="23"/>
  <c r="AA301" i="23"/>
  <c r="Y280" i="23"/>
  <c r="Y285" i="23"/>
  <c r="Y286" i="23"/>
  <c r="Y283" i="23"/>
  <c r="Y284" i="23"/>
  <c r="Y301" i="23"/>
  <c r="Y281" i="23"/>
  <c r="Y282" i="23"/>
  <c r="AA284" i="23"/>
  <c r="AA287" i="23"/>
  <c r="AA281" i="23"/>
  <c r="AA282" i="23"/>
  <c r="AA283" i="23"/>
  <c r="AA280" i="23"/>
  <c r="AB91" i="22"/>
  <c r="AB76" i="22"/>
  <c r="AB75" i="22"/>
  <c r="V58" i="22"/>
  <c r="T58" i="22"/>
  <c r="Y289" i="23" l="1"/>
  <c r="AA289" i="23"/>
  <c r="Z256" i="22"/>
  <c r="Z74" i="22"/>
  <c r="Y211" i="22"/>
  <c r="Y213" i="22" s="1"/>
  <c r="AB203" i="22"/>
  <c r="AB195" i="22"/>
  <c r="AB187" i="22"/>
  <c r="AB179" i="22"/>
  <c r="AB168" i="22"/>
  <c r="AB171" i="22" s="1"/>
  <c r="AB162" i="22"/>
  <c r="AB150" i="22"/>
  <c r="AB159" i="22" s="1"/>
  <c r="AB139" i="22"/>
  <c r="AB146" i="22" s="1"/>
  <c r="Z347" i="22"/>
  <c r="AA349" i="22" s="1"/>
  <c r="X347" i="22"/>
  <c r="Y350" i="22" s="1"/>
  <c r="Y344" i="22"/>
  <c r="Y343" i="22"/>
  <c r="Y341" i="22"/>
  <c r="AA340" i="22"/>
  <c r="AA338" i="22"/>
  <c r="AA335" i="22"/>
  <c r="Z335" i="22"/>
  <c r="Y335" i="22"/>
  <c r="X335" i="22"/>
  <c r="AA323" i="22"/>
  <c r="Z323" i="22"/>
  <c r="Y323" i="22"/>
  <c r="X323" i="22"/>
  <c r="AA313" i="22"/>
  <c r="Z313" i="22"/>
  <c r="Y313" i="22"/>
  <c r="X313" i="22"/>
  <c r="Z301" i="22"/>
  <c r="AA294" i="22" s="1"/>
  <c r="X301" i="22"/>
  <c r="Y299" i="22" s="1"/>
  <c r="Y297" i="22"/>
  <c r="Y295" i="22"/>
  <c r="Y294" i="22"/>
  <c r="Y293" i="22"/>
  <c r="Y292" i="22"/>
  <c r="Z287" i="22"/>
  <c r="X287" i="22"/>
  <c r="Z286" i="22"/>
  <c r="X286" i="22"/>
  <c r="Z285" i="22"/>
  <c r="X285" i="22"/>
  <c r="Z284" i="22"/>
  <c r="X284" i="22"/>
  <c r="Z283" i="22"/>
  <c r="X283" i="22"/>
  <c r="Z282" i="22"/>
  <c r="X282" i="22"/>
  <c r="Z281" i="22"/>
  <c r="X281" i="22"/>
  <c r="Z280" i="22"/>
  <c r="X280" i="22"/>
  <c r="Z266" i="22"/>
  <c r="Z267" i="22" s="1"/>
  <c r="Z264" i="22"/>
  <c r="Z263" i="22"/>
  <c r="Z262" i="22"/>
  <c r="Y262" i="22"/>
  <c r="Z261" i="22"/>
  <c r="Y261" i="22"/>
  <c r="AB220" i="22"/>
  <c r="AB212" i="22"/>
  <c r="AB205" i="22"/>
  <c r="AB197" i="22"/>
  <c r="AB196" i="22"/>
  <c r="AB189" i="22"/>
  <c r="AB190" i="22" s="1"/>
  <c r="AB181" i="22"/>
  <c r="AB180" i="22"/>
  <c r="AB174" i="22"/>
  <c r="AB172" i="22"/>
  <c r="AB163" i="22"/>
  <c r="AB149" i="22"/>
  <c r="AB138" i="22"/>
  <c r="B134" i="22"/>
  <c r="B237" i="22" s="1"/>
  <c r="B368" i="22" s="1"/>
  <c r="Z130" i="22"/>
  <c r="Z101" i="22"/>
  <c r="AB130" i="22"/>
  <c r="Z85" i="22"/>
  <c r="AB81" i="22"/>
  <c r="AB84" i="22"/>
  <c r="AB87" i="22" s="1"/>
  <c r="Z72" i="22"/>
  <c r="Z71" i="22"/>
  <c r="T70" i="22"/>
  <c r="AB65" i="22"/>
  <c r="AB64" i="22"/>
  <c r="Z61" i="22"/>
  <c r="X61" i="22"/>
  <c r="V61" i="22"/>
  <c r="T61" i="22"/>
  <c r="R61" i="22"/>
  <c r="R67" i="22" s="1"/>
  <c r="P61" i="22"/>
  <c r="P67" i="22" s="1"/>
  <c r="AB59" i="22"/>
  <c r="AB58" i="22"/>
  <c r="X49" i="22"/>
  <c r="X48" i="22"/>
  <c r="AB42" i="22"/>
  <c r="P31" i="22"/>
  <c r="N31" i="22"/>
  <c r="L31" i="22"/>
  <c r="J31" i="22"/>
  <c r="H31" i="22"/>
  <c r="F31" i="22"/>
  <c r="D31" i="22"/>
  <c r="P30" i="22"/>
  <c r="N30" i="22"/>
  <c r="L30" i="22"/>
  <c r="J30" i="22"/>
  <c r="H30" i="22"/>
  <c r="F30" i="22"/>
  <c r="D30" i="22"/>
  <c r="AB29" i="22"/>
  <c r="Y210" i="22" s="1"/>
  <c r="AB31" i="22" l="1"/>
  <c r="Y339" i="22"/>
  <c r="AA344" i="22"/>
  <c r="AB173" i="22"/>
  <c r="AB61" i="22"/>
  <c r="AB182" i="22"/>
  <c r="AA341" i="22"/>
  <c r="AA350" i="22"/>
  <c r="AB206" i="22"/>
  <c r="AB198" i="22"/>
  <c r="AB165" i="22"/>
  <c r="AB67" i="22"/>
  <c r="Z355" i="22" s="1"/>
  <c r="Z353" i="22"/>
  <c r="AB43" i="22"/>
  <c r="AB30" i="22"/>
  <c r="AB35" i="22" s="1"/>
  <c r="Z242" i="22" s="1"/>
  <c r="AA339" i="22"/>
  <c r="AA342" i="22"/>
  <c r="Y345" i="22"/>
  <c r="Y338" i="22"/>
  <c r="Y340" i="22"/>
  <c r="Y342" i="22"/>
  <c r="AA293" i="22"/>
  <c r="AA295" i="22"/>
  <c r="AA298" i="22"/>
  <c r="AA296" i="22"/>
  <c r="AA299" i="22"/>
  <c r="AA297" i="22"/>
  <c r="AA292" i="22"/>
  <c r="Z352" i="22"/>
  <c r="Z354" i="22" s="1"/>
  <c r="Y296" i="22"/>
  <c r="Y301" i="22" s="1"/>
  <c r="X289" i="22"/>
  <c r="Y287" i="22" s="1"/>
  <c r="Y298" i="22"/>
  <c r="X352" i="22"/>
  <c r="Y348" i="22" s="1"/>
  <c r="AB233" i="22"/>
  <c r="AB225" i="22"/>
  <c r="AB131" i="22"/>
  <c r="AB231" i="22"/>
  <c r="Z246" i="22"/>
  <c r="AB229" i="22"/>
  <c r="AB227" i="22"/>
  <c r="Y285" i="22"/>
  <c r="Y281" i="22"/>
  <c r="Y284" i="22"/>
  <c r="Y282" i="22"/>
  <c r="Y286" i="22"/>
  <c r="Y280" i="22"/>
  <c r="Z357" i="22"/>
  <c r="Z84" i="22"/>
  <c r="Z87" i="22" s="1"/>
  <c r="Z131" i="22" s="1"/>
  <c r="Z289" i="22"/>
  <c r="AA282" i="22" s="1"/>
  <c r="Y349" i="22"/>
  <c r="AA343" i="22"/>
  <c r="AA345" i="22"/>
  <c r="Z256" i="20"/>
  <c r="Z256" i="19"/>
  <c r="Z256" i="18"/>
  <c r="Z256" i="21"/>
  <c r="AA347" i="22" l="1"/>
  <c r="Z244" i="22"/>
  <c r="Z245" i="22" s="1"/>
  <c r="Y347" i="22"/>
  <c r="AA287" i="22"/>
  <c r="AA280" i="22"/>
  <c r="AA348" i="22"/>
  <c r="AA301" i="22"/>
  <c r="AA283" i="22"/>
  <c r="AA281" i="22"/>
  <c r="AA284" i="22"/>
  <c r="Y283" i="22"/>
  <c r="Y289" i="22" s="1"/>
  <c r="AA286" i="22"/>
  <c r="AA285" i="22"/>
  <c r="Z130" i="20"/>
  <c r="Z130" i="21"/>
  <c r="AA289" i="22" l="1"/>
  <c r="AB91" i="21"/>
  <c r="AB130" i="21" s="1"/>
  <c r="AB76" i="21"/>
  <c r="AB75" i="21"/>
  <c r="Z71" i="21"/>
  <c r="T58" i="21"/>
  <c r="Z74" i="21" s="1"/>
  <c r="Z347" i="21" l="1"/>
  <c r="X347" i="21"/>
  <c r="AA344" i="21"/>
  <c r="AA342" i="21"/>
  <c r="AA340" i="21"/>
  <c r="Y340" i="21"/>
  <c r="AA338" i="21"/>
  <c r="Y338" i="21"/>
  <c r="AA335" i="21"/>
  <c r="Z335" i="21"/>
  <c r="Y335" i="21"/>
  <c r="X335" i="21"/>
  <c r="Y262" i="21" s="1"/>
  <c r="AA323" i="21"/>
  <c r="Z323" i="21"/>
  <c r="Y323" i="21"/>
  <c r="X323" i="21"/>
  <c r="AA313" i="21"/>
  <c r="Z313" i="21"/>
  <c r="Y313" i="21"/>
  <c r="X313" i="21"/>
  <c r="Y261" i="21" s="1"/>
  <c r="Z301" i="21"/>
  <c r="AA299" i="21" s="1"/>
  <c r="X301" i="21"/>
  <c r="X352" i="21" s="1"/>
  <c r="Z287" i="21"/>
  <c r="X287" i="21"/>
  <c r="Z286" i="21"/>
  <c r="X286" i="21"/>
  <c r="Z285" i="21"/>
  <c r="X285" i="21"/>
  <c r="Z284" i="21"/>
  <c r="X284" i="21"/>
  <c r="Z283" i="21"/>
  <c r="X283" i="21"/>
  <c r="Z282" i="21"/>
  <c r="X282" i="21"/>
  <c r="Z281" i="21"/>
  <c r="X281" i="21"/>
  <c r="Z280" i="21"/>
  <c r="X280" i="21"/>
  <c r="Z266" i="21"/>
  <c r="Z264" i="21"/>
  <c r="Z263" i="21"/>
  <c r="Z261" i="21"/>
  <c r="AB220" i="21"/>
  <c r="AB212" i="21"/>
  <c r="AB205" i="21"/>
  <c r="AB197" i="21"/>
  <c r="AB196" i="21"/>
  <c r="AB189" i="21"/>
  <c r="AB190" i="21" s="1"/>
  <c r="AB181" i="21"/>
  <c r="AB180" i="21"/>
  <c r="AB174" i="21"/>
  <c r="AB172" i="21"/>
  <c r="AB163" i="21"/>
  <c r="AB149" i="21"/>
  <c r="AB138" i="21"/>
  <c r="B134" i="21"/>
  <c r="B237" i="21" s="1"/>
  <c r="B368" i="21" s="1"/>
  <c r="Z101" i="21"/>
  <c r="Z85" i="21"/>
  <c r="AB81" i="21"/>
  <c r="Z72" i="21"/>
  <c r="T70" i="21"/>
  <c r="AB65" i="21"/>
  <c r="AB64" i="21"/>
  <c r="Z61" i="21"/>
  <c r="X61" i="21"/>
  <c r="V61" i="21"/>
  <c r="R61" i="21"/>
  <c r="R67" i="21" s="1"/>
  <c r="P61" i="21"/>
  <c r="P67" i="21" s="1"/>
  <c r="AB59" i="21"/>
  <c r="AB58" i="21"/>
  <c r="X49" i="21"/>
  <c r="X48" i="21"/>
  <c r="AB42" i="21"/>
  <c r="P31" i="21"/>
  <c r="N31" i="21"/>
  <c r="L31" i="21"/>
  <c r="J31" i="21"/>
  <c r="H31" i="21"/>
  <c r="F31" i="21"/>
  <c r="D31" i="21"/>
  <c r="P30" i="21"/>
  <c r="N30" i="21"/>
  <c r="L30" i="21"/>
  <c r="J30" i="21"/>
  <c r="H30" i="21"/>
  <c r="F30" i="21"/>
  <c r="D30" i="21"/>
  <c r="AB29" i="21"/>
  <c r="Y210" i="21" s="1"/>
  <c r="AB35" i="21" l="1"/>
  <c r="AB30" i="21"/>
  <c r="AB31" i="21"/>
  <c r="Z357" i="21" s="1"/>
  <c r="Y343" i="21"/>
  <c r="Y349" i="21"/>
  <c r="Y350" i="21"/>
  <c r="Y348" i="21"/>
  <c r="AA345" i="21"/>
  <c r="AA350" i="21"/>
  <c r="AA349" i="21"/>
  <c r="AA348" i="21"/>
  <c r="Z353" i="21"/>
  <c r="Y345" i="21"/>
  <c r="AA298" i="21"/>
  <c r="Y297" i="21"/>
  <c r="Y294" i="21"/>
  <c r="Y298" i="21"/>
  <c r="Y295" i="21"/>
  <c r="Y293" i="21"/>
  <c r="Y292" i="21"/>
  <c r="Y296" i="21"/>
  <c r="Y299" i="21"/>
  <c r="AA296" i="21"/>
  <c r="AB43" i="21"/>
  <c r="X289" i="21"/>
  <c r="Y281" i="21" s="1"/>
  <c r="AA294" i="21"/>
  <c r="Y341" i="21"/>
  <c r="Y344" i="21"/>
  <c r="Z242" i="21"/>
  <c r="AB61" i="21"/>
  <c r="AB67" i="21" s="1"/>
  <c r="Z355" i="21" s="1"/>
  <c r="AB84" i="21"/>
  <c r="AB87" i="21" s="1"/>
  <c r="AB229" i="21" s="1"/>
  <c r="Z289" i="21"/>
  <c r="AA285" i="21" s="1"/>
  <c r="AA292" i="21"/>
  <c r="Z352" i="21"/>
  <c r="Y339" i="21"/>
  <c r="Y342" i="21"/>
  <c r="Y285" i="21"/>
  <c r="T61" i="21"/>
  <c r="Z84" i="21"/>
  <c r="Z87" i="21" s="1"/>
  <c r="Z131" i="21" s="1"/>
  <c r="Z262" i="21"/>
  <c r="AA293" i="21"/>
  <c r="AA295" i="21"/>
  <c r="AA297" i="21"/>
  <c r="AA339" i="21"/>
  <c r="AA341" i="21"/>
  <c r="AA343" i="21"/>
  <c r="AB231" i="21" l="1"/>
  <c r="AB131" i="21"/>
  <c r="Z246" i="21"/>
  <c r="AB225" i="21"/>
  <c r="AB233" i="21"/>
  <c r="AB227" i="21"/>
  <c r="Z354" i="21"/>
  <c r="Z244" i="21"/>
  <c r="Z245" i="21" s="1"/>
  <c r="Y347" i="21"/>
  <c r="AA286" i="21"/>
  <c r="AA283" i="21"/>
  <c r="AA301" i="21"/>
  <c r="Y282" i="21"/>
  <c r="Y284" i="21"/>
  <c r="Y283" i="21"/>
  <c r="Y301" i="21"/>
  <c r="AA281" i="21"/>
  <c r="AA347" i="21"/>
  <c r="AA280" i="21"/>
  <c r="AA284" i="21"/>
  <c r="Y286" i="21"/>
  <c r="Y287" i="21"/>
  <c r="AA287" i="21"/>
  <c r="AA282" i="21"/>
  <c r="Y280" i="21"/>
  <c r="Y289" i="21" l="1"/>
  <c r="AA289" i="21"/>
  <c r="AB180" i="18"/>
  <c r="AB139" i="18"/>
  <c r="AB42" i="18"/>
  <c r="Z323" i="20" l="1"/>
  <c r="X323" i="20"/>
  <c r="AA323" i="20" l="1"/>
  <c r="Y323" i="20"/>
  <c r="R30" i="20" l="1"/>
  <c r="AB91" i="20" l="1"/>
  <c r="AB76" i="20"/>
  <c r="AB75" i="20"/>
  <c r="AB65" i="20"/>
  <c r="T58" i="20"/>
  <c r="Z74" i="20" s="1"/>
  <c r="Z347" i="20" l="1"/>
  <c r="X347" i="20"/>
  <c r="AA342" i="20"/>
  <c r="Y345" i="20" l="1"/>
  <c r="AA345" i="20"/>
  <c r="AA340" i="20"/>
  <c r="AA344" i="20"/>
  <c r="AA338" i="20"/>
  <c r="Y340" i="20"/>
  <c r="Y338" i="20"/>
  <c r="Y342" i="20"/>
  <c r="Y343" i="20"/>
  <c r="Y344" i="20"/>
  <c r="Y339" i="20"/>
  <c r="Y341" i="20"/>
  <c r="AA339" i="20"/>
  <c r="AA341" i="20"/>
  <c r="AA343" i="20"/>
  <c r="AA347" i="20" l="1"/>
  <c r="Y347" i="20"/>
  <c r="AA335" i="20" l="1"/>
  <c r="Z335" i="20"/>
  <c r="Z262" i="20" s="1"/>
  <c r="Y335" i="20"/>
  <c r="X335" i="20"/>
  <c r="Y262" i="20" s="1"/>
  <c r="AA313" i="20"/>
  <c r="Z313" i="20"/>
  <c r="Z261" i="20" s="1"/>
  <c r="Y313" i="20"/>
  <c r="X313" i="20"/>
  <c r="Z301" i="20"/>
  <c r="AA299" i="20" s="1"/>
  <c r="X301" i="20"/>
  <c r="Y299" i="20" s="1"/>
  <c r="AA296" i="20"/>
  <c r="AA293" i="20"/>
  <c r="Z287" i="20"/>
  <c r="X287" i="20"/>
  <c r="Z286" i="20"/>
  <c r="X286" i="20"/>
  <c r="Z285" i="20"/>
  <c r="X285" i="20"/>
  <c r="Z284" i="20"/>
  <c r="X284" i="20"/>
  <c r="Z283" i="20"/>
  <c r="X283" i="20"/>
  <c r="Z282" i="20"/>
  <c r="X282" i="20"/>
  <c r="Z281" i="20"/>
  <c r="X281" i="20"/>
  <c r="Z280" i="20"/>
  <c r="X280" i="20"/>
  <c r="Z266" i="20"/>
  <c r="Z264" i="20"/>
  <c r="Z263" i="20"/>
  <c r="Y261" i="20"/>
  <c r="AB220" i="20"/>
  <c r="AB212" i="20"/>
  <c r="AB205" i="20"/>
  <c r="AB197" i="20"/>
  <c r="AB196" i="20"/>
  <c r="AB189" i="20"/>
  <c r="AB190" i="20" s="1"/>
  <c r="AB187" i="21" s="1"/>
  <c r="AB181" i="20"/>
  <c r="AB179" i="21" s="1"/>
  <c r="AB182" i="21" s="1"/>
  <c r="AB180" i="20"/>
  <c r="AB174" i="20"/>
  <c r="AB172" i="20"/>
  <c r="AB163" i="20"/>
  <c r="AB149" i="20"/>
  <c r="AB138" i="20"/>
  <c r="B134" i="20"/>
  <c r="B237" i="20" s="1"/>
  <c r="B366" i="20" s="1"/>
  <c r="AB130" i="20"/>
  <c r="Z101" i="20"/>
  <c r="Z85" i="20"/>
  <c r="AB81" i="20"/>
  <c r="AB84" i="20" s="1"/>
  <c r="AB87" i="20" s="1"/>
  <c r="Z72" i="20"/>
  <c r="T70" i="20"/>
  <c r="AB64" i="20"/>
  <c r="Z61" i="20"/>
  <c r="X61" i="20"/>
  <c r="V61" i="20"/>
  <c r="R61" i="20"/>
  <c r="R67" i="20" s="1"/>
  <c r="P61" i="20"/>
  <c r="P67" i="20" s="1"/>
  <c r="AB59" i="20"/>
  <c r="X49" i="20"/>
  <c r="X48" i="20"/>
  <c r="AB42" i="20"/>
  <c r="P31" i="20"/>
  <c r="N31" i="20"/>
  <c r="L31" i="20"/>
  <c r="J31" i="20"/>
  <c r="H31" i="20"/>
  <c r="F31" i="20"/>
  <c r="D31" i="20"/>
  <c r="P30" i="20"/>
  <c r="N30" i="20"/>
  <c r="L30" i="20"/>
  <c r="J30" i="20"/>
  <c r="H30" i="20"/>
  <c r="F30" i="20"/>
  <c r="D30" i="20"/>
  <c r="AB29" i="20"/>
  <c r="Y210" i="20" s="1"/>
  <c r="Z267" i="21" l="1"/>
  <c r="AB30" i="20"/>
  <c r="AB35" i="20" s="1"/>
  <c r="Y296" i="20"/>
  <c r="Z246" i="20"/>
  <c r="AB233" i="20"/>
  <c r="Z242" i="20"/>
  <c r="AA297" i="20"/>
  <c r="AB43" i="20"/>
  <c r="AB31" i="20"/>
  <c r="Z355" i="20" s="1"/>
  <c r="AA294" i="20"/>
  <c r="Z84" i="20"/>
  <c r="Z87" i="20" s="1"/>
  <c r="Z131" i="20" s="1"/>
  <c r="Z351" i="20"/>
  <c r="AA295" i="20"/>
  <c r="AA298" i="20"/>
  <c r="Z350" i="20"/>
  <c r="Z348" i="20" s="1"/>
  <c r="AA292" i="20"/>
  <c r="Z289" i="20"/>
  <c r="AA284" i="20" s="1"/>
  <c r="Y294" i="20"/>
  <c r="X289" i="20"/>
  <c r="Y285" i="20" s="1"/>
  <c r="Y292" i="20"/>
  <c r="Y298" i="20"/>
  <c r="AB229" i="20"/>
  <c r="AB225" i="20"/>
  <c r="AB231" i="20"/>
  <c r="AB131" i="20"/>
  <c r="AB227" i="20"/>
  <c r="AB58" i="20"/>
  <c r="AB61" i="20" s="1"/>
  <c r="AB67" i="20" s="1"/>
  <c r="Z353" i="20" s="1"/>
  <c r="T61" i="20"/>
  <c r="X350" i="20"/>
  <c r="X348" i="20" s="1"/>
  <c r="Y293" i="20"/>
  <c r="Y295" i="20"/>
  <c r="Y297" i="20"/>
  <c r="Z71" i="19"/>
  <c r="AA301" i="20" l="1"/>
  <c r="AA282" i="20"/>
  <c r="Y287" i="20"/>
  <c r="Z244" i="20"/>
  <c r="Z245" i="20" s="1"/>
  <c r="AA281" i="20"/>
  <c r="AA285" i="20"/>
  <c r="AA286" i="20"/>
  <c r="Z352" i="20"/>
  <c r="AA283" i="20"/>
  <c r="AA287" i="20"/>
  <c r="AA280" i="20"/>
  <c r="Y284" i="20"/>
  <c r="Y283" i="20"/>
  <c r="Y282" i="20"/>
  <c r="Y281" i="20"/>
  <c r="Y280" i="20"/>
  <c r="Y286" i="20"/>
  <c r="Y301" i="20"/>
  <c r="AA289" i="20" l="1"/>
  <c r="Y289" i="20"/>
  <c r="P31" i="18" l="1"/>
  <c r="R30" i="19" l="1"/>
  <c r="P30" i="19"/>
  <c r="F30" i="19" l="1"/>
  <c r="H30" i="19"/>
  <c r="J30" i="19"/>
  <c r="L30" i="19"/>
  <c r="N30" i="19"/>
  <c r="D30" i="19"/>
  <c r="AB204" i="19" l="1"/>
  <c r="AB91" i="19" l="1"/>
  <c r="AB130" i="19" s="1"/>
  <c r="AB76" i="19"/>
  <c r="AB75" i="19"/>
  <c r="AB64" i="19"/>
  <c r="T58" i="19"/>
  <c r="Z74" i="19" s="1"/>
  <c r="X48" i="19"/>
  <c r="AB58" i="19" l="1"/>
  <c r="D31" i="19"/>
  <c r="AA325" i="19" l="1"/>
  <c r="Z325" i="19"/>
  <c r="Z262" i="19" s="1"/>
  <c r="Y325" i="19"/>
  <c r="X325" i="19"/>
  <c r="AA313" i="19"/>
  <c r="Z313" i="19"/>
  <c r="Z261" i="19" s="1"/>
  <c r="Y313" i="19"/>
  <c r="X313" i="19"/>
  <c r="Z301" i="19"/>
  <c r="AA296" i="19" s="1"/>
  <c r="X301" i="19"/>
  <c r="Y299" i="19" s="1"/>
  <c r="Z287" i="19"/>
  <c r="X287" i="19"/>
  <c r="Z286" i="19"/>
  <c r="X286" i="19"/>
  <c r="Z285" i="19"/>
  <c r="X285" i="19"/>
  <c r="Z284" i="19"/>
  <c r="X284" i="19"/>
  <c r="Z283" i="19"/>
  <c r="X283" i="19"/>
  <c r="Z282" i="19"/>
  <c r="X282" i="19"/>
  <c r="Z281" i="19"/>
  <c r="X281" i="19"/>
  <c r="Z280" i="19"/>
  <c r="X280" i="19"/>
  <c r="Z266" i="19"/>
  <c r="Z264" i="19"/>
  <c r="Z263" i="19"/>
  <c r="Y261" i="19"/>
  <c r="AB220" i="19"/>
  <c r="AB212" i="19"/>
  <c r="AB205" i="19"/>
  <c r="AB197" i="19"/>
  <c r="AB196" i="19"/>
  <c r="AB189" i="19"/>
  <c r="AB190" i="19" s="1"/>
  <c r="AB187" i="20" s="1"/>
  <c r="AB181" i="19"/>
  <c r="AB179" i="20" s="1"/>
  <c r="AB182" i="20" s="1"/>
  <c r="AB180" i="19"/>
  <c r="AB174" i="19"/>
  <c r="AB172" i="19"/>
  <c r="AB163" i="19"/>
  <c r="AB149" i="19"/>
  <c r="AB138" i="19"/>
  <c r="B134" i="19"/>
  <c r="B237" i="19" s="1"/>
  <c r="B340" i="19" s="1"/>
  <c r="Z130" i="19"/>
  <c r="Z101" i="19"/>
  <c r="Z85" i="19"/>
  <c r="AB81" i="19"/>
  <c r="AB84" i="19"/>
  <c r="AB87" i="19" s="1"/>
  <c r="Z72" i="19"/>
  <c r="Z73" i="19" s="1"/>
  <c r="T70" i="19"/>
  <c r="AB65" i="19"/>
  <c r="Z61" i="19"/>
  <c r="X61" i="19"/>
  <c r="V61" i="19"/>
  <c r="T61" i="19"/>
  <c r="R61" i="19"/>
  <c r="R67" i="19" s="1"/>
  <c r="P61" i="19"/>
  <c r="P67" i="19" s="1"/>
  <c r="AB59" i="19"/>
  <c r="AB61" i="19"/>
  <c r="AB67" i="19" s="1"/>
  <c r="X49" i="19"/>
  <c r="AB42" i="19"/>
  <c r="P31" i="19"/>
  <c r="N31" i="19"/>
  <c r="L31" i="19"/>
  <c r="J31" i="19"/>
  <c r="H31" i="19"/>
  <c r="F31" i="19"/>
  <c r="AB43" i="19" s="1"/>
  <c r="AB30" i="19"/>
  <c r="AB35" i="19" s="1"/>
  <c r="AB29" i="19"/>
  <c r="Y210" i="19" s="1"/>
  <c r="AB131" i="19" l="1"/>
  <c r="Z246" i="19"/>
  <c r="AA294" i="19"/>
  <c r="AB31" i="19"/>
  <c r="AA299" i="19"/>
  <c r="Z327" i="19"/>
  <c r="Z84" i="19"/>
  <c r="Z87" i="19" s="1"/>
  <c r="Z131" i="19" s="1"/>
  <c r="Z328" i="19"/>
  <c r="Z330" i="19"/>
  <c r="AA298" i="19"/>
  <c r="AA292" i="19"/>
  <c r="X289" i="19"/>
  <c r="Y282" i="19" s="1"/>
  <c r="Y294" i="19"/>
  <c r="X327" i="19"/>
  <c r="Y296" i="19"/>
  <c r="Y292" i="19"/>
  <c r="Y298" i="19"/>
  <c r="Y285" i="19"/>
  <c r="Y284" i="19"/>
  <c r="AB233" i="19"/>
  <c r="AB225" i="19"/>
  <c r="AB231" i="19"/>
  <c r="AB229" i="19"/>
  <c r="AB227" i="19"/>
  <c r="Z332" i="19"/>
  <c r="Y262" i="19"/>
  <c r="Z289" i="19"/>
  <c r="AA281" i="19" s="1"/>
  <c r="Y293" i="19"/>
  <c r="Y295" i="19"/>
  <c r="Y297" i="19"/>
  <c r="AA293" i="19"/>
  <c r="AA295" i="19"/>
  <c r="AA297" i="19"/>
  <c r="Y280" i="19" l="1"/>
  <c r="Y286" i="19"/>
  <c r="Y283" i="19"/>
  <c r="Y287" i="19"/>
  <c r="Z329" i="19"/>
  <c r="AA301" i="19"/>
  <c r="Y281" i="19"/>
  <c r="Y289" i="19" s="1"/>
  <c r="Z244" i="19"/>
  <c r="Z245" i="19" s="1"/>
  <c r="Z242" i="19"/>
  <c r="AA286" i="19"/>
  <c r="AA284" i="19"/>
  <c r="AA283" i="19"/>
  <c r="AA280" i="19"/>
  <c r="AA287" i="19"/>
  <c r="Y301" i="19"/>
  <c r="AA285" i="19"/>
  <c r="AA282" i="19"/>
  <c r="AA289" i="19" l="1"/>
  <c r="AB30" i="18"/>
  <c r="AB29" i="18"/>
  <c r="AB35" i="18" l="1"/>
  <c r="Y210" i="18"/>
  <c r="Z72" i="18" l="1"/>
  <c r="Z73" i="18" s="1"/>
  <c r="Y213" i="18" l="1"/>
  <c r="Y211" i="19" s="1"/>
  <c r="Y213" i="19" l="1"/>
  <c r="AB64" i="18"/>
  <c r="Y211" i="20" l="1"/>
  <c r="AB91" i="18"/>
  <c r="AB90" i="18"/>
  <c r="AB76" i="18"/>
  <c r="AB75" i="18"/>
  <c r="Y213" i="20" l="1"/>
  <c r="T58" i="18"/>
  <c r="Z74" i="18" l="1"/>
  <c r="AB58" i="18"/>
  <c r="Y211" i="21"/>
  <c r="AB149" i="18"/>
  <c r="Y213" i="21" l="1"/>
  <c r="AB220" i="18"/>
  <c r="Z264" i="18" l="1"/>
  <c r="AB205" i="18" l="1"/>
  <c r="AB206" i="18" s="1"/>
  <c r="AB203" i="19" s="1"/>
  <c r="AB206" i="19" s="1"/>
  <c r="AB203" i="20" s="1"/>
  <c r="AB206" i="20" s="1"/>
  <c r="AB203" i="21" s="1"/>
  <c r="AB206" i="21" s="1"/>
  <c r="AB189" i="18"/>
  <c r="AB190" i="18" s="1"/>
  <c r="AB187" i="19" s="1"/>
  <c r="AB181" i="18"/>
  <c r="AB130" i="18"/>
  <c r="AB150" i="18"/>
  <c r="AB138" i="18"/>
  <c r="AB182" i="18" l="1"/>
  <c r="AB179" i="19"/>
  <c r="AB182" i="19" s="1"/>
  <c r="Z130" i="18"/>
  <c r="N31" i="18" l="1"/>
  <c r="F31" i="18"/>
  <c r="D31" i="18"/>
  <c r="H31" i="18" l="1"/>
  <c r="AB31" i="18" s="1"/>
  <c r="J31" i="18"/>
  <c r="L31" i="18"/>
  <c r="Z332" i="18" l="1"/>
  <c r="AB43" i="18"/>
  <c r="Z263" i="18"/>
  <c r="AB196" i="18"/>
  <c r="V61" i="18"/>
  <c r="AB197" i="18"/>
  <c r="X61" i="18"/>
  <c r="AB65" i="18"/>
  <c r="Z328" i="18" s="1"/>
  <c r="AB171" i="18"/>
  <c r="AB163" i="18"/>
  <c r="AB165" i="18" s="1"/>
  <c r="AB162" i="19" s="1"/>
  <c r="AB165" i="19" s="1"/>
  <c r="AB162" i="20" s="1"/>
  <c r="AB165" i="20" s="1"/>
  <c r="AB162" i="21" s="1"/>
  <c r="AB165" i="21" s="1"/>
  <c r="Z280" i="18"/>
  <c r="AA313" i="18"/>
  <c r="Y325" i="18"/>
  <c r="AA325" i="18"/>
  <c r="Y313" i="18"/>
  <c r="AB159" i="18"/>
  <c r="AB150" i="19" s="1"/>
  <c r="AB159" i="19" s="1"/>
  <c r="AB150" i="20" s="1"/>
  <c r="AB159" i="20" s="1"/>
  <c r="AB150" i="21" s="1"/>
  <c r="AB159" i="21" s="1"/>
  <c r="AB146" i="18"/>
  <c r="AB139" i="19" s="1"/>
  <c r="AB146" i="19" s="1"/>
  <c r="AB139" i="20" s="1"/>
  <c r="AB146" i="20" s="1"/>
  <c r="AB139" i="21" s="1"/>
  <c r="AB146" i="21" s="1"/>
  <c r="Z213" i="18"/>
  <c r="Z211" i="19" s="1"/>
  <c r="AB211" i="18"/>
  <c r="AB212" i="18"/>
  <c r="Z85" i="18"/>
  <c r="AB81" i="18"/>
  <c r="AB174" i="18"/>
  <c r="X301" i="18"/>
  <c r="Y292" i="18" s="1"/>
  <c r="Z325" i="18"/>
  <c r="Z262" i="18" s="1"/>
  <c r="X325" i="18"/>
  <c r="Y262" i="18" s="1"/>
  <c r="Z313" i="18"/>
  <c r="X313" i="18"/>
  <c r="Y261" i="18" s="1"/>
  <c r="Z301" i="18"/>
  <c r="AA297" i="18" s="1"/>
  <c r="Z287" i="18"/>
  <c r="Z281" i="18"/>
  <c r="X285" i="18"/>
  <c r="X281" i="18"/>
  <c r="X280" i="18"/>
  <c r="Z266" i="18"/>
  <c r="Z267" i="18" s="1"/>
  <c r="Z267" i="19" s="1"/>
  <c r="Z267" i="20" s="1"/>
  <c r="AB172" i="18"/>
  <c r="Z101" i="18"/>
  <c r="X49" i="18"/>
  <c r="T70" i="18"/>
  <c r="P61" i="18"/>
  <c r="P67" i="18" s="1"/>
  <c r="R61" i="18"/>
  <c r="R67" i="18" s="1"/>
  <c r="X287" i="18"/>
  <c r="Z286" i="18"/>
  <c r="X286" i="18"/>
  <c r="Z285" i="18"/>
  <c r="Z284" i="18"/>
  <c r="X284" i="18"/>
  <c r="Z283" i="18"/>
  <c r="X283" i="18"/>
  <c r="Z282" i="18"/>
  <c r="X282" i="18"/>
  <c r="B134" i="18"/>
  <c r="B237" i="18" s="1"/>
  <c r="B340" i="18" s="1"/>
  <c r="AB59" i="18"/>
  <c r="Z61" i="18"/>
  <c r="Z213" i="19" l="1"/>
  <c r="AB211" i="19"/>
  <c r="Y214" i="18"/>
  <c r="AA295" i="18"/>
  <c r="Y294" i="18"/>
  <c r="X327" i="18"/>
  <c r="Z327" i="18"/>
  <c r="Z329" i="18" s="1"/>
  <c r="Y293" i="18"/>
  <c r="Y297" i="18"/>
  <c r="Y295" i="18"/>
  <c r="Z84" i="18"/>
  <c r="Z87" i="18" s="1"/>
  <c r="Z131" i="18" s="1"/>
  <c r="AA299" i="18"/>
  <c r="Y298" i="18"/>
  <c r="AA298" i="18"/>
  <c r="Z261" i="18"/>
  <c r="AB213" i="18"/>
  <c r="AB173" i="18"/>
  <c r="AB168" i="19" s="1"/>
  <c r="AB171" i="19" s="1"/>
  <c r="AB173" i="19" s="1"/>
  <c r="AB168" i="20" s="1"/>
  <c r="AB171" i="20" s="1"/>
  <c r="AB173" i="20" s="1"/>
  <c r="AB168" i="21" s="1"/>
  <c r="AB171" i="21" s="1"/>
  <c r="AB173" i="21" s="1"/>
  <c r="T61" i="18"/>
  <c r="AB61" i="18"/>
  <c r="AB67" i="18" s="1"/>
  <c r="X289" i="18"/>
  <c r="Y280" i="18" s="1"/>
  <c r="Z244" i="18"/>
  <c r="Z245" i="18" s="1"/>
  <c r="AB198" i="18"/>
  <c r="AB195" i="19" s="1"/>
  <c r="AB198" i="19" s="1"/>
  <c r="AB195" i="20" s="1"/>
  <c r="AB198" i="20" s="1"/>
  <c r="AB195" i="21" s="1"/>
  <c r="AB198" i="21" s="1"/>
  <c r="AA296" i="18"/>
  <c r="AA292" i="18"/>
  <c r="Y296" i="18"/>
  <c r="AA293" i="18"/>
  <c r="Y299" i="18"/>
  <c r="AA294" i="18"/>
  <c r="AB84" i="18"/>
  <c r="AB87" i="18" s="1"/>
  <c r="Z289" i="18"/>
  <c r="AA285" i="18" s="1"/>
  <c r="AB225" i="18" l="1"/>
  <c r="Z246" i="18"/>
  <c r="AB233" i="18"/>
  <c r="AB213" i="19"/>
  <c r="Z211" i="20"/>
  <c r="Y214" i="19"/>
  <c r="AB231" i="18"/>
  <c r="AB227" i="18"/>
  <c r="AB229" i="18"/>
  <c r="Y287" i="18"/>
  <c r="AB131" i="18"/>
  <c r="Y285" i="18"/>
  <c r="Y282" i="18"/>
  <c r="Y281" i="18"/>
  <c r="AA301" i="18"/>
  <c r="Z330" i="18"/>
  <c r="Y283" i="18"/>
  <c r="Y284" i="18"/>
  <c r="Y286" i="18"/>
  <c r="Y301" i="18"/>
  <c r="Z241" i="18"/>
  <c r="Z242" i="18" s="1"/>
  <c r="AA286" i="18"/>
  <c r="AA284" i="18"/>
  <c r="AA281" i="18"/>
  <c r="AA287" i="18"/>
  <c r="AA282" i="18"/>
  <c r="AA280" i="18"/>
  <c r="AA283" i="18"/>
  <c r="Z213" i="20" l="1"/>
  <c r="AB211" i="20"/>
  <c r="Y289" i="18"/>
  <c r="AA289" i="18"/>
  <c r="Z211" i="21" l="1"/>
  <c r="Y214" i="20"/>
  <c r="AB213" i="20"/>
  <c r="Z213" i="21" l="1"/>
  <c r="Z211" i="22" s="1"/>
  <c r="AB211" i="21"/>
  <c r="AB211" i="22" l="1"/>
  <c r="Z213" i="22"/>
  <c r="AB213" i="21"/>
  <c r="AB213" i="22" l="1"/>
  <c r="Y214" i="22"/>
</calcChain>
</file>

<file path=xl/sharedStrings.xml><?xml version="1.0" encoding="utf-8"?>
<sst xmlns="http://schemas.openxmlformats.org/spreadsheetml/2006/main" count="9789" uniqueCount="393">
  <si>
    <t>Summary Transaction  Features</t>
  </si>
  <si>
    <t>Name of Issuer</t>
  </si>
  <si>
    <t>Originator % at Closing</t>
  </si>
  <si>
    <t xml:space="preserve">Originator % at the Quarter End </t>
  </si>
  <si>
    <t>Date of Issue</t>
  </si>
  <si>
    <t>Date of Production</t>
  </si>
  <si>
    <t>Security Level Data</t>
  </si>
  <si>
    <t>ISIN</t>
  </si>
  <si>
    <t xml:space="preserve">Note Interest Margins: </t>
  </si>
  <si>
    <t>Current Note Interest Rates:</t>
  </si>
  <si>
    <t>Previous Note Interest Rates:</t>
  </si>
  <si>
    <t>Step-up Dates</t>
  </si>
  <si>
    <t>Record Date</t>
  </si>
  <si>
    <t>Asset Movements</t>
  </si>
  <si>
    <t>Mortgages</t>
  </si>
  <si>
    <t>Current Principal Balance (£'000)</t>
  </si>
  <si>
    <t>Accrued Arrears and Interest Sold to Issuer (£'000)</t>
  </si>
  <si>
    <t>Total (£'000)</t>
  </si>
  <si>
    <t>Credit Enhancement</t>
  </si>
  <si>
    <t>Unreplenished Losses on Mortgages</t>
  </si>
  <si>
    <t>Outstanding Note Principal</t>
  </si>
  <si>
    <t>Principal/Revenue Analysis</t>
  </si>
  <si>
    <t>Opening cash balance</t>
  </si>
  <si>
    <t xml:space="preserve">Total principal cash received this period from assets </t>
  </si>
  <si>
    <t>Initial income for distribution this period</t>
  </si>
  <si>
    <t>Revenue adjustment for payment of Accrued Arrears and Interest Sold at closing</t>
  </si>
  <si>
    <t>Final income for distribution this period</t>
  </si>
  <si>
    <t>Revenue payments made or accrued from Revenue Income:</t>
  </si>
  <si>
    <t>Third Party payments for Corporation Tax and VAT</t>
  </si>
  <si>
    <t>Principal payments made from Principal Income:</t>
  </si>
  <si>
    <t>Total payments to be made this quarter</t>
  </si>
  <si>
    <t>Total closing cash balance</t>
  </si>
  <si>
    <t>Available Credit Enhancement</t>
  </si>
  <si>
    <t>PDL Replenishment</t>
  </si>
  <si>
    <t>Principal Deficiency Ledger (PDL)</t>
  </si>
  <si>
    <t>Opening PDL Balance</t>
  </si>
  <si>
    <t>Losses this quarter</t>
  </si>
  <si>
    <t>Total PDL balance</t>
  </si>
  <si>
    <t>Closing PDL Balance</t>
  </si>
  <si>
    <t xml:space="preserve">Cash Flow Interest Coverage </t>
  </si>
  <si>
    <t>Cover Ratio for Class A Notes (at last Interest Payment Date)</t>
  </si>
  <si>
    <t xml:space="preserve">Cover Ratio for Class A Notes (cumulative) </t>
  </si>
  <si>
    <t>Collateral Level Data</t>
  </si>
  <si>
    <t>Original Weighted Average Yield</t>
  </si>
  <si>
    <t>Original Spread</t>
  </si>
  <si>
    <t>Current Weighted Average Yield</t>
  </si>
  <si>
    <t>Current Spread</t>
  </si>
  <si>
    <t>Original Weighted Average Maturity</t>
  </si>
  <si>
    <t>Current Weighted Average Maturity</t>
  </si>
  <si>
    <t>Quarterly Prepayment Rate</t>
  </si>
  <si>
    <t>Life Time Prepayment Rate</t>
  </si>
  <si>
    <t>Delinquency Status</t>
  </si>
  <si>
    <t>Enforcements in Progress</t>
  </si>
  <si>
    <t>Enforcements Completed</t>
  </si>
  <si>
    <t>Principal Losses</t>
  </si>
  <si>
    <t>Agg Loan Principal Losses (during related Collection Period)</t>
  </si>
  <si>
    <t>Cumulative Principal Losses (since closing date)</t>
  </si>
  <si>
    <t>Average Number of months in Arrears @ Redemption date</t>
  </si>
  <si>
    <t>Average months between Possession &amp; Redemption</t>
  </si>
  <si>
    <t>Performing</t>
  </si>
  <si>
    <t>&gt;1&lt;=2 Months</t>
  </si>
  <si>
    <t>&gt;2&lt;=3 Months</t>
  </si>
  <si>
    <t>Contact Name/Address</t>
  </si>
  <si>
    <t>As at Closing</t>
  </si>
  <si>
    <t>PDD =</t>
  </si>
  <si>
    <t>Last Quarter Balance</t>
  </si>
  <si>
    <t>Tel.</t>
  </si>
  <si>
    <t>E-mail</t>
  </si>
  <si>
    <t>Additions this quarter</t>
  </si>
  <si>
    <t>No.</t>
  </si>
  <si>
    <t>%</t>
  </si>
  <si>
    <t>Senior/Subordinate</t>
  </si>
  <si>
    <t>Repurchases this quarter</t>
  </si>
  <si>
    <t>Principal (£'000)</t>
  </si>
  <si>
    <t>£'000 Value</t>
  </si>
  <si>
    <t>£'000 Principal</t>
  </si>
  <si>
    <t>years</t>
  </si>
  <si>
    <t>Quarterly</t>
  </si>
  <si>
    <t>Current Principal Outstanding</t>
  </si>
  <si>
    <t>Revenue (£'000)</t>
  </si>
  <si>
    <t>Total</t>
  </si>
  <si>
    <t>x</t>
  </si>
  <si>
    <t>Payments to Swap Counterparty</t>
  </si>
  <si>
    <t>N/A</t>
  </si>
  <si>
    <t>Note Step-Up Margins</t>
  </si>
  <si>
    <t>Previous Quarterly Interest Period (No. of Days)</t>
  </si>
  <si>
    <t>Current Quarterly Interest Period (No. of Days)</t>
  </si>
  <si>
    <t>Replenishments from excess Revenue cash</t>
  </si>
  <si>
    <t>Current Pool Factor</t>
  </si>
  <si>
    <t>Previous Pool Factor</t>
  </si>
  <si>
    <t xml:space="preserve">Previous Outstanding Note Principal </t>
  </si>
  <si>
    <t>Original Issue Amount ('000)</t>
  </si>
  <si>
    <t xml:space="preserve">Current Outstanding Note Principal </t>
  </si>
  <si>
    <t>Drawings this quarter to fund</t>
  </si>
  <si>
    <t>N.B. This data fact sheet and its notes can only be a summary of certain features of the bonds and their structure. No representation can be made that the information herein is accurate or complete and no liability is accepted therefor. Reference should be made to the issued</t>
  </si>
  <si>
    <t xml:space="preserve">information herein when making any decision whether to buy, hold or sell bonds (or other securities) or for any other purpose. </t>
  </si>
  <si>
    <t>documentation for a full description of the bonds and their structure. This data fact sheet and its notes are for information purposes only and are not intended as an offer or invitation with respect to the purchase or sale of any security. Reliance should not be placed on the</t>
  </si>
  <si>
    <t>Appointment of a Receiver of Rent</t>
  </si>
  <si>
    <t>+44 (0) 121 712 2315</t>
  </si>
  <si>
    <t>ACTUAL/365</t>
  </si>
  <si>
    <t>&gt;3&lt;=4 Months</t>
  </si>
  <si>
    <t>&gt;4&lt;=5 Months</t>
  </si>
  <si>
    <t>&gt;5&lt;=6 Months</t>
  </si>
  <si>
    <t>&gt;6&lt;=12 Months</t>
  </si>
  <si>
    <t>&gt;12 Months</t>
  </si>
  <si>
    <t>Delinquency Summary (Excluding Receiver of Rent and Possession Cases)</t>
  </si>
  <si>
    <t>Delinquency Summary (For Possession Cases)</t>
  </si>
  <si>
    <t>Total Assets</t>
  </si>
  <si>
    <t xml:space="preserve">FOR FURTHER ASSISTANCE ON THE INVESTOR REPORTS, PLEASE REFER TO THE "INVESTOR TERMS" POSTED ON THE PARAGON WEBSITE   </t>
  </si>
  <si>
    <t xml:space="preserve">FOR ADDITIONAL INFORMATION ON THE UNDERLYING ASSETS, PLEASE REFER TO THE "POOL TABLES" AND "SUMMARY" SECTIONS POSTED ON THE PARAGON WEBSITE  </t>
  </si>
  <si>
    <t xml:space="preserve"> </t>
  </si>
  <si>
    <t>Quarterly Interest Payment Date</t>
  </si>
  <si>
    <t>Stated Maturity - Class A Notes</t>
  </si>
  <si>
    <t>Redemption Income</t>
  </si>
  <si>
    <t>Investment Income</t>
  </si>
  <si>
    <t>Quarterly Interest Income</t>
  </si>
  <si>
    <t>Receiver of Rent Properties Sold</t>
  </si>
  <si>
    <t>Average Number of months in Arrears @ Sale date</t>
  </si>
  <si>
    <t>Termination Fees to the Swap Providers</t>
  </si>
  <si>
    <t>Total Income as a % of the Total Assets</t>
  </si>
  <si>
    <t>Swap Receipts</t>
  </si>
  <si>
    <t>Delinquency Summary (For Receiver of Rent Cases)</t>
  </si>
  <si>
    <t>+44 (0) 121 712 3896</t>
  </si>
  <si>
    <t>N/A: Sequential Paydown</t>
  </si>
  <si>
    <t>Accrual from Revenue for potential Losses</t>
  </si>
  <si>
    <t>Possession Properties Sold</t>
  </si>
  <si>
    <t>Delinquency Summary</t>
  </si>
  <si>
    <t>Unrated</t>
  </si>
  <si>
    <t>PM (2010) Ltd</t>
  </si>
  <si>
    <t>Class A Note Interest</t>
  </si>
  <si>
    <t>Issuer Profit Amount</t>
  </si>
  <si>
    <t>Swap Retention fund</t>
  </si>
  <si>
    <t>Original Weighted Average Note Coupon</t>
  </si>
  <si>
    <t>Current Weighted Average Note Coupon</t>
  </si>
  <si>
    <t>Properties Sold by Mortgagee - Outstanding Principal Balance</t>
  </si>
  <si>
    <t>This Quarter's Scheduled Repayments</t>
  </si>
  <si>
    <t>This Quarter's Unscheduled / Redemptions</t>
  </si>
  <si>
    <t>Issuer Services Provider Fee</t>
  </si>
  <si>
    <t>Accrued Arrears and Interest not Sold to Issuer</t>
  </si>
  <si>
    <t>Total Mortgage Assets</t>
  </si>
  <si>
    <t>Class B Notes</t>
  </si>
  <si>
    <t>Class C Notes</t>
  </si>
  <si>
    <t>Class B Note repayment</t>
  </si>
  <si>
    <t>Class C Note repayment</t>
  </si>
  <si>
    <t>Cover Ratio for Class B Notes (at last Interest Payment Date)</t>
  </si>
  <si>
    <t xml:space="preserve">Cover Ratio for Class B Notes (cumulative) </t>
  </si>
  <si>
    <t>Cover Ratio for Class C Notes (at last Interest Payment Date)</t>
  </si>
  <si>
    <t xml:space="preserve">Cover Ratio for Class C Notes (cumulative) </t>
  </si>
  <si>
    <t>Stated Maturity - Class B Notes</t>
  </si>
  <si>
    <t>Stated Maturity - Class C Notes</t>
  </si>
  <si>
    <t>Class B Note Interest</t>
  </si>
  <si>
    <t>Class C Note Interest</t>
  </si>
  <si>
    <t>Andrew Kitching, 51 Homer Road, Solihull, West Midlands, B91 3QJ</t>
  </si>
  <si>
    <t>Jimmy Giles, 51 Homer Road, Solihull, West Midlands, B91 3QJ</t>
  </si>
  <si>
    <t>Moody's Rating at Closing</t>
  </si>
  <si>
    <t>Current Moody's Rating</t>
  </si>
  <si>
    <t>Fitch Rating at Closing</t>
  </si>
  <si>
    <t>Current Fitch Rating</t>
  </si>
  <si>
    <t>Optional Redemption (Call)  Dates</t>
  </si>
  <si>
    <t>GBP Step-Up Margins</t>
  </si>
  <si>
    <t>Class Z Notes</t>
  </si>
  <si>
    <t>Class Z Note Interest and Deferred Interest</t>
  </si>
  <si>
    <t>Class Z Note repayment</t>
  </si>
  <si>
    <t>Cover Ratio for Class Z Notes (at last Interest Payment Date)</t>
  </si>
  <si>
    <t xml:space="preserve">Cover Ratio for Class Z Notes (cumulative) </t>
  </si>
  <si>
    <t>Stated Maturity - Class Z Notes</t>
  </si>
  <si>
    <t>Aggregate Principal Balance of Repurchased Loans (during related Collection Period)</t>
  </si>
  <si>
    <t>http://www.paragonbankinggroup.co.uk</t>
  </si>
  <si>
    <t>andrew.kitching@paragonbank.co.uk</t>
  </si>
  <si>
    <t>jimmy.giles@paragonbank.co.uk</t>
  </si>
  <si>
    <t>Class D Notes</t>
  </si>
  <si>
    <t>Mandatory Further Advance Pre Funding Reserve</t>
  </si>
  <si>
    <t>Class D Note repayment</t>
  </si>
  <si>
    <t>Mandatory Further Advance Pre Funding Reserve Ledger (MFAPFRL)</t>
  </si>
  <si>
    <t>Mandatory Further Advance Pre Funding Reserve utilised this quarter</t>
  </si>
  <si>
    <t xml:space="preserve">Closing Mandatory Further Advance Pre Funding Reserve </t>
  </si>
  <si>
    <t>Cover Ratio for Class D Notes (at last Interest Payment Date)</t>
  </si>
  <si>
    <t xml:space="preserve">Cover Ratio for Class D Notes (cumulative) </t>
  </si>
  <si>
    <t>Stated Maturity - Class D Notes</t>
  </si>
  <si>
    <t>Class D Note Interest</t>
  </si>
  <si>
    <t>Class S Notes</t>
  </si>
  <si>
    <t>Class S VFN Notes</t>
  </si>
  <si>
    <t>Class A, B, C, D, Z, S and SVFN Interest Calculated on</t>
  </si>
  <si>
    <t>Surplus Income diverted to Principal (On or after the Step Up Date)</t>
  </si>
  <si>
    <t>Class S Note repayment</t>
  </si>
  <si>
    <t>General Reserve Fund</t>
  </si>
  <si>
    <t>General Reserve Fund at Closing</t>
  </si>
  <si>
    <t>Class A and Class B Liquidity Reserve Fund</t>
  </si>
  <si>
    <t xml:space="preserve">Mortgage Margin Reserve Fund </t>
  </si>
  <si>
    <t>Stated Maturity - Class S Notes</t>
  </si>
  <si>
    <t>Stated Maturity - Class S VFN Notes</t>
  </si>
  <si>
    <t>Class A, B, C, D, Z, S and SVFN Interest Payment Cycle</t>
  </si>
  <si>
    <t>Determination Event for Paying Class B, C, D, Z, S and SVFN Notes</t>
  </si>
  <si>
    <t xml:space="preserve">Class A Note Interest </t>
  </si>
  <si>
    <t xml:space="preserve">Class A and Class B Liquidity Reserve Fund at Closing </t>
  </si>
  <si>
    <t>General Reserve Fund replenishment to the General Reserve Fund Required Amount</t>
  </si>
  <si>
    <t>Class A and B Liquidity Reserve Fund replenishment to the Class A and B Liquidity Reserve Fund Required Amount</t>
  </si>
  <si>
    <t>Closing General Reserve Fund Balance</t>
  </si>
  <si>
    <t>Closing Class A and Class B Liquidity Reserve Fund Balance</t>
  </si>
  <si>
    <t>Last Quarter closing Class A and B Liquidity Reserve Fund Balance (1.50% of the Class A and B Notes outstanding)</t>
  </si>
  <si>
    <t>Last Quarter closing General Reserve Fund Balance (1.50% of the Class C and D Notes outstanding)</t>
  </si>
  <si>
    <t xml:space="preserve">Mortgage Margin Reserve Fund Discretionary Fund </t>
  </si>
  <si>
    <t>Closing Mortgage Margin Reserve Fund Balance</t>
  </si>
  <si>
    <t>Mortgage Margin Reserve Fund Discretionary Amount at Closing</t>
  </si>
  <si>
    <t>Closing Mortgage Margin Reserve Fund Discretionary Amount Balance</t>
  </si>
  <si>
    <t>Last Quarter Mortgage Margin Reserve Fund Balance</t>
  </si>
  <si>
    <t>Last Quarter Mortgage Margin Reserve Fund Discretionary Amount balance</t>
  </si>
  <si>
    <t xml:space="preserve">Conversion Margin Reserve Fund </t>
  </si>
  <si>
    <t>Last Quarter Conversion Margin Reserve Fund Balance</t>
  </si>
  <si>
    <t>Conversion Margin Reserve Fund Discretionary Amount at Closing</t>
  </si>
  <si>
    <t xml:space="preserve">Last quarter Conversion Margin Reserve Fund Discretionary Amount balance </t>
  </si>
  <si>
    <t>Closing Conversion Margin Reserve Fund Discretionary Amount Balance</t>
  </si>
  <si>
    <t>Principal Receipts to Revenue to fund Senior Expenses Deficit</t>
  </si>
  <si>
    <t>AAA</t>
  </si>
  <si>
    <t>Aaa</t>
  </si>
  <si>
    <t>Aa1</t>
  </si>
  <si>
    <t>Class A and B Liquidity Reserve Fund Release Amount / Excess Amount</t>
  </si>
  <si>
    <t>General Reserve Fund Release Amount / Excess Amount</t>
  </si>
  <si>
    <t>Residual Certificates Payments (prior to but excluding the Step Up Date)</t>
  </si>
  <si>
    <t>Principal to meet Senior Expenses Deficit</t>
  </si>
  <si>
    <t>Amounts credited to the Mortgage Margin Reserve Fund during the period</t>
  </si>
  <si>
    <t>Amounts credited to the Mortgage MRF Discretionary Fund from Revenue during the period</t>
  </si>
  <si>
    <t xml:space="preserve">Scheduled Conversion Margin Reserve Fund Release Amount to the Revenue Ledger </t>
  </si>
  <si>
    <t>Amounts credited to the Conversion MRF Discretionary Fund from Revenue during the period</t>
  </si>
  <si>
    <t>Principal to meet Senior Expenses / Note Interest</t>
  </si>
  <si>
    <t>Interest Rate Converted Mortgage Release Amount and any excess</t>
  </si>
  <si>
    <t>Amounts credited to the Mortgage MRF from the Mortgage MRF Discretionary Fund during the period</t>
  </si>
  <si>
    <t>Amounts credited to the Conversion MRF from the Conversion MRF Discretionary Fund during the period</t>
  </si>
  <si>
    <t xml:space="preserve">Scheduled Mortgage Margin Reserve Fund Release Amount to the Revenue Ledger </t>
  </si>
  <si>
    <t>Mandatory and Discretionary Further Advances (FA's)</t>
  </si>
  <si>
    <t>Total FA's permitted</t>
  </si>
  <si>
    <t>FA's made to last quarter</t>
  </si>
  <si>
    <t>FA's made this quarter</t>
  </si>
  <si>
    <t>Total FA's made to date</t>
  </si>
  <si>
    <t>Remaining permitted FA's</t>
  </si>
  <si>
    <t>DFA's</t>
  </si>
  <si>
    <t>MFA's</t>
  </si>
  <si>
    <t>Total Class A , B, C , D and Z Note Principal</t>
  </si>
  <si>
    <t>Scheduled Mortgage Margin Reserve Fund Release Amount and any excess</t>
  </si>
  <si>
    <t xml:space="preserve">Senior Administration Fee to PM (2010)/ PB / Substitute Administrator Facilitator / Out of pocket expenses / Senior Expenses </t>
  </si>
  <si>
    <t xml:space="preserve">Drawings this quarter to fund: </t>
  </si>
  <si>
    <t>Mandatory Further Advance Pre Funding Reserve Diverted to the Principal Ledger</t>
  </si>
  <si>
    <t>Senior Expenses</t>
  </si>
  <si>
    <t>Excess amount released to the Revenue Ledger</t>
  </si>
  <si>
    <t>Current Outstanding Class B, C, D and Z Notes as a percentage of the Current Outstanding Class A Notes</t>
  </si>
  <si>
    <t xml:space="preserve">Class B, C, D and Z Notes as a percentage of the Class A Notes at issue </t>
  </si>
  <si>
    <t>260bp</t>
  </si>
  <si>
    <t>400bp</t>
  </si>
  <si>
    <t>Amounts due to Administrators and Paragon Corporate Services Provider</t>
  </si>
  <si>
    <t>Mandatory Further Advance Pre Funding Reserve at Closing</t>
  </si>
  <si>
    <t>Amounts credited to the Conversion Margin Reserve Fund during the period</t>
  </si>
  <si>
    <t xml:space="preserve">Class S Note Interest </t>
  </si>
  <si>
    <t>Class S Note Principal</t>
  </si>
  <si>
    <t xml:space="preserve">Class S VFN Note Interest </t>
  </si>
  <si>
    <t>Class S VFN Note Principal</t>
  </si>
  <si>
    <t>Aggregate Balance of Substituted Loans</t>
  </si>
  <si>
    <t>Paragon Bank Mandatory Further Advances</t>
  </si>
  <si>
    <t>Paragon Bank Discretionary Further Advances</t>
  </si>
  <si>
    <t>Paragon Bank</t>
  </si>
  <si>
    <t>Total Hedge Amount</t>
  </si>
  <si>
    <t>Over (+) / Under (-) Hedging</t>
  </si>
  <si>
    <t>Hedging Corridor</t>
  </si>
  <si>
    <t>PDL replenishment (-) from Revenue income / Recovery (+) to Revenue income</t>
  </si>
  <si>
    <t>Paragon Mortgages (No.26) PLC</t>
  </si>
  <si>
    <t>This performance report is issued by Paragon Mortgages (2010) Limited for and on behalf of Paragon Mortgages (No.26) PLC</t>
  </si>
  <si>
    <t>PM26 INVESTOR REPORT QUARTER ENDING OCTOBER 2019</t>
  </si>
  <si>
    <t>Class A1 Notes</t>
  </si>
  <si>
    <t>Class A2 Notes</t>
  </si>
  <si>
    <t>A</t>
  </si>
  <si>
    <t>Aa3</t>
  </si>
  <si>
    <t>Baa3</t>
  </si>
  <si>
    <t>BBB</t>
  </si>
  <si>
    <t>XS1938530646</t>
  </si>
  <si>
    <t>XS1938530729</t>
  </si>
  <si>
    <t>XS1938531024</t>
  </si>
  <si>
    <t>XS1938531370</t>
  </si>
  <si>
    <t>XS1938531701</t>
  </si>
  <si>
    <t>XS1938532006</t>
  </si>
  <si>
    <t>XS1938532261</t>
  </si>
  <si>
    <t>XS1940985291</t>
  </si>
  <si>
    <t>XS1940986265</t>
  </si>
  <si>
    <t>XS1940987230</t>
  </si>
  <si>
    <t>XS1940987404</t>
  </si>
  <si>
    <t>105bp</t>
  </si>
  <si>
    <t>120bp</t>
  </si>
  <si>
    <t>190bp</t>
  </si>
  <si>
    <t>225bp</t>
  </si>
  <si>
    <t>360bp</t>
  </si>
  <si>
    <t>157.5bp</t>
  </si>
  <si>
    <t>180bp</t>
  </si>
  <si>
    <t>285bp</t>
  </si>
  <si>
    <t>325bp</t>
  </si>
  <si>
    <t>Available Redemption Funds</t>
  </si>
  <si>
    <t>Trustee Fee/Costs and Expenses claimed by the Substitute Administrator &amp; Maples Corporate Services Provider</t>
  </si>
  <si>
    <t>Class A1 Note Interest</t>
  </si>
  <si>
    <t>Class A2 Note Interest</t>
  </si>
  <si>
    <t>Class A1 Note repayment</t>
  </si>
  <si>
    <t>Class A2 Note repayment</t>
  </si>
  <si>
    <t>Mortgage MRF Discretionary Amount (prior to the Step Up Date)</t>
  </si>
  <si>
    <t>Conversion MRF Discretionary Amount (prior to the Step Up Date)</t>
  </si>
  <si>
    <t>PM26 PLC</t>
  </si>
  <si>
    <t>213800RGXT5TJSMULJ82</t>
  </si>
  <si>
    <t>Legal Entity Identifier (LEI)</t>
  </si>
  <si>
    <t>Weighted Average Swap Rate</t>
  </si>
  <si>
    <t>MFAPFRL and Available Redemption Funds</t>
  </si>
  <si>
    <t>Retention Requirement under Article 6 of Regulation (EU) 2017/2402 (the "Securitisation Regulation") held by Paragon Finance PLC</t>
  </si>
  <si>
    <t>Total Current Balance of Fixed Rate Assets *</t>
  </si>
  <si>
    <t xml:space="preserve">* The quarterly amortising swap executed on the Closing Date has been constructed on the weighted average fixed rate assets in each period, which may differ to the actual value of the fixed rate assets at each quarter end that are reported in the pool tables. </t>
  </si>
  <si>
    <t>PM26 INVESTOR REPORT QUARTER ENDING JANUARY 2020</t>
  </si>
  <si>
    <t>A+</t>
  </si>
  <si>
    <t>BBB+</t>
  </si>
  <si>
    <t>Mandatory Further Advance Pre Funding Reserve at last quarter end</t>
  </si>
  <si>
    <t>PM26 INVESTOR REPORT QUARTER ENDING APRIL 2020</t>
  </si>
  <si>
    <t>**</t>
  </si>
  <si>
    <t>Delinquency Summary (For COVID19 Payment Holiday Cases)</t>
  </si>
  <si>
    <t>Payment Holidays</t>
  </si>
  <si>
    <t>On 18th March 2020, the UK Government instructed Lenders to grant a three-month mortgage payment holiday to Buy to Let landlords who may be experiencing difficulties in meeting their buy to let mortgage payments caused by the impact of the COVID19 virus.</t>
  </si>
  <si>
    <t>Following this guidance and where appropriate, Paragon have agreed a mortgage payment holiday with customers, ranging between one and three months. Paragon have emphasised to the customers (a) this is only a temporary arrangement and that the position</t>
  </si>
  <si>
    <t xml:space="preserve">will be reviewed after the payment holiday period and (b) interest will continue to be charged on the payment holiday amount that forms part of the customers' outstanding mortgage balance. Following the expiry of the relevant payment holiday arrangement, </t>
  </si>
  <si>
    <t xml:space="preserve">Paragon will contact the customer with a range of available options, including an overpayment on the customers' monthly payment to clear the payment holiday amount. In accordance with the practices of a reasonable prudent administrator, each case will be </t>
  </si>
  <si>
    <t>assessed individually and on its own merits.</t>
  </si>
  <si>
    <t>Paragon have also made the necessary system changes to accommodate payment holidays. For reporting purposes, and in line with the UK Finance's expectations, customers that have been granted a payment holiday will not be categorised nor reported as an arrears</t>
  </si>
  <si>
    <t xml:space="preserve">loan. It is expected that Paragon will be in a position to identify and report on the payment holiday customers for investor reporting and loan by loan disclosure requirements. </t>
  </si>
  <si>
    <t>LIBOR transition</t>
  </si>
  <si>
    <t>Paragon are proactively working with other banks, industry bodies, our regulators and trade associations to define the next steps to consider alternatives to LIBOR and explore all reasonable alternatives. The decision regarding the replacement will be based on a variety of factors,</t>
  </si>
  <si>
    <t>% by Number of Accounts/Balance</t>
  </si>
  <si>
    <t>Rented</t>
  </si>
  <si>
    <t>Vacant - to be let</t>
  </si>
  <si>
    <t>Vacant - to be sold</t>
  </si>
  <si>
    <t>Property Rented/For Sale</t>
  </si>
  <si>
    <t>Receiver of Rent Cases by Current Status, as at the PDD</t>
  </si>
  <si>
    <t xml:space="preserve">Strategic review </t>
  </si>
  <si>
    <t xml:space="preserve">including taking into account the interests of our customers, market consultations and the expectations of our regulators (the PRA and FCA). For PM26, this statement only relates to the underlying Libor linked mortgages as SONIA (and not LIBOR) is the PM26 Note Reference Rate.  </t>
  </si>
  <si>
    <t>** For transparency, a table has been included where customers have elected to take a payment holiday, caused by COVID19. Rows 337 - 347 Delinquency Summary (For COVID19 Payment Holiday Cases) are included in the Overall Delinquency Summary in rows 303 - 313.</t>
  </si>
  <si>
    <t>Offer Issued/Offer Accepted/Contracts Issued/Contracts Exchanged</t>
  </si>
  <si>
    <t>PM26 INVESTOR REPORT QUARTER ENDING JULY 2020</t>
  </si>
  <si>
    <t>Original Payment Holiday Borrowers</t>
  </si>
  <si>
    <t>Extended Payment Holiday Borrowers</t>
  </si>
  <si>
    <t>WA PH Remaining Term (months)</t>
  </si>
  <si>
    <t>Payment Holiday Extensions</t>
  </si>
  <si>
    <t xml:space="preserve">On 22nd May 2020, the UK Government announced that payment holidays would be extended for a further three months for Buy to Let landlords who may be experiencing, or continue to experience, difficulties in meeting their buy to let mortgage payments caused </t>
  </si>
  <si>
    <t xml:space="preserve">by the impact of the COVID19 virus. There is a deadline of 31st October 2020 for customers who have yet to apply for a payment holiday with their lenders. The same principles as outlined above for the "original" payment holiday customers will also apply to the </t>
  </si>
  <si>
    <t>"extended" payment holiday customers.</t>
  </si>
  <si>
    <t>PM26 INVESTOR REPORT QUARTER ENDING OCTOBER 2020</t>
  </si>
  <si>
    <t>Payment holidays were extended in June 2020 and November 2020 for Buy to Let landlords who may be experiencing, or continue to experience, difficulties in meeting their buy to let mortgage payments caused by the impact of the COVID19 virus.</t>
  </si>
  <si>
    <t>PM26 INVESTOR REPORT QUARTER ENDING JANUARY 2021</t>
  </si>
  <si>
    <t>PM26 INVESTOR REPORT QUARTER ENDING APRIL 2021</t>
  </si>
  <si>
    <t>The deadline for customers to apply for a payment holiday with their lenders was 31st March 2021 and all payment holidays must end by 31st July 2021. The same principles as outlined above for the "original" payment holiday customers also applies to the "extended" payment holiday customers.</t>
  </si>
  <si>
    <t>Mortgage Margin Reserve Fund Required Amount at Closing</t>
  </si>
  <si>
    <t>Conversion Margin Reserve Fund Amount at Closing</t>
  </si>
  <si>
    <t>Conversion Margin Reserve Fund Discretionary Fund</t>
  </si>
  <si>
    <t>PM26 INVESTOR REPORT QUARTER ENDING JULY 2021</t>
  </si>
  <si>
    <t xml:space="preserve">The Paragon Mortgages (2010) Limited originated mortgages transitioned to a term SONIA basis on 1st July 2021. Please see the below link for further details. </t>
  </si>
  <si>
    <t>libor-mortgages-transition-july-19 (paragonbankinggroup.co.uk)</t>
  </si>
  <si>
    <t>LIBOR transition on the PM26 Libor Linked Assets</t>
  </si>
  <si>
    <t xml:space="preserve">The same principles as outlined above for the "original" payment holiday customers also applies to the "extended" payment holiday customers. </t>
  </si>
  <si>
    <t>Closing Conversion Mortgage Margin Reserve Fund Balance</t>
  </si>
  <si>
    <t>All payment holidays expired on 31st July 2021.</t>
  </si>
  <si>
    <t xml:space="preserve">There is a deadline of 31st January 2021 for customers who have yet to apply for a payment holiday with their lenders. The same principles as outlined above for the "original" payment holiday customers will also apply to the "extended" payment holiday customers. </t>
  </si>
  <si>
    <t>AA+</t>
  </si>
  <si>
    <t>PM(2010)/ PB Mandatory Further Advance Pre Funding Reserve diverted to Principal</t>
  </si>
  <si>
    <t xml:space="preserve">Funding of the PM(2010)/ PB Mandatory Further Advances </t>
  </si>
  <si>
    <t>PM (2010) Mandatory Further Advances</t>
  </si>
  <si>
    <t>PM (2010) Discretionary Further Advances</t>
  </si>
  <si>
    <t>PM26 INVESTOR REPORT QUARTER ENDING OCTOBER 2021</t>
  </si>
  <si>
    <t>A3</t>
  </si>
  <si>
    <t>PM26 INVESTOR REPORT QUARTER ENDING JANUARY 2022</t>
  </si>
  <si>
    <t>PM26 INVESTOR REPORT QUARTER ENDING APRIL 2022</t>
  </si>
  <si>
    <t>PM26 INVESTOR REPORT QUARTER ENDING JULY 2022</t>
  </si>
  <si>
    <t>RC1a Residual Certificates</t>
  </si>
  <si>
    <t>RC1b Residual Certificates</t>
  </si>
  <si>
    <t>RC2a Residual  Certificates</t>
  </si>
  <si>
    <t>RC2b Residual Certificates</t>
  </si>
  <si>
    <t>Total Hedge Amount*</t>
  </si>
  <si>
    <t xml:space="preserve">* The quarterly amortising swap executed on the Closing Date has been constructed on the weighted average fixed rate assets in each period, which may differ to the actual value of the fixed rate assets at each quarter end that are reported in the pool tables.To cater for timing differences on the Swap amortisations in certain quarters, the  Swaps are reported as at the Interest Payment Date, and not the Principal Determination Date.   </t>
  </si>
  <si>
    <t>PM26 INVESTOR REPORT QUARTER ENDING OCTOBER 2022</t>
  </si>
  <si>
    <t>Amounts credited to the Mortgage MRF from the Conversion Margin Reserve Fund Release Amount during the period</t>
  </si>
  <si>
    <t>Amount Released to the Mortgage Margin Reserve Fund during the period</t>
  </si>
  <si>
    <t xml:space="preserve">Mortgage Margin Reserve Fund Release Amount </t>
  </si>
  <si>
    <t xml:space="preserve">Mortgage Margin Reserve Fund Release Amount to the Revenue Ledger </t>
  </si>
  <si>
    <t>PM26 INVESTOR REPORT QUARTER ENDING JANUARY 2023</t>
  </si>
  <si>
    <t>Amounts credited to the Mortgage MRF from the Conversion Margin Reserve Fund Release Amount/Mortgage MRF Disc Fund during the period</t>
  </si>
  <si>
    <t>Amounts credited to the Mortgage MRF Discretionary Fund from the Revenue Priority of Payments</t>
  </si>
  <si>
    <t>Current Spread **</t>
  </si>
  <si>
    <t xml:space="preserve">reporting on the revenue as a % of the assets in the next row. </t>
  </si>
  <si>
    <t xml:space="preserve">** The negative spread has been capped at zero. The swap receipts in respect of the fixed rate assets and the respective releases from the conversion margin reserve fund and the margin reserve fund to the Revenue Ledger are not included in the weighted average interest charging rate. This is the reason for </t>
  </si>
  <si>
    <t>PM26 INVESTOR REPORT QUARTER ENDING APRIL 2023</t>
  </si>
  <si>
    <t>PM26 INVESTOR REPORT QUARTER ENDING JULY 2023</t>
  </si>
  <si>
    <t>PM26 INVESTOR REPORT QUARTER ENDING OCTOBER 2023</t>
  </si>
  <si>
    <t>PM26 INVESTOR REPORT QUARTER ENDING JANUARY 2024</t>
  </si>
  <si>
    <t>Total Hedge Amount split: Lloyds = 88.07%,  Santander = 11.93%</t>
  </si>
  <si>
    <t>PM26 INVESTOR REPORT QUARTER ENDING APRIL 2024</t>
  </si>
  <si>
    <t>Total Hedge Amount split: Lloyds = 84.58%,  Santander = 15.42%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</si>
</sst>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809]#,##0"/>
    <numFmt numFmtId="165" formatCode="0.00000%"/>
    <numFmt numFmtId="166" formatCode="0.0%"/>
    <numFmt numFmtId="167" formatCode="d\-mmm\-yy"/>
    <numFmt numFmtId="168" formatCode="[$€-2]\ #,##0"/>
    <numFmt numFmtId="169" formatCode="&quot;£&quot;#,##0"/>
    <numFmt numFmtId="170" formatCode="0.0000000"/>
    <numFmt numFmtId="171" formatCode="&quot;£&quot;#,##0.00"/>
  </numFmts>
  <fonts count="31" x14ac:knownFonts="1">
    <font>
      <sz val="12"/>
      <name val="Arial"/>
    </font>
    <font>
      <u/>
      <sz val="8.4"/>
      <color indexed="12"/>
      <name val="Arial"/>
      <family val="2"/>
    </font>
    <font>
      <sz val="12"/>
      <name val="Arial"/>
      <family val="2"/>
    </font>
    <font>
      <sz val="12"/>
      <name val="Calibri"/>
      <family val="2"/>
      <scheme val="minor"/>
    </font>
    <font>
      <b/>
      <u/>
      <sz val="16"/>
      <color rgb="FF2D2926"/>
      <name val="Calibri"/>
      <family val="2"/>
      <scheme val="minor"/>
    </font>
    <font>
      <u/>
      <sz val="12"/>
      <name val="Calibri"/>
      <family val="2"/>
      <scheme val="minor"/>
    </font>
    <font>
      <b/>
      <sz val="12"/>
      <color rgb="FF89CB31"/>
      <name val="Calibri"/>
      <family val="2"/>
      <scheme val="minor"/>
    </font>
    <font>
      <b/>
      <i/>
      <sz val="10"/>
      <color rgb="FF2D2926"/>
      <name val="Calibri"/>
      <family val="2"/>
      <scheme val="minor"/>
    </font>
    <font>
      <b/>
      <i/>
      <sz val="10"/>
      <name val="Calibri"/>
      <family val="2"/>
      <scheme val="minor"/>
    </font>
    <font>
      <b/>
      <u/>
      <sz val="14"/>
      <color indexed="53"/>
      <name val="Calibri"/>
      <family val="2"/>
      <scheme val="minor"/>
    </font>
    <font>
      <b/>
      <u/>
      <sz val="12"/>
      <color rgb="FF89CB31"/>
      <name val="Calibri"/>
      <family val="2"/>
      <scheme val="minor"/>
    </font>
    <font>
      <b/>
      <sz val="12"/>
      <name val="Calibri"/>
      <family val="2"/>
      <scheme val="minor"/>
    </font>
    <font>
      <sz val="12"/>
      <color rgb="FF2D2926"/>
      <name val="Calibri"/>
      <family val="2"/>
      <scheme val="minor"/>
    </font>
    <font>
      <b/>
      <sz val="12"/>
      <color rgb="FF2D2926"/>
      <name val="Calibri"/>
      <family val="2"/>
      <scheme val="minor"/>
    </font>
    <font>
      <b/>
      <u/>
      <sz val="12"/>
      <color rgb="FF2D2926"/>
      <name val="Calibri"/>
      <family val="2"/>
      <scheme val="minor"/>
    </font>
    <font>
      <sz val="12"/>
      <color indexed="9"/>
      <name val="Calibri"/>
      <family val="2"/>
      <scheme val="minor"/>
    </font>
    <font>
      <b/>
      <sz val="12"/>
      <color indexed="9"/>
      <name val="Calibri"/>
      <family val="2"/>
      <scheme val="minor"/>
    </font>
    <font>
      <sz val="12"/>
      <color rgb="FF89CB31"/>
      <name val="Calibri"/>
      <family val="2"/>
      <scheme val="minor"/>
    </font>
    <font>
      <b/>
      <sz val="14"/>
      <color rgb="FF2D2926"/>
      <name val="Calibri"/>
      <family val="2"/>
      <scheme val="minor"/>
    </font>
    <font>
      <b/>
      <u/>
      <sz val="12"/>
      <color indexed="9"/>
      <name val="Calibri"/>
      <family val="2"/>
      <scheme val="minor"/>
    </font>
    <font>
      <sz val="12"/>
      <color indexed="8"/>
      <name val="Calibri"/>
      <family val="2"/>
      <scheme val="minor"/>
    </font>
    <font>
      <sz val="12"/>
      <color indexed="18"/>
      <name val="Calibri"/>
      <family val="2"/>
      <scheme val="minor"/>
    </font>
    <font>
      <b/>
      <u/>
      <sz val="12"/>
      <name val="Calibri"/>
      <family val="2"/>
      <scheme val="minor"/>
    </font>
    <font>
      <b/>
      <u/>
      <sz val="12"/>
      <color indexed="8"/>
      <name val="Calibri"/>
      <family val="2"/>
      <scheme val="minor"/>
    </font>
    <font>
      <b/>
      <sz val="12"/>
      <color indexed="8"/>
      <name val="Calibri"/>
      <family val="2"/>
      <scheme val="minor"/>
    </font>
    <font>
      <b/>
      <sz val="14"/>
      <color rgb="FF89CB31"/>
      <name val="Calibri"/>
      <family val="2"/>
      <scheme val="minor"/>
    </font>
    <font>
      <b/>
      <u/>
      <sz val="14"/>
      <color rgb="FF89CB31"/>
      <name val="Calibri"/>
      <family val="2"/>
      <scheme val="minor"/>
    </font>
    <font>
      <b/>
      <sz val="14"/>
      <color indexed="53"/>
      <name val="Calibri"/>
      <family val="2"/>
      <scheme val="minor"/>
    </font>
    <font>
      <b/>
      <sz val="12"/>
      <color indexed="18"/>
      <name val="Calibri"/>
      <family val="2"/>
      <scheme val="minor"/>
    </font>
    <font>
      <sz val="12"/>
      <color rgb="FFFF0000"/>
      <name val="Calibri"/>
      <family val="2"/>
      <scheme val="minor"/>
    </font>
    <font>
      <u/>
      <sz val="12"/>
      <color indexed="12"/>
      <name val="Calibri"/>
      <family val="2"/>
      <scheme val="minor"/>
    </font>
  </fonts>
  <fills count="5">
    <fill>
      <patternFill patternType="none"/>
    </fill>
    <fill>
      <patternFill patternType="gray125"/>
    </fill>
    <fill>
      <patternFill patternType="solid">
        <fgColor indexed="38"/>
        <bgColor indexed="64"/>
      </patternFill>
    </fill>
    <fill>
      <patternFill patternType="solid">
        <fgColor rgb="FF89CB31"/>
        <bgColor indexed="64"/>
      </patternFill>
    </fill>
    <fill>
      <patternFill patternType="solid">
        <fgColor rgb="FFF4F4F4"/>
        <bgColor indexed="64"/>
      </patternFill>
    </fill>
  </fills>
  <borders count="30">
    <border>
      <left/>
      <right/>
      <top/>
      <bottom/>
      <diagonal/>
    </border>
    <border>
      <left style="medium">
        <color indexed="8"/>
      </left>
      <right/>
      <top/>
      <bottom/>
      <diagonal/>
    </border>
    <border>
      <left/>
      <right/>
      <top style="medium">
        <color indexed="8"/>
      </top>
      <bottom/>
      <diagonal/>
    </border>
    <border>
      <left/>
      <right/>
      <top style="thin">
        <color indexed="64"/>
      </top>
      <bottom style="thin">
        <color indexed="64"/>
      </bottom>
      <diagonal/>
    </border>
    <border>
      <left/>
      <right/>
      <top style="thin">
        <color indexed="64"/>
      </top>
      <bottom/>
      <diagonal/>
    </border>
    <border>
      <left style="medium">
        <color indexed="8"/>
      </left>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thin">
        <color indexed="55"/>
      </top>
      <bottom style="thin">
        <color indexed="55"/>
      </bottom>
      <diagonal/>
    </border>
    <border>
      <left/>
      <right/>
      <top style="thin">
        <color indexed="55"/>
      </top>
      <bottom style="thin">
        <color indexed="55"/>
      </bottom>
      <diagonal/>
    </border>
    <border>
      <left/>
      <right style="medium">
        <color indexed="8"/>
      </right>
      <top style="thin">
        <color indexed="55"/>
      </top>
      <bottom style="thin">
        <color indexed="55"/>
      </bottom>
      <diagonal/>
    </border>
    <border>
      <left/>
      <right style="medium">
        <color indexed="8"/>
      </right>
      <top style="medium">
        <color indexed="8"/>
      </top>
      <bottom/>
      <diagonal/>
    </border>
    <border>
      <left/>
      <right style="medium">
        <color indexed="8"/>
      </right>
      <top/>
      <bottom/>
      <diagonal/>
    </border>
    <border>
      <left style="medium">
        <color indexed="8"/>
      </left>
      <right/>
      <top style="thin">
        <color rgb="FF969696"/>
      </top>
      <bottom style="thin">
        <color rgb="FF969696"/>
      </bottom>
      <diagonal/>
    </border>
    <border>
      <left/>
      <right/>
      <top style="thin">
        <color rgb="FF969696"/>
      </top>
      <bottom style="thin">
        <color rgb="FF969696"/>
      </bottom>
      <diagonal/>
    </border>
    <border>
      <left/>
      <right style="medium">
        <color indexed="8"/>
      </right>
      <top style="thin">
        <color rgb="FF969696"/>
      </top>
      <bottom style="thin">
        <color rgb="FF969696"/>
      </bottom>
      <diagonal/>
    </border>
    <border>
      <left/>
      <right/>
      <top style="thin">
        <color rgb="FF969696"/>
      </top>
      <bottom/>
      <diagonal/>
    </border>
    <border>
      <left/>
      <right/>
      <top style="thin">
        <color indexed="55"/>
      </top>
      <bottom/>
      <diagonal/>
    </border>
    <border>
      <left/>
      <right/>
      <top/>
      <bottom style="thin">
        <color rgb="FF969696"/>
      </bottom>
      <diagonal/>
    </border>
    <border>
      <left/>
      <right/>
      <top/>
      <bottom style="thin">
        <color indexed="55"/>
      </bottom>
      <diagonal/>
    </border>
    <border>
      <left/>
      <right/>
      <top style="thin">
        <color theme="0" tint="-0.499984740745262"/>
      </top>
      <bottom style="thin">
        <color theme="0" tint="-0.499984740745262"/>
      </bottom>
      <diagonal/>
    </border>
    <border>
      <left style="medium">
        <color indexed="8"/>
      </left>
      <right/>
      <top style="thin">
        <color indexed="23"/>
      </top>
      <bottom style="thin">
        <color indexed="23"/>
      </bottom>
      <diagonal/>
    </border>
    <border>
      <left/>
      <right/>
      <top style="thin">
        <color indexed="23"/>
      </top>
      <bottom style="thin">
        <color indexed="23"/>
      </bottom>
      <diagonal/>
    </border>
    <border>
      <left style="thick">
        <color rgb="FFFF0000"/>
      </left>
      <right/>
      <top style="thick">
        <color rgb="FFFF0000"/>
      </top>
      <bottom style="thin">
        <color indexed="55"/>
      </bottom>
      <diagonal/>
    </border>
    <border>
      <left/>
      <right/>
      <top style="thick">
        <color rgb="FFFF0000"/>
      </top>
      <bottom style="thin">
        <color indexed="55"/>
      </bottom>
      <diagonal/>
    </border>
    <border>
      <left/>
      <right style="thick">
        <color rgb="FFFF0000"/>
      </right>
      <top style="thick">
        <color rgb="FFFF0000"/>
      </top>
      <bottom style="thin">
        <color indexed="55"/>
      </bottom>
      <diagonal/>
    </border>
    <border>
      <left style="thick">
        <color rgb="FFFF0000"/>
      </left>
      <right/>
      <top style="thin">
        <color indexed="55"/>
      </top>
      <bottom style="thick">
        <color rgb="FFFF0000"/>
      </bottom>
      <diagonal/>
    </border>
    <border>
      <left/>
      <right/>
      <top style="thin">
        <color indexed="55"/>
      </top>
      <bottom style="thick">
        <color rgb="FFFF0000"/>
      </bottom>
      <diagonal/>
    </border>
    <border>
      <left/>
      <right style="thick">
        <color rgb="FFFF0000"/>
      </right>
      <top style="thin">
        <color indexed="55"/>
      </top>
      <bottom style="thick">
        <color rgb="FFFF0000"/>
      </bottom>
      <diagonal/>
    </border>
  </borders>
  <cellStyleXfs count="3">
    <xf numFmtId="0" fontId="0" fillId="0" borderId="0"/>
    <xf numFmtId="0" fontId="1" fillId="0" borderId="0" applyNumberFormat="0" applyFill="0" applyBorder="0" applyAlignment="0" applyProtection="0">
      <alignment vertical="top"/>
      <protection locked="0"/>
    </xf>
    <xf numFmtId="9" fontId="2" fillId="0" borderId="0" applyFont="0" applyFill="0" applyBorder="0" applyAlignment="0" applyProtection="0"/>
  </cellStyleXfs>
  <cellXfs count="315">
    <xf numFmtId="0" fontId="0" fillId="0" borderId="0" xfId="0"/>
    <xf numFmtId="0" fontId="3" fillId="2" borderId="5" xfId="0" applyNumberFormat="1" applyFont="1" applyFill="1" applyBorder="1" applyAlignment="1"/>
    <xf numFmtId="0" fontId="4" fillId="2" borderId="2" xfId="0" applyNumberFormat="1" applyFont="1" applyFill="1" applyBorder="1" applyAlignment="1"/>
    <xf numFmtId="0" fontId="3" fillId="2" borderId="2" xfId="0" applyNumberFormat="1" applyFont="1" applyFill="1" applyBorder="1" applyAlignment="1"/>
    <xf numFmtId="0" fontId="3" fillId="2" borderId="12" xfId="0" applyNumberFormat="1" applyFont="1" applyFill="1" applyBorder="1" applyAlignment="1"/>
    <xf numFmtId="0" fontId="3" fillId="0" borderId="1" xfId="0" applyNumberFormat="1" applyFont="1" applyBorder="1"/>
    <xf numFmtId="0" fontId="3" fillId="0" borderId="0" xfId="0" applyNumberFormat="1" applyFont="1" applyAlignment="1"/>
    <xf numFmtId="0" fontId="3" fillId="2" borderId="1" xfId="0" applyNumberFormat="1" applyFont="1" applyFill="1" applyBorder="1" applyAlignment="1"/>
    <xf numFmtId="0" fontId="5" fillId="2" borderId="0" xfId="0" applyNumberFormat="1" applyFont="1" applyFill="1" applyAlignment="1"/>
    <xf numFmtId="0" fontId="3" fillId="2" borderId="0" xfId="0" applyNumberFormat="1" applyFont="1" applyFill="1" applyAlignment="1"/>
    <xf numFmtId="0" fontId="3" fillId="2" borderId="13" xfId="0" applyNumberFormat="1" applyFont="1" applyFill="1" applyBorder="1" applyAlignment="1"/>
    <xf numFmtId="0" fontId="3" fillId="2" borderId="1" xfId="0" applyNumberFormat="1" applyFont="1" applyFill="1" applyBorder="1" applyAlignment="1">
      <alignment horizontal="center"/>
    </xf>
    <xf numFmtId="0" fontId="6" fillId="2" borderId="0" xfId="0" applyNumberFormat="1" applyFont="1" applyFill="1" applyAlignment="1"/>
    <xf numFmtId="0" fontId="7" fillId="2" borderId="0" xfId="0" applyNumberFormat="1" applyFont="1" applyFill="1" applyAlignment="1"/>
    <xf numFmtId="0" fontId="8" fillId="2" borderId="0" xfId="0" applyNumberFormat="1" applyFont="1" applyFill="1" applyAlignment="1"/>
    <xf numFmtId="0" fontId="9" fillId="2" borderId="0" xfId="1" applyNumberFormat="1" applyFont="1" applyFill="1" applyAlignment="1" applyProtection="1"/>
    <xf numFmtId="0" fontId="10" fillId="2" borderId="0" xfId="1" applyNumberFormat="1" applyFont="1" applyFill="1" applyAlignment="1" applyProtection="1"/>
    <xf numFmtId="0" fontId="11" fillId="2" borderId="0" xfId="0" applyNumberFormat="1" applyFont="1" applyFill="1" applyAlignment="1"/>
    <xf numFmtId="0" fontId="12" fillId="2" borderId="1" xfId="0" applyNumberFormat="1" applyFont="1" applyFill="1" applyBorder="1" applyAlignment="1"/>
    <xf numFmtId="0" fontId="13" fillId="2" borderId="0" xfId="0" applyNumberFormat="1" applyFont="1" applyFill="1" applyAlignment="1"/>
    <xf numFmtId="0" fontId="12" fillId="2" borderId="0" xfId="0" applyNumberFormat="1" applyFont="1" applyFill="1" applyAlignment="1"/>
    <xf numFmtId="0" fontId="12" fillId="2" borderId="13" xfId="0" applyNumberFormat="1" applyFont="1" applyFill="1" applyBorder="1" applyAlignment="1"/>
    <xf numFmtId="0" fontId="12" fillId="0" borderId="1" xfId="0" applyNumberFormat="1" applyFont="1" applyBorder="1"/>
    <xf numFmtId="0" fontId="12" fillId="0" borderId="0" xfId="0" applyNumberFormat="1" applyFont="1" applyAlignment="1"/>
    <xf numFmtId="0" fontId="12" fillId="2" borderId="5" xfId="0" applyNumberFormat="1" applyFont="1" applyFill="1" applyBorder="1" applyAlignment="1"/>
    <xf numFmtId="0" fontId="12" fillId="2" borderId="2" xfId="0" applyNumberFormat="1" applyFont="1" applyFill="1" applyBorder="1" applyAlignment="1"/>
    <xf numFmtId="0" fontId="12" fillId="2" borderId="12" xfId="0" applyNumberFormat="1" applyFont="1" applyFill="1" applyBorder="1" applyAlignment="1"/>
    <xf numFmtId="0" fontId="14" fillId="2" borderId="0" xfId="0" applyNumberFormat="1" applyFont="1" applyFill="1" applyAlignment="1">
      <alignment horizontal="center" wrapText="1"/>
    </xf>
    <xf numFmtId="9" fontId="13" fillId="2" borderId="0" xfId="0" applyNumberFormat="1" applyFont="1" applyFill="1" applyAlignment="1">
      <alignment horizontal="center"/>
    </xf>
    <xf numFmtId="10" fontId="13" fillId="2" borderId="0" xfId="0" applyNumberFormat="1" applyFont="1" applyFill="1" applyAlignment="1">
      <alignment horizontal="center"/>
    </xf>
    <xf numFmtId="0" fontId="12" fillId="2" borderId="0" xfId="0" applyNumberFormat="1" applyFont="1" applyFill="1" applyAlignment="1">
      <alignment horizontal="center"/>
    </xf>
    <xf numFmtId="0" fontId="14" fillId="2" borderId="0" xfId="0" applyNumberFormat="1" applyFont="1" applyFill="1" applyAlignment="1"/>
    <xf numFmtId="0" fontId="3" fillId="2" borderId="0" xfId="0" applyNumberFormat="1" applyFont="1" applyFill="1" applyAlignment="1">
      <alignment horizontal="right"/>
    </xf>
    <xf numFmtId="0" fontId="15" fillId="3" borderId="1" xfId="0" applyNumberFormat="1" applyFont="1" applyFill="1" applyBorder="1" applyAlignment="1"/>
    <xf numFmtId="0" fontId="15" fillId="3" borderId="0" xfId="0" applyNumberFormat="1" applyFont="1" applyFill="1" applyBorder="1" applyAlignment="1"/>
    <xf numFmtId="0" fontId="16" fillId="3" borderId="0" xfId="0" applyNumberFormat="1" applyFont="1" applyFill="1" applyBorder="1" applyAlignment="1">
      <alignment horizontal="center" wrapText="1"/>
    </xf>
    <xf numFmtId="0" fontId="15" fillId="3" borderId="13" xfId="0" applyNumberFormat="1" applyFont="1" applyFill="1" applyBorder="1" applyAlignment="1"/>
    <xf numFmtId="0" fontId="12" fillId="2" borderId="0" xfId="0" applyNumberFormat="1" applyFont="1" applyFill="1" applyBorder="1" applyAlignment="1"/>
    <xf numFmtId="0" fontId="12" fillId="2" borderId="0" xfId="0" applyNumberFormat="1" applyFont="1" applyFill="1" applyBorder="1" applyAlignment="1">
      <alignment horizontal="center" wrapText="1"/>
    </xf>
    <xf numFmtId="0" fontId="13" fillId="2" borderId="9" xfId="0" applyNumberFormat="1" applyFont="1" applyFill="1" applyBorder="1" applyAlignment="1"/>
    <xf numFmtId="0" fontId="12" fillId="2" borderId="10" xfId="0" applyNumberFormat="1" applyFont="1" applyFill="1" applyBorder="1" applyAlignment="1"/>
    <xf numFmtId="0" fontId="13" fillId="2" borderId="10" xfId="0" applyNumberFormat="1" applyFont="1" applyFill="1" applyBorder="1" applyAlignment="1">
      <alignment horizontal="center" wrapText="1"/>
    </xf>
    <xf numFmtId="0" fontId="12" fillId="2" borderId="10" xfId="0" applyNumberFormat="1" applyFont="1" applyFill="1" applyBorder="1" applyAlignment="1">
      <alignment horizontal="center" wrapText="1"/>
    </xf>
    <xf numFmtId="0" fontId="12" fillId="2" borderId="11" xfId="0" applyNumberFormat="1" applyFont="1" applyFill="1" applyBorder="1" applyAlignment="1"/>
    <xf numFmtId="0" fontId="13" fillId="2" borderId="10" xfId="0" applyNumberFormat="1" applyFont="1" applyFill="1" applyBorder="1" applyAlignment="1"/>
    <xf numFmtId="169" fontId="12" fillId="0" borderId="0" xfId="0" applyNumberFormat="1" applyFont="1" applyAlignment="1"/>
    <xf numFmtId="171" fontId="12" fillId="0" borderId="0" xfId="0" applyNumberFormat="1" applyFont="1" applyAlignment="1"/>
    <xf numFmtId="0" fontId="12" fillId="2" borderId="9" xfId="0" applyNumberFormat="1" applyFont="1" applyFill="1" applyBorder="1" applyAlignment="1"/>
    <xf numFmtId="0" fontId="12" fillId="2" borderId="10" xfId="0" applyNumberFormat="1" applyFont="1" applyFill="1" applyBorder="1" applyAlignment="1">
      <alignment horizontal="center"/>
    </xf>
    <xf numFmtId="164" fontId="12" fillId="2" borderId="10" xfId="0" applyNumberFormat="1" applyFont="1" applyFill="1" applyBorder="1" applyAlignment="1"/>
    <xf numFmtId="164" fontId="12" fillId="2" borderId="10" xfId="0" applyNumberFormat="1" applyFont="1" applyFill="1" applyBorder="1" applyAlignment="1">
      <alignment horizontal="center"/>
    </xf>
    <xf numFmtId="3" fontId="12" fillId="2" borderId="11" xfId="0" applyNumberFormat="1" applyFont="1" applyFill="1" applyBorder="1" applyAlignment="1"/>
    <xf numFmtId="164" fontId="13" fillId="2" borderId="10" xfId="0" applyNumberFormat="1" applyFont="1" applyFill="1" applyBorder="1" applyAlignment="1"/>
    <xf numFmtId="168" fontId="12" fillId="2" borderId="10" xfId="0" applyNumberFormat="1" applyFont="1" applyFill="1" applyBorder="1" applyAlignment="1">
      <alignment horizontal="center"/>
    </xf>
    <xf numFmtId="169" fontId="12" fillId="2" borderId="10" xfId="0" applyNumberFormat="1" applyFont="1" applyFill="1" applyBorder="1" applyAlignment="1">
      <alignment horizontal="center"/>
    </xf>
    <xf numFmtId="171" fontId="12" fillId="2" borderId="10" xfId="0" applyNumberFormat="1" applyFont="1" applyFill="1" applyBorder="1" applyAlignment="1">
      <alignment horizontal="center"/>
    </xf>
    <xf numFmtId="164" fontId="13" fillId="2" borderId="10" xfId="0" applyNumberFormat="1" applyFont="1" applyFill="1" applyBorder="1" applyAlignment="1">
      <alignment horizontal="center"/>
    </xf>
    <xf numFmtId="169" fontId="13" fillId="2" borderId="10" xfId="0" applyNumberFormat="1" applyFont="1" applyFill="1" applyBorder="1" applyAlignment="1">
      <alignment horizontal="center"/>
    </xf>
    <xf numFmtId="0" fontId="17" fillId="2" borderId="9" xfId="0" applyNumberFormat="1" applyFont="1" applyFill="1" applyBorder="1" applyAlignment="1"/>
    <xf numFmtId="0" fontId="3" fillId="2" borderId="10" xfId="0" applyNumberFormat="1" applyFont="1" applyFill="1" applyBorder="1" applyAlignment="1"/>
    <xf numFmtId="170" fontId="6" fillId="2" borderId="10" xfId="0" applyNumberFormat="1" applyFont="1" applyFill="1" applyBorder="1" applyAlignment="1">
      <alignment horizontal="center"/>
    </xf>
    <xf numFmtId="0" fontId="17" fillId="2" borderId="10" xfId="0" applyNumberFormat="1" applyFont="1" applyFill="1" applyBorder="1" applyAlignment="1"/>
    <xf numFmtId="164" fontId="17" fillId="2" borderId="10" xfId="0" applyNumberFormat="1" applyFont="1" applyFill="1" applyBorder="1" applyAlignment="1"/>
    <xf numFmtId="0" fontId="17" fillId="2" borderId="11" xfId="0" applyNumberFormat="1" applyFont="1" applyFill="1" applyBorder="1" applyAlignment="1"/>
    <xf numFmtId="0" fontId="17" fillId="0" borderId="1" xfId="0" applyNumberFormat="1" applyFont="1" applyBorder="1"/>
    <xf numFmtId="0" fontId="17" fillId="0" borderId="0" xfId="0" applyNumberFormat="1" applyFont="1" applyAlignment="1"/>
    <xf numFmtId="10" fontId="17" fillId="2" borderId="10" xfId="0" applyNumberFormat="1" applyFont="1" applyFill="1" applyBorder="1" applyAlignment="1">
      <alignment horizontal="center"/>
    </xf>
    <xf numFmtId="10" fontId="12" fillId="2" borderId="10" xfId="0" applyNumberFormat="1" applyFont="1" applyFill="1" applyBorder="1" applyAlignment="1">
      <alignment horizontal="center"/>
    </xf>
    <xf numFmtId="165" fontId="12" fillId="2" borderId="10" xfId="0" applyNumberFormat="1" applyFont="1" applyFill="1" applyBorder="1" applyAlignment="1">
      <alignment horizontal="center"/>
    </xf>
    <xf numFmtId="167" fontId="12" fillId="2" borderId="10" xfId="0" applyNumberFormat="1" applyFont="1" applyFill="1" applyBorder="1" applyAlignment="1">
      <alignment horizontal="center"/>
    </xf>
    <xf numFmtId="0" fontId="12" fillId="2" borderId="10" xfId="0" applyNumberFormat="1" applyFont="1" applyFill="1" applyBorder="1" applyAlignment="1">
      <alignment horizontal="right"/>
    </xf>
    <xf numFmtId="4" fontId="12" fillId="2" borderId="10" xfId="0" applyNumberFormat="1" applyFont="1" applyFill="1" applyBorder="1" applyAlignment="1">
      <alignment horizontal="center"/>
    </xf>
    <xf numFmtId="0" fontId="13" fillId="2" borderId="10" xfId="0" applyNumberFormat="1" applyFont="1" applyFill="1" applyBorder="1" applyAlignment="1">
      <alignment horizontal="center"/>
    </xf>
    <xf numFmtId="15" fontId="13" fillId="2" borderId="10" xfId="0" applyNumberFormat="1" applyFont="1" applyFill="1" applyBorder="1" applyAlignment="1">
      <alignment horizontal="center"/>
    </xf>
    <xf numFmtId="15" fontId="13" fillId="2" borderId="10" xfId="0" applyNumberFormat="1" applyFont="1" applyFill="1" applyBorder="1" applyAlignment="1" applyProtection="1">
      <alignment horizontal="center"/>
      <protection locked="0"/>
    </xf>
    <xf numFmtId="15" fontId="12" fillId="2" borderId="10" xfId="0" applyNumberFormat="1" applyFont="1" applyFill="1" applyBorder="1" applyAlignment="1"/>
    <xf numFmtId="15" fontId="12" fillId="2" borderId="10" xfId="0" applyNumberFormat="1" applyFont="1" applyFill="1" applyBorder="1" applyAlignment="1" applyProtection="1">
      <alignment horizontal="center"/>
      <protection locked="0"/>
    </xf>
    <xf numFmtId="15" fontId="12" fillId="2" borderId="10" xfId="0" applyNumberFormat="1" applyFont="1" applyFill="1" applyBorder="1" applyAlignment="1">
      <alignment horizontal="center"/>
    </xf>
    <xf numFmtId="0" fontId="12" fillId="0" borderId="0" xfId="0" applyNumberFormat="1" applyFont="1" applyFill="1" applyBorder="1" applyAlignment="1"/>
    <xf numFmtId="15" fontId="12" fillId="2" borderId="0" xfId="0" applyNumberFormat="1" applyFont="1" applyFill="1" applyBorder="1" applyAlignment="1" applyProtection="1">
      <alignment horizontal="center"/>
      <protection locked="0"/>
    </xf>
    <xf numFmtId="15" fontId="12" fillId="2" borderId="0" xfId="0" applyNumberFormat="1" applyFont="1" applyFill="1" applyBorder="1" applyAlignment="1">
      <alignment horizontal="center"/>
    </xf>
    <xf numFmtId="15" fontId="12" fillId="2" borderId="0" xfId="0" applyNumberFormat="1" applyFont="1" applyFill="1" applyAlignment="1" applyProtection="1">
      <alignment horizontal="center"/>
      <protection locked="0"/>
    </xf>
    <xf numFmtId="15" fontId="12" fillId="2" borderId="0" xfId="0" applyNumberFormat="1" applyFont="1" applyFill="1" applyAlignment="1">
      <alignment horizontal="center"/>
    </xf>
    <xf numFmtId="0" fontId="12" fillId="2" borderId="6" xfId="0" applyNumberFormat="1" applyFont="1" applyFill="1" applyBorder="1" applyAlignment="1"/>
    <xf numFmtId="0" fontId="18" fillId="2" borderId="7" xfId="0" applyNumberFormat="1" applyFont="1" applyFill="1" applyBorder="1" applyAlignment="1"/>
    <xf numFmtId="0" fontId="12" fillId="2" borderId="7" xfId="0" applyNumberFormat="1" applyFont="1" applyFill="1" applyBorder="1" applyAlignment="1"/>
    <xf numFmtId="0" fontId="12" fillId="2" borderId="7" xfId="0" applyNumberFormat="1" applyFont="1" applyFill="1" applyBorder="1" applyAlignment="1" applyProtection="1">
      <alignment horizontal="right"/>
      <protection locked="0"/>
    </xf>
    <xf numFmtId="0" fontId="12" fillId="2" borderId="8" xfId="0" applyNumberFormat="1" applyFont="1" applyFill="1" applyBorder="1" applyAlignment="1"/>
    <xf numFmtId="0" fontId="19" fillId="3" borderId="0" xfId="0" applyNumberFormat="1" applyFont="1" applyFill="1" applyAlignment="1"/>
    <xf numFmtId="0" fontId="15" fillId="3" borderId="0" xfId="0" applyNumberFormat="1" applyFont="1" applyFill="1" applyAlignment="1"/>
    <xf numFmtId="4" fontId="15" fillId="3" borderId="0" xfId="0" applyNumberFormat="1" applyFont="1" applyFill="1" applyAlignment="1" applyProtection="1">
      <alignment horizontal="right"/>
      <protection locked="0"/>
    </xf>
    <xf numFmtId="4" fontId="3" fillId="2" borderId="0" xfId="0" applyNumberFormat="1" applyFont="1" applyFill="1" applyAlignment="1" applyProtection="1">
      <alignment horizontal="right"/>
      <protection locked="0"/>
    </xf>
    <xf numFmtId="0" fontId="17" fillId="2" borderId="1" xfId="0" applyNumberFormat="1" applyFont="1" applyFill="1" applyBorder="1" applyAlignment="1"/>
    <xf numFmtId="0" fontId="6" fillId="2" borderId="0" xfId="0" applyNumberFormat="1" applyFont="1" applyFill="1" applyAlignment="1">
      <alignment horizontal="left" vertical="top" wrapText="1"/>
    </xf>
    <xf numFmtId="0" fontId="6" fillId="2" borderId="0" xfId="0" applyNumberFormat="1" applyFont="1" applyFill="1" applyAlignment="1">
      <alignment horizontal="center" vertical="top" wrapText="1"/>
    </xf>
    <xf numFmtId="4" fontId="6" fillId="2" borderId="0" xfId="0" applyNumberFormat="1" applyFont="1" applyFill="1" applyAlignment="1" applyProtection="1">
      <alignment horizontal="center" vertical="top" wrapText="1"/>
      <protection locked="0"/>
    </xf>
    <xf numFmtId="0" fontId="17" fillId="2" borderId="13" xfId="0" applyNumberFormat="1" applyFont="1" applyFill="1" applyBorder="1" applyAlignment="1"/>
    <xf numFmtId="3" fontId="12" fillId="2" borderId="10" xfId="0" applyNumberFormat="1" applyFont="1" applyFill="1" applyBorder="1" applyAlignment="1"/>
    <xf numFmtId="3" fontId="12" fillId="2" borderId="10" xfId="0" applyNumberFormat="1" applyFont="1" applyFill="1" applyBorder="1" applyAlignment="1" applyProtection="1">
      <alignment horizontal="right"/>
      <protection locked="0"/>
    </xf>
    <xf numFmtId="0" fontId="3" fillId="2" borderId="0" xfId="0" applyNumberFormat="1" applyFont="1" applyFill="1" applyBorder="1" applyAlignment="1"/>
    <xf numFmtId="3" fontId="3" fillId="2" borderId="0" xfId="0" applyNumberFormat="1" applyFont="1" applyFill="1" applyBorder="1" applyAlignment="1"/>
    <xf numFmtId="3" fontId="20" fillId="2" borderId="0" xfId="0" applyNumberFormat="1" applyFont="1" applyFill="1" applyBorder="1" applyAlignment="1"/>
    <xf numFmtId="0" fontId="16" fillId="3" borderId="0" xfId="0" applyNumberFormat="1" applyFont="1" applyFill="1" applyBorder="1" applyAlignment="1"/>
    <xf numFmtId="0" fontId="16" fillId="3" borderId="0" xfId="0" applyNumberFormat="1" applyFont="1" applyFill="1" applyBorder="1" applyAlignment="1">
      <alignment horizontal="center"/>
    </xf>
    <xf numFmtId="0" fontId="16" fillId="3" borderId="0" xfId="0" applyNumberFormat="1" applyFont="1" applyFill="1" applyBorder="1" applyAlignment="1">
      <alignment horizontal="right"/>
    </xf>
    <xf numFmtId="15" fontId="16" fillId="3" borderId="0" xfId="0" applyNumberFormat="1" applyFont="1" applyFill="1" applyBorder="1" applyAlignment="1">
      <alignment horizontal="right"/>
    </xf>
    <xf numFmtId="3" fontId="12" fillId="2" borderId="0" xfId="0" applyNumberFormat="1" applyFont="1" applyFill="1" applyBorder="1" applyAlignment="1"/>
    <xf numFmtId="3" fontId="12" fillId="2" borderId="0" xfId="0" applyNumberFormat="1" applyFont="1" applyFill="1" applyBorder="1" applyAlignment="1" applyProtection="1">
      <alignment horizontal="right"/>
      <protection locked="0"/>
    </xf>
    <xf numFmtId="14" fontId="12" fillId="2" borderId="10" xfId="0" applyNumberFormat="1" applyFont="1" applyFill="1" applyBorder="1" applyAlignment="1">
      <alignment horizontal="right"/>
    </xf>
    <xf numFmtId="167" fontId="12" fillId="2" borderId="10" xfId="0" applyNumberFormat="1" applyFont="1" applyFill="1" applyBorder="1" applyAlignment="1">
      <alignment horizontal="right"/>
    </xf>
    <xf numFmtId="0" fontId="3" fillId="2" borderId="9" xfId="0" applyNumberFormat="1" applyFont="1" applyFill="1" applyBorder="1" applyAlignment="1"/>
    <xf numFmtId="0" fontId="10" fillId="2" borderId="10" xfId="0" applyNumberFormat="1" applyFont="1" applyFill="1" applyBorder="1" applyAlignment="1"/>
    <xf numFmtId="0" fontId="21" fillId="2" borderId="10" xfId="0" applyNumberFormat="1" applyFont="1" applyFill="1" applyBorder="1" applyAlignment="1"/>
    <xf numFmtId="3" fontId="21" fillId="2" borderId="10" xfId="0" applyNumberFormat="1" applyFont="1" applyFill="1" applyBorder="1" applyAlignment="1" applyProtection="1">
      <alignment horizontal="right"/>
      <protection locked="0"/>
    </xf>
    <xf numFmtId="0" fontId="3" fillId="2" borderId="11" xfId="0" applyNumberFormat="1" applyFont="1" applyFill="1" applyBorder="1" applyAlignment="1"/>
    <xf numFmtId="3" fontId="12" fillId="0" borderId="0" xfId="0" applyNumberFormat="1" applyFont="1" applyAlignment="1"/>
    <xf numFmtId="4" fontId="21" fillId="2" borderId="10" xfId="0" applyNumberFormat="1" applyFont="1" applyFill="1" applyBorder="1" applyAlignment="1" applyProtection="1">
      <alignment horizontal="right"/>
      <protection locked="0"/>
    </xf>
    <xf numFmtId="4" fontId="12" fillId="2" borderId="0" xfId="0" applyNumberFormat="1" applyFont="1" applyFill="1" applyAlignment="1" applyProtection="1">
      <alignment horizontal="right"/>
      <protection locked="0"/>
    </xf>
    <xf numFmtId="4" fontId="12" fillId="2" borderId="7" xfId="0" applyNumberFormat="1" applyFont="1" applyFill="1" applyBorder="1" applyAlignment="1" applyProtection="1">
      <alignment horizontal="right"/>
      <protection locked="0"/>
    </xf>
    <xf numFmtId="0" fontId="15" fillId="3" borderId="5" xfId="0" applyNumberFormat="1" applyFont="1" applyFill="1" applyBorder="1" applyAlignment="1"/>
    <xf numFmtId="0" fontId="16" fillId="3" borderId="2" xfId="0" applyNumberFormat="1" applyFont="1" applyFill="1" applyBorder="1" applyAlignment="1"/>
    <xf numFmtId="0" fontId="15" fillId="3" borderId="2" xfId="0" applyNumberFormat="1" applyFont="1" applyFill="1" applyBorder="1" applyAlignment="1"/>
    <xf numFmtId="4" fontId="15" fillId="3" borderId="2" xfId="0" applyNumberFormat="1" applyFont="1" applyFill="1" applyBorder="1" applyAlignment="1" applyProtection="1">
      <alignment horizontal="right"/>
      <protection locked="0"/>
    </xf>
    <xf numFmtId="0" fontId="15" fillId="3" borderId="12" xfId="0" applyNumberFormat="1" applyFont="1" applyFill="1" applyBorder="1" applyAlignment="1"/>
    <xf numFmtId="0" fontId="22" fillId="2" borderId="0" xfId="0" applyNumberFormat="1" applyFont="1" applyFill="1" applyAlignment="1"/>
    <xf numFmtId="0" fontId="10" fillId="2" borderId="0" xfId="0" applyNumberFormat="1" applyFont="1" applyFill="1" applyAlignment="1"/>
    <xf numFmtId="4" fontId="3" fillId="2" borderId="0" xfId="0" applyNumberFormat="1" applyFont="1" applyFill="1" applyBorder="1" applyAlignment="1" applyProtection="1">
      <alignment horizontal="right"/>
      <protection locked="0"/>
    </xf>
    <xf numFmtId="0" fontId="21" fillId="2" borderId="0" xfId="0" applyNumberFormat="1" applyFont="1" applyFill="1" applyBorder="1" applyAlignment="1"/>
    <xf numFmtId="3" fontId="21" fillId="2" borderId="0" xfId="0" applyNumberFormat="1" applyFont="1" applyFill="1" applyBorder="1" applyAlignment="1" applyProtection="1">
      <alignment horizontal="right"/>
      <protection locked="0"/>
    </xf>
    <xf numFmtId="0" fontId="12" fillId="2" borderId="14" xfId="0" applyNumberFormat="1" applyFont="1" applyFill="1" applyBorder="1" applyAlignment="1"/>
    <xf numFmtId="0" fontId="12" fillId="2" borderId="15" xfId="0" applyNumberFormat="1" applyFont="1" applyFill="1" applyBorder="1" applyAlignment="1"/>
    <xf numFmtId="3" fontId="12" fillId="2" borderId="15" xfId="0" applyNumberFormat="1" applyFont="1" applyFill="1" applyBorder="1" applyAlignment="1" applyProtection="1">
      <alignment horizontal="right"/>
      <protection locked="0"/>
    </xf>
    <xf numFmtId="0" fontId="12" fillId="2" borderId="16" xfId="0" applyNumberFormat="1" applyFont="1" applyFill="1" applyBorder="1" applyAlignment="1"/>
    <xf numFmtId="4" fontId="20" fillId="2" borderId="0" xfId="0" applyNumberFormat="1" applyFont="1" applyFill="1" applyAlignment="1" applyProtection="1">
      <alignment horizontal="right"/>
      <protection locked="0"/>
    </xf>
    <xf numFmtId="4" fontId="3" fillId="2" borderId="2" xfId="0" applyNumberFormat="1" applyFont="1" applyFill="1" applyBorder="1" applyAlignment="1" applyProtection="1">
      <alignment horizontal="right"/>
      <protection locked="0"/>
    </xf>
    <xf numFmtId="3" fontId="3" fillId="2" borderId="0" xfId="0" applyNumberFormat="1" applyFont="1" applyFill="1" applyBorder="1" applyAlignment="1" applyProtection="1">
      <alignment horizontal="right"/>
      <protection locked="0"/>
    </xf>
    <xf numFmtId="0" fontId="3" fillId="0" borderId="0" xfId="0" applyNumberFormat="1" applyFont="1" applyBorder="1" applyAlignment="1"/>
    <xf numFmtId="0" fontId="12" fillId="0" borderId="3" xfId="0" applyNumberFormat="1" applyFont="1" applyBorder="1" applyAlignment="1"/>
    <xf numFmtId="0" fontId="3" fillId="2" borderId="6" xfId="0" applyNumberFormat="1" applyFont="1" applyFill="1" applyBorder="1" applyAlignment="1"/>
    <xf numFmtId="0" fontId="3" fillId="0" borderId="4" xfId="0" applyNumberFormat="1" applyFont="1" applyBorder="1" applyAlignment="1"/>
    <xf numFmtId="0" fontId="3" fillId="2" borderId="0" xfId="0" applyNumberFormat="1" applyFont="1" applyFill="1" applyAlignment="1" applyProtection="1">
      <protection locked="0"/>
    </xf>
    <xf numFmtId="4" fontId="12" fillId="2" borderId="10" xfId="0" applyNumberFormat="1" applyFont="1" applyFill="1" applyBorder="1" applyAlignment="1" applyProtection="1">
      <alignment horizontal="right"/>
      <protection locked="0"/>
    </xf>
    <xf numFmtId="2" fontId="12" fillId="2" borderId="10" xfId="0" applyNumberFormat="1" applyFont="1" applyFill="1" applyBorder="1" applyAlignment="1" applyProtection="1">
      <alignment horizontal="right"/>
      <protection locked="0"/>
    </xf>
    <xf numFmtId="15" fontId="16" fillId="3" borderId="2" xfId="0" applyNumberFormat="1" applyFont="1" applyFill="1" applyBorder="1" applyAlignment="1">
      <alignment horizontal="centerContinuous"/>
    </xf>
    <xf numFmtId="15" fontId="16" fillId="3" borderId="2" xfId="0" applyNumberFormat="1" applyFont="1" applyFill="1" applyBorder="1" applyAlignment="1">
      <alignment horizontal="center"/>
    </xf>
    <xf numFmtId="0" fontId="20" fillId="2" borderId="1" xfId="0" applyNumberFormat="1" applyFont="1" applyFill="1" applyBorder="1" applyAlignment="1"/>
    <xf numFmtId="0" fontId="23" fillId="2" borderId="0" xfId="0" applyNumberFormat="1" applyFont="1" applyFill="1" applyAlignment="1"/>
    <xf numFmtId="15" fontId="24" fillId="2" borderId="0" xfId="0" applyNumberFormat="1" applyFont="1" applyFill="1" applyAlignment="1">
      <alignment horizontal="centerContinuous"/>
    </xf>
    <xf numFmtId="15" fontId="24" fillId="2" borderId="0" xfId="0" applyNumberFormat="1" applyFont="1" applyFill="1" applyAlignment="1">
      <alignment horizontal="center"/>
    </xf>
    <xf numFmtId="15" fontId="13" fillId="2" borderId="10" xfId="0" applyNumberFormat="1" applyFont="1" applyFill="1" applyBorder="1" applyAlignment="1">
      <alignment horizontal="centerContinuous"/>
    </xf>
    <xf numFmtId="17" fontId="12" fillId="2" borderId="10" xfId="0" applyNumberFormat="1" applyFont="1" applyFill="1" applyBorder="1" applyAlignment="1">
      <alignment horizontal="center"/>
    </xf>
    <xf numFmtId="0" fontId="20" fillId="2" borderId="0" xfId="0" applyNumberFormat="1" applyFont="1" applyFill="1" applyBorder="1" applyAlignment="1"/>
    <xf numFmtId="0" fontId="3" fillId="2" borderId="0" xfId="0" applyNumberFormat="1" applyFont="1" applyFill="1" applyBorder="1" applyAlignment="1" applyProtection="1">
      <protection locked="0"/>
    </xf>
    <xf numFmtId="0" fontId="15" fillId="3" borderId="1" xfId="0" applyNumberFormat="1" applyFont="1" applyFill="1" applyBorder="1" applyAlignment="1">
      <alignment horizontal="right"/>
    </xf>
    <xf numFmtId="3" fontId="16" fillId="3" borderId="0" xfId="0" applyNumberFormat="1" applyFont="1" applyFill="1" applyBorder="1" applyAlignment="1">
      <alignment horizontal="center"/>
    </xf>
    <xf numFmtId="0" fontId="12" fillId="2" borderId="1" xfId="0" applyNumberFormat="1" applyFont="1" applyFill="1" applyBorder="1" applyAlignment="1">
      <alignment horizontal="right"/>
    </xf>
    <xf numFmtId="0" fontId="12" fillId="2" borderId="0" xfId="0" applyNumberFormat="1" applyFont="1" applyFill="1" applyBorder="1" applyAlignment="1">
      <alignment horizontal="center"/>
    </xf>
    <xf numFmtId="3" fontId="12" fillId="2" borderId="0" xfId="0" applyNumberFormat="1" applyFont="1" applyFill="1" applyBorder="1" applyAlignment="1" applyProtection="1">
      <alignment horizontal="center"/>
      <protection locked="0"/>
    </xf>
    <xf numFmtId="0" fontId="12" fillId="2" borderId="0" xfId="0" applyNumberFormat="1" applyFont="1" applyFill="1" applyBorder="1" applyAlignment="1" applyProtection="1">
      <protection locked="0"/>
    </xf>
    <xf numFmtId="3" fontId="13" fillId="2" borderId="13" xfId="0" applyNumberFormat="1" applyFont="1" applyFill="1" applyBorder="1" applyAlignment="1"/>
    <xf numFmtId="0" fontId="12" fillId="2" borderId="9" xfId="0" applyNumberFormat="1" applyFont="1" applyFill="1" applyBorder="1" applyAlignment="1">
      <alignment horizontal="right"/>
    </xf>
    <xf numFmtId="3" fontId="12" fillId="2" borderId="10" xfId="0" applyNumberFormat="1" applyFont="1" applyFill="1" applyBorder="1" applyAlignment="1">
      <alignment horizontal="center"/>
    </xf>
    <xf numFmtId="3" fontId="12" fillId="2" borderId="10" xfId="0" applyNumberFormat="1" applyFont="1" applyFill="1" applyBorder="1" applyAlignment="1" applyProtection="1">
      <alignment horizontal="center"/>
      <protection locked="0"/>
    </xf>
    <xf numFmtId="0" fontId="12" fillId="2" borderId="10" xfId="0" applyNumberFormat="1" applyFont="1" applyFill="1" applyBorder="1" applyAlignment="1" applyProtection="1">
      <protection locked="0"/>
    </xf>
    <xf numFmtId="3" fontId="13" fillId="2" borderId="11" xfId="0" applyNumberFormat="1" applyFont="1" applyFill="1" applyBorder="1" applyAlignment="1"/>
    <xf numFmtId="0" fontId="20" fillId="2" borderId="9" xfId="0" applyNumberFormat="1" applyFont="1" applyFill="1" applyBorder="1" applyAlignment="1">
      <alignment horizontal="right"/>
    </xf>
    <xf numFmtId="0" fontId="6" fillId="2" borderId="10" xfId="0" applyNumberFormat="1" applyFont="1" applyFill="1" applyBorder="1" applyAlignment="1"/>
    <xf numFmtId="3" fontId="20" fillId="2" borderId="10" xfId="0" applyNumberFormat="1" applyFont="1" applyFill="1" applyBorder="1" applyAlignment="1"/>
    <xf numFmtId="0" fontId="3" fillId="2" borderId="10" xfId="0" applyNumberFormat="1" applyFont="1" applyFill="1" applyBorder="1" applyAlignment="1" applyProtection="1">
      <protection locked="0"/>
    </xf>
    <xf numFmtId="3" fontId="24" fillId="2" borderId="11" xfId="0" applyNumberFormat="1" applyFont="1" applyFill="1" applyBorder="1" applyAlignment="1"/>
    <xf numFmtId="0" fontId="20" fillId="2" borderId="9" xfId="0" applyNumberFormat="1" applyFont="1" applyFill="1" applyBorder="1" applyAlignment="1">
      <alignment horizontal="center"/>
    </xf>
    <xf numFmtId="0" fontId="20" fillId="2" borderId="10" xfId="0" applyNumberFormat="1" applyFont="1" applyFill="1" applyBorder="1" applyAlignment="1"/>
    <xf numFmtId="3" fontId="21" fillId="2" borderId="10" xfId="0" applyNumberFormat="1" applyFont="1" applyFill="1" applyBorder="1" applyAlignment="1" applyProtection="1">
      <alignment horizontal="center"/>
      <protection locked="0"/>
    </xf>
    <xf numFmtId="0" fontId="24" fillId="2" borderId="11" xfId="0" applyNumberFormat="1" applyFont="1" applyFill="1" applyBorder="1" applyAlignment="1"/>
    <xf numFmtId="0" fontId="12" fillId="2" borderId="9" xfId="0" applyNumberFormat="1" applyFont="1" applyFill="1" applyBorder="1" applyAlignment="1">
      <alignment horizontal="center"/>
    </xf>
    <xf numFmtId="0" fontId="13" fillId="2" borderId="11" xfId="0" applyNumberFormat="1" applyFont="1" applyFill="1" applyBorder="1" applyAlignment="1"/>
    <xf numFmtId="0" fontId="21" fillId="2" borderId="10" xfId="0" applyNumberFormat="1" applyFont="1" applyFill="1" applyBorder="1" applyAlignment="1">
      <alignment horizontal="center"/>
    </xf>
    <xf numFmtId="4" fontId="12" fillId="2" borderId="10" xfId="0" applyNumberFormat="1" applyFont="1" applyFill="1" applyBorder="1" applyAlignment="1" applyProtection="1">
      <alignment horizontal="center"/>
      <protection locked="0"/>
    </xf>
    <xf numFmtId="0" fontId="20" fillId="2" borderId="10" xfId="0" applyNumberFormat="1" applyFont="1" applyFill="1" applyBorder="1" applyAlignment="1">
      <alignment horizontal="right"/>
    </xf>
    <xf numFmtId="10" fontId="21" fillId="2" borderId="10" xfId="0" applyNumberFormat="1" applyFont="1" applyFill="1" applyBorder="1" applyAlignment="1" applyProtection="1">
      <alignment horizontal="center"/>
      <protection locked="0"/>
    </xf>
    <xf numFmtId="10" fontId="20" fillId="2" borderId="10" xfId="0" applyNumberFormat="1" applyFont="1" applyFill="1" applyBorder="1" applyAlignment="1" applyProtection="1">
      <alignment horizontal="center"/>
      <protection locked="0"/>
    </xf>
    <xf numFmtId="0" fontId="25" fillId="2" borderId="10" xfId="0" applyNumberFormat="1" applyFont="1" applyFill="1" applyBorder="1" applyAlignment="1"/>
    <xf numFmtId="10" fontId="9" fillId="2" borderId="10" xfId="1" applyNumberFormat="1" applyFont="1" applyFill="1" applyBorder="1" applyAlignment="1">
      <alignment horizontal="left"/>
      <protection locked="0"/>
    </xf>
    <xf numFmtId="10" fontId="26" fillId="2" borderId="10" xfId="1" applyNumberFormat="1" applyFont="1" applyFill="1" applyBorder="1" applyAlignment="1">
      <alignment horizontal="left"/>
      <protection locked="0"/>
    </xf>
    <xf numFmtId="0" fontId="20" fillId="2" borderId="1" xfId="0" applyNumberFormat="1" applyFont="1" applyFill="1" applyBorder="1" applyAlignment="1">
      <alignment horizontal="right"/>
    </xf>
    <xf numFmtId="0" fontId="27" fillId="2" borderId="0" xfId="0" applyNumberFormat="1" applyFont="1" applyFill="1" applyBorder="1" applyAlignment="1"/>
    <xf numFmtId="0" fontId="20" fillId="2" borderId="0" xfId="0" applyNumberFormat="1" applyFont="1" applyFill="1" applyBorder="1" applyAlignment="1">
      <alignment horizontal="right"/>
    </xf>
    <xf numFmtId="10" fontId="9" fillId="2" borderId="0" xfId="1" applyNumberFormat="1" applyFont="1" applyFill="1" applyBorder="1" applyAlignment="1">
      <alignment horizontal="left"/>
      <protection locked="0"/>
    </xf>
    <xf numFmtId="10" fontId="20" fillId="2" borderId="0" xfId="0" applyNumberFormat="1" applyFont="1" applyFill="1" applyBorder="1" applyAlignment="1" applyProtection="1">
      <alignment horizontal="center"/>
      <protection locked="0"/>
    </xf>
    <xf numFmtId="0" fontId="24" fillId="2" borderId="13" xfId="0" applyNumberFormat="1" applyFont="1" applyFill="1" applyBorder="1" applyAlignment="1"/>
    <xf numFmtId="0" fontId="16" fillId="3" borderId="13" xfId="0" applyNumberFormat="1" applyFont="1" applyFill="1" applyBorder="1" applyAlignment="1"/>
    <xf numFmtId="166" fontId="12" fillId="2" borderId="0" xfId="0" applyNumberFormat="1" applyFont="1" applyFill="1" applyBorder="1" applyAlignment="1"/>
    <xf numFmtId="10" fontId="12" fillId="2" borderId="0" xfId="0" applyNumberFormat="1" applyFont="1" applyFill="1" applyBorder="1" applyAlignment="1"/>
    <xf numFmtId="0" fontId="13" fillId="2" borderId="13" xfId="0" applyNumberFormat="1" applyFont="1" applyFill="1" applyBorder="1" applyAlignment="1"/>
    <xf numFmtId="166" fontId="12" fillId="2" borderId="10" xfId="0" applyNumberFormat="1" applyFont="1" applyFill="1" applyBorder="1" applyAlignment="1"/>
    <xf numFmtId="3" fontId="12" fillId="2" borderId="17" xfId="0" applyNumberFormat="1" applyFont="1" applyFill="1" applyBorder="1" applyAlignment="1"/>
    <xf numFmtId="10" fontId="12" fillId="2" borderId="18" xfId="0" applyNumberFormat="1" applyFont="1" applyFill="1" applyBorder="1" applyAlignment="1"/>
    <xf numFmtId="3" fontId="12" fillId="2" borderId="17" xfId="0" applyNumberFormat="1" applyFont="1" applyFill="1" applyBorder="1" applyAlignment="1" applyProtection="1">
      <alignment horizontal="right"/>
      <protection locked="0"/>
    </xf>
    <xf numFmtId="10" fontId="12" fillId="2" borderId="10" xfId="0" applyNumberFormat="1" applyFont="1" applyFill="1" applyBorder="1" applyAlignment="1"/>
    <xf numFmtId="3" fontId="12" fillId="2" borderId="15" xfId="0" applyNumberFormat="1" applyFont="1" applyFill="1" applyBorder="1" applyAlignment="1"/>
    <xf numFmtId="10" fontId="12" fillId="2" borderId="15" xfId="0" applyNumberFormat="1" applyFont="1" applyFill="1" applyBorder="1" applyAlignment="1"/>
    <xf numFmtId="3" fontId="12" fillId="2" borderId="19" xfId="0" applyNumberFormat="1" applyFont="1" applyFill="1" applyBorder="1" applyAlignment="1"/>
    <xf numFmtId="10" fontId="12" fillId="2" borderId="20" xfId="0" applyNumberFormat="1" applyFont="1" applyFill="1" applyBorder="1" applyAlignment="1"/>
    <xf numFmtId="3" fontId="12" fillId="2" borderId="19" xfId="0" applyNumberFormat="1" applyFont="1" applyFill="1" applyBorder="1" applyAlignment="1" applyProtection="1">
      <alignment horizontal="right"/>
      <protection locked="0"/>
    </xf>
    <xf numFmtId="9" fontId="12" fillId="2" borderId="10" xfId="0" applyNumberFormat="1" applyFont="1" applyFill="1" applyBorder="1" applyAlignment="1"/>
    <xf numFmtId="9" fontId="3" fillId="2" borderId="0" xfId="0" applyNumberFormat="1" applyFont="1" applyFill="1" applyBorder="1" applyAlignment="1"/>
    <xf numFmtId="10" fontId="3" fillId="2" borderId="0" xfId="0" applyNumberFormat="1" applyFont="1" applyFill="1" applyBorder="1" applyAlignment="1"/>
    <xf numFmtId="3" fontId="20" fillId="2" borderId="0" xfId="0" applyNumberFormat="1" applyFont="1" applyFill="1" applyBorder="1" applyAlignment="1" applyProtection="1">
      <alignment horizontal="right"/>
      <protection locked="0"/>
    </xf>
    <xf numFmtId="9" fontId="15" fillId="3" borderId="0" xfId="0" applyNumberFormat="1" applyFont="1" applyFill="1" applyBorder="1" applyAlignment="1"/>
    <xf numFmtId="9" fontId="12" fillId="2" borderId="0" xfId="0" applyNumberFormat="1" applyFont="1" applyFill="1" applyBorder="1" applyAlignment="1"/>
    <xf numFmtId="3" fontId="13" fillId="2" borderId="10" xfId="0" applyNumberFormat="1" applyFont="1" applyFill="1" applyBorder="1" applyAlignment="1"/>
    <xf numFmtId="3" fontId="13" fillId="2" borderId="10" xfId="0" applyNumberFormat="1" applyFont="1" applyFill="1" applyBorder="1" applyAlignment="1" applyProtection="1">
      <alignment horizontal="right"/>
      <protection locked="0"/>
    </xf>
    <xf numFmtId="9" fontId="13" fillId="2" borderId="10" xfId="0" applyNumberFormat="1" applyFont="1" applyFill="1" applyBorder="1" applyAlignment="1"/>
    <xf numFmtId="10" fontId="13" fillId="2" borderId="10" xfId="0" applyNumberFormat="1" applyFont="1" applyFill="1" applyBorder="1" applyAlignment="1"/>
    <xf numFmtId="9" fontId="12" fillId="2" borderId="0" xfId="0" applyNumberFormat="1" applyFont="1" applyFill="1" applyAlignment="1"/>
    <xf numFmtId="3" fontId="12" fillId="2" borderId="0" xfId="0" applyNumberFormat="1" applyFont="1" applyFill="1" applyAlignment="1" applyProtection="1">
      <alignment horizontal="right"/>
      <protection locked="0"/>
    </xf>
    <xf numFmtId="0" fontId="13" fillId="2" borderId="0" xfId="0" applyNumberFormat="1" applyFont="1" applyFill="1" applyAlignment="1">
      <alignment horizontal="center"/>
    </xf>
    <xf numFmtId="0" fontId="13" fillId="2" borderId="0" xfId="0" quotePrefix="1" applyNumberFormat="1" applyFont="1" applyFill="1" applyAlignment="1">
      <alignment horizontal="center"/>
    </xf>
    <xf numFmtId="0" fontId="21" fillId="2" borderId="1" xfId="0" applyNumberFormat="1" applyFont="1" applyFill="1" applyBorder="1" applyAlignment="1"/>
    <xf numFmtId="0" fontId="28" fillId="2" borderId="0" xfId="0" applyNumberFormat="1" applyFont="1" applyFill="1" applyAlignment="1"/>
    <xf numFmtId="0" fontId="21" fillId="2" borderId="0" xfId="0" applyNumberFormat="1" applyFont="1" applyFill="1" applyAlignment="1"/>
    <xf numFmtId="0" fontId="21" fillId="2" borderId="13" xfId="0" applyNumberFormat="1" applyFont="1" applyFill="1" applyBorder="1" applyAlignment="1"/>
    <xf numFmtId="0" fontId="18" fillId="2" borderId="0" xfId="0" applyNumberFormat="1" applyFont="1" applyFill="1" applyAlignment="1"/>
    <xf numFmtId="0" fontId="21" fillId="2" borderId="8" xfId="0" applyNumberFormat="1" applyFont="1" applyFill="1" applyBorder="1" applyAlignment="1"/>
    <xf numFmtId="0" fontId="3" fillId="0" borderId="2" xfId="0" applyNumberFormat="1" applyFont="1" applyBorder="1"/>
    <xf numFmtId="170" fontId="17" fillId="2" borderId="10" xfId="0" applyNumberFormat="1" applyFont="1" applyFill="1" applyBorder="1" applyAlignment="1">
      <alignment horizontal="center"/>
    </xf>
    <xf numFmtId="15" fontId="11" fillId="2" borderId="0" xfId="0" applyNumberFormat="1" applyFont="1" applyFill="1" applyAlignment="1">
      <alignment horizontal="center"/>
    </xf>
    <xf numFmtId="0" fontId="3" fillId="2" borderId="10" xfId="0" applyNumberFormat="1" applyFont="1" applyFill="1" applyBorder="1" applyAlignment="1">
      <alignment horizontal="center" wrapText="1"/>
    </xf>
    <xf numFmtId="0" fontId="3" fillId="2" borderId="0" xfId="0" applyNumberFormat="1" applyFont="1" applyFill="1" applyBorder="1" applyAlignment="1">
      <alignment horizontal="center" wrapText="1"/>
    </xf>
    <xf numFmtId="0" fontId="11" fillId="2" borderId="10" xfId="0" applyNumberFormat="1" applyFont="1" applyFill="1" applyBorder="1" applyAlignment="1">
      <alignment horizontal="center" wrapText="1"/>
    </xf>
    <xf numFmtId="0" fontId="3" fillId="2" borderId="15" xfId="0" applyNumberFormat="1" applyFont="1" applyFill="1" applyBorder="1" applyAlignment="1"/>
    <xf numFmtId="169" fontId="3" fillId="2" borderId="10" xfId="0" applyNumberFormat="1" applyFont="1" applyFill="1" applyBorder="1" applyAlignment="1">
      <alignment horizontal="center"/>
    </xf>
    <xf numFmtId="10" fontId="12" fillId="2" borderId="10" xfId="2" applyNumberFormat="1" applyFont="1" applyFill="1" applyBorder="1" applyAlignment="1">
      <alignment horizontal="center"/>
    </xf>
    <xf numFmtId="0" fontId="6" fillId="2" borderId="0" xfId="0" applyNumberFormat="1" applyFont="1" applyFill="1" applyAlignment="1">
      <alignment horizontal="right"/>
    </xf>
    <xf numFmtId="4" fontId="6" fillId="2" borderId="0" xfId="0" applyNumberFormat="1" applyFont="1" applyFill="1" applyAlignment="1" applyProtection="1">
      <alignment horizontal="right"/>
      <protection locked="0"/>
    </xf>
    <xf numFmtId="164" fontId="12" fillId="0" borderId="0" xfId="0" applyNumberFormat="1" applyFont="1" applyAlignment="1"/>
    <xf numFmtId="10" fontId="13" fillId="2" borderId="10" xfId="0" applyNumberFormat="1" applyFont="1" applyFill="1" applyBorder="1" applyAlignment="1" applyProtection="1">
      <alignment horizontal="right"/>
      <protection locked="0"/>
    </xf>
    <xf numFmtId="3" fontId="3" fillId="2" borderId="10" xfId="0" applyNumberFormat="1" applyFont="1" applyFill="1" applyBorder="1" applyAlignment="1" applyProtection="1">
      <alignment horizontal="right"/>
      <protection locked="0"/>
    </xf>
    <xf numFmtId="3" fontId="3" fillId="2" borderId="10" xfId="0" applyNumberFormat="1" applyFont="1" applyFill="1" applyBorder="1" applyAlignment="1"/>
    <xf numFmtId="0" fontId="13" fillId="2" borderId="0" xfId="0" applyNumberFormat="1" applyFont="1" applyFill="1" applyAlignment="1">
      <alignment horizontal="center" wrapText="1"/>
    </xf>
    <xf numFmtId="10" fontId="12" fillId="2" borderId="10" xfId="0" applyNumberFormat="1" applyFont="1" applyFill="1" applyBorder="1" applyAlignment="1" applyProtection="1">
      <alignment horizontal="right"/>
      <protection locked="0"/>
    </xf>
    <xf numFmtId="165" fontId="3" fillId="2" borderId="10" xfId="0" applyNumberFormat="1" applyFont="1" applyFill="1" applyBorder="1" applyAlignment="1">
      <alignment horizontal="center"/>
    </xf>
    <xf numFmtId="0" fontId="15" fillId="3" borderId="1" xfId="0" applyFont="1" applyFill="1" applyBorder="1"/>
    <xf numFmtId="0" fontId="16" fillId="3" borderId="0" xfId="0" applyFont="1" applyFill="1"/>
    <xf numFmtId="0" fontId="15" fillId="3" borderId="0" xfId="0" applyFont="1" applyFill="1"/>
    <xf numFmtId="9" fontId="15" fillId="3" borderId="0" xfId="0" applyNumberFormat="1" applyFont="1" applyFill="1"/>
    <xf numFmtId="9" fontId="15" fillId="3" borderId="18" xfId="0" applyNumberFormat="1" applyFont="1" applyFill="1" applyBorder="1"/>
    <xf numFmtId="0" fontId="12" fillId="4" borderId="1" xfId="0" applyFont="1" applyFill="1" applyBorder="1"/>
    <xf numFmtId="3" fontId="12" fillId="4" borderId="0" xfId="0" applyNumberFormat="1" applyFont="1" applyFill="1"/>
    <xf numFmtId="0" fontId="12" fillId="4" borderId="0" xfId="0" applyFont="1" applyFill="1"/>
    <xf numFmtId="9" fontId="12" fillId="4" borderId="0" xfId="0" applyNumberFormat="1" applyFont="1" applyFill="1"/>
    <xf numFmtId="9" fontId="12" fillId="2" borderId="20" xfId="0" applyNumberFormat="1" applyFont="1" applyFill="1" applyBorder="1"/>
    <xf numFmtId="0" fontId="12" fillId="4" borderId="9" xfId="0" applyFont="1" applyFill="1" applyBorder="1"/>
    <xf numFmtId="3" fontId="12" fillId="4" borderId="10" xfId="0" applyNumberFormat="1" applyFont="1" applyFill="1" applyBorder="1"/>
    <xf numFmtId="0" fontId="12" fillId="4" borderId="10" xfId="0" applyFont="1" applyFill="1" applyBorder="1"/>
    <xf numFmtId="9" fontId="12" fillId="4" borderId="10" xfId="0" applyNumberFormat="1" applyFont="1" applyFill="1" applyBorder="1"/>
    <xf numFmtId="9" fontId="12" fillId="2" borderId="10" xfId="0" applyNumberFormat="1" applyFont="1" applyFill="1" applyBorder="1"/>
    <xf numFmtId="0" fontId="12" fillId="2" borderId="0" xfId="0" applyFont="1" applyFill="1"/>
    <xf numFmtId="0" fontId="13" fillId="2" borderId="0" xfId="0" applyFont="1" applyFill="1"/>
    <xf numFmtId="0" fontId="25" fillId="2" borderId="0" xfId="0" applyFont="1" applyFill="1"/>
    <xf numFmtId="0" fontId="10" fillId="4" borderId="0" xfId="1" applyFont="1" applyFill="1" applyAlignment="1" applyProtection="1"/>
    <xf numFmtId="0" fontId="10" fillId="4" borderId="10" xfId="1" applyFont="1" applyFill="1" applyBorder="1" applyAlignment="1" applyProtection="1"/>
    <xf numFmtId="3" fontId="16" fillId="3" borderId="0" xfId="0" applyNumberFormat="1" applyFont="1" applyFill="1" applyAlignment="1">
      <alignment horizontal="center"/>
    </xf>
    <xf numFmtId="0" fontId="16" fillId="3" borderId="0" xfId="0" applyFont="1" applyFill="1" applyAlignment="1">
      <alignment horizontal="center"/>
    </xf>
    <xf numFmtId="3" fontId="12" fillId="2" borderId="0" xfId="0" applyNumberFormat="1" applyFont="1" applyFill="1"/>
    <xf numFmtId="10" fontId="12" fillId="2" borderId="0" xfId="0" applyNumberFormat="1" applyFont="1" applyFill="1"/>
    <xf numFmtId="3" fontId="12" fillId="2" borderId="10" xfId="0" applyNumberFormat="1" applyFont="1" applyFill="1" applyBorder="1"/>
    <xf numFmtId="10" fontId="12" fillId="2" borderId="21" xfId="0" applyNumberFormat="1" applyFont="1" applyFill="1" applyBorder="1"/>
    <xf numFmtId="10" fontId="12" fillId="2" borderId="10" xfId="0" applyNumberFormat="1" applyFont="1" applyFill="1" applyBorder="1"/>
    <xf numFmtId="9" fontId="12" fillId="2" borderId="20" xfId="0" applyNumberFormat="1" applyFont="1" applyFill="1" applyBorder="1" applyAlignment="1"/>
    <xf numFmtId="0" fontId="3" fillId="0" borderId="0" xfId="0" applyFont="1"/>
    <xf numFmtId="0" fontId="29" fillId="0" borderId="0" xfId="0" applyNumberFormat="1" applyFont="1" applyAlignment="1"/>
    <xf numFmtId="10" fontId="13" fillId="2" borderId="10" xfId="0" applyNumberFormat="1" applyFont="1" applyFill="1" applyBorder="1"/>
    <xf numFmtId="0" fontId="12" fillId="2" borderId="22" xfId="0" applyFont="1" applyFill="1" applyBorder="1"/>
    <xf numFmtId="0" fontId="12" fillId="2" borderId="23" xfId="0" applyFont="1" applyFill="1" applyBorder="1"/>
    <xf numFmtId="0" fontId="3" fillId="2" borderId="23" xfId="0" applyFont="1" applyFill="1" applyBorder="1"/>
    <xf numFmtId="3" fontId="12" fillId="2" borderId="23" xfId="0" applyNumberFormat="1" applyFont="1" applyFill="1" applyBorder="1"/>
    <xf numFmtId="10" fontId="12" fillId="2" borderId="23" xfId="0" applyNumberFormat="1" applyFont="1" applyFill="1" applyBorder="1"/>
    <xf numFmtId="3" fontId="12" fillId="2" borderId="23" xfId="0" applyNumberFormat="1" applyFont="1" applyFill="1" applyBorder="1" applyAlignment="1" applyProtection="1">
      <alignment horizontal="right"/>
      <protection locked="0"/>
    </xf>
    <xf numFmtId="0" fontId="10" fillId="0" borderId="0" xfId="0" applyFont="1"/>
    <xf numFmtId="3" fontId="12" fillId="2" borderId="18" xfId="0" applyNumberFormat="1" applyFont="1" applyFill="1" applyBorder="1"/>
    <xf numFmtId="10" fontId="12" fillId="2" borderId="18" xfId="0" applyNumberFormat="1" applyFont="1" applyFill="1" applyBorder="1"/>
    <xf numFmtId="3" fontId="12" fillId="2" borderId="18" xfId="0" applyNumberFormat="1" applyFont="1" applyFill="1" applyBorder="1" applyAlignment="1" applyProtection="1">
      <alignment horizontal="right"/>
      <protection locked="0"/>
    </xf>
    <xf numFmtId="0" fontId="12" fillId="2" borderId="18" xfId="0" applyNumberFormat="1" applyFont="1" applyFill="1" applyBorder="1" applyAlignment="1"/>
    <xf numFmtId="3" fontId="12" fillId="2" borderId="20" xfId="0" applyNumberFormat="1" applyFont="1" applyFill="1" applyBorder="1" applyAlignment="1"/>
    <xf numFmtId="3" fontId="12" fillId="2" borderId="20" xfId="0" applyNumberFormat="1" applyFont="1" applyFill="1" applyBorder="1" applyAlignment="1" applyProtection="1">
      <alignment horizontal="right"/>
      <protection locked="0"/>
    </xf>
    <xf numFmtId="0" fontId="12" fillId="2" borderId="20" xfId="0" applyNumberFormat="1" applyFont="1" applyFill="1" applyBorder="1" applyAlignment="1"/>
    <xf numFmtId="169" fontId="12" fillId="2" borderId="0" xfId="0" applyNumberFormat="1" applyFont="1" applyFill="1" applyAlignment="1"/>
    <xf numFmtId="3" fontId="12" fillId="4" borderId="27" xfId="0" applyNumberFormat="1" applyFont="1" applyFill="1" applyBorder="1"/>
    <xf numFmtId="10" fontId="12" fillId="4" borderId="28" xfId="0" applyNumberFormat="1" applyFont="1" applyFill="1" applyBorder="1" applyAlignment="1" applyProtection="1">
      <alignment horizontal="right"/>
      <protection locked="0"/>
    </xf>
    <xf numFmtId="3" fontId="12" fillId="4" borderId="28" xfId="0" applyNumberFormat="1" applyFont="1" applyFill="1" applyBorder="1" applyAlignment="1" applyProtection="1">
      <alignment horizontal="right"/>
      <protection locked="0"/>
    </xf>
    <xf numFmtId="10" fontId="12" fillId="4" borderId="28" xfId="0" applyNumberFormat="1" applyFont="1" applyFill="1" applyBorder="1"/>
    <xf numFmtId="4" fontId="12" fillId="4" borderId="29" xfId="0" applyNumberFormat="1" applyFont="1" applyFill="1" applyBorder="1"/>
    <xf numFmtId="3" fontId="12" fillId="4" borderId="24" xfId="0" applyNumberFormat="1" applyFont="1" applyFill="1" applyBorder="1"/>
    <xf numFmtId="10" fontId="12" fillId="4" borderId="25" xfId="0" applyNumberFormat="1" applyFont="1" applyFill="1" applyBorder="1"/>
    <xf numFmtId="3" fontId="12" fillId="4" borderId="25" xfId="0" applyNumberFormat="1" applyFont="1" applyFill="1" applyBorder="1" applyAlignment="1" applyProtection="1">
      <alignment horizontal="right"/>
      <protection locked="0"/>
    </xf>
    <xf numFmtId="4" fontId="12" fillId="4" borderId="26" xfId="0" applyNumberFormat="1" applyFont="1" applyFill="1" applyBorder="1"/>
    <xf numFmtId="10" fontId="13" fillId="2" borderId="28" xfId="0" applyNumberFormat="1" applyFont="1" applyFill="1" applyBorder="1"/>
    <xf numFmtId="10" fontId="13" fillId="2" borderId="28" xfId="0" applyNumberFormat="1" applyFont="1" applyFill="1" applyBorder="1" applyAlignment="1" applyProtection="1">
      <alignment horizontal="right"/>
      <protection locked="0"/>
    </xf>
    <xf numFmtId="0" fontId="12" fillId="2" borderId="28" xfId="0" applyNumberFormat="1" applyFont="1" applyFill="1" applyBorder="1" applyAlignment="1"/>
    <xf numFmtId="0" fontId="30" fillId="0" borderId="0" xfId="1" applyFont="1" applyAlignment="1" applyProtection="1">
      <alignment vertical="center"/>
    </xf>
    <xf numFmtId="3" fontId="3" fillId="0" borderId="0" xfId="0" applyNumberFormat="1" applyFont="1" applyAlignment="1"/>
    <xf numFmtId="3" fontId="3" fillId="2" borderId="23" xfId="0" applyNumberFormat="1" applyFont="1" applyFill="1" applyBorder="1"/>
    <xf numFmtId="10" fontId="3" fillId="2" borderId="23" xfId="0" applyNumberFormat="1" applyFont="1" applyFill="1" applyBorder="1"/>
    <xf numFmtId="3" fontId="3" fillId="2" borderId="23" xfId="0" applyNumberFormat="1" applyFont="1" applyFill="1" applyBorder="1" applyAlignment="1" applyProtection="1">
      <alignment horizontal="right"/>
      <protection locked="0"/>
    </xf>
    <xf numFmtId="3" fontId="3" fillId="0" borderId="1" xfId="0" applyNumberFormat="1" applyFont="1" applyBorder="1"/>
    <xf numFmtId="10" fontId="13" fillId="2" borderId="11" xfId="0" quotePrefix="1" applyNumberFormat="1" applyFont="1" applyFill="1" applyBorder="1" applyAlignment="1"/>
    <xf numFmtId="2" fontId="12" fillId="2" borderId="0" xfId="0" applyNumberFormat="1" applyFont="1" applyFill="1" applyAlignment="1"/>
    <xf numFmtId="10" fontId="12" fillId="2" borderId="0" xfId="0" applyNumberFormat="1" applyFont="1" applyFill="1" applyAlignment="1"/>
    <xf numFmtId="170" fontId="12" fillId="2" borderId="0" xfId="0" applyNumberFormat="1" applyFont="1" applyFill="1" applyAlignment="1"/>
    <xf numFmtId="3" fontId="12" fillId="0" borderId="1" xfId="0" applyNumberFormat="1" applyFont="1" applyBorder="1"/>
    <xf numFmtId="0" fontId="3" fillId="2" borderId="10" xfId="0" applyFont="1" applyFill="1" applyBorder="1"/>
    <xf numFmtId="10" fontId="12" fillId="0" borderId="0" xfId="0" applyNumberFormat="1" applyFont="1" applyAlignment="1"/>
    <xf numFmtId="10" fontId="3" fillId="2" borderId="10" xfId="0" applyNumberFormat="1" applyFont="1" applyFill="1" applyBorder="1" applyAlignment="1" applyProtection="1">
      <alignment horizontal="right"/>
      <protection locked="0"/>
    </xf>
    <xf numFmtId="10" fontId="3" fillId="2" borderId="10" xfId="0" applyNumberFormat="1" applyFont="1" applyFill="1" applyBorder="1" applyAlignment="1">
      <alignment horizontal="center"/>
    </xf>
  </cellXfs>
  <cellStyles count="3">
    <cellStyle name="Hyperlink" xfId="1" builtinId="8"/>
    <cellStyle name="Normal" xfId="0" builtinId="0"/>
    <cellStyle name="Percent" xfId="2"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F4F4F4"/>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89CB31"/>
      <color rgb="FF2D2926"/>
      <color rgb="FF008080"/>
      <color rgb="FF969696"/>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28</xdr:col>
      <xdr:colOff>1095375</xdr:colOff>
      <xdr:row>338</xdr:row>
      <xdr:rowOff>123825</xdr:rowOff>
    </xdr:from>
    <xdr:to>
      <xdr:col>28</xdr:col>
      <xdr:colOff>1895475</xdr:colOff>
      <xdr:row>339</xdr:row>
      <xdr:rowOff>152400</xdr:rowOff>
    </xdr:to>
    <xdr:pic>
      <xdr:nvPicPr>
        <xdr:cNvPr id="2" name="Picture 1" descr="C:\WINDOWS\TEMP\~0003946.gif">
          <a:extLst>
            <a:ext uri="{FF2B5EF4-FFF2-40B4-BE49-F238E27FC236}">
              <a16:creationId xmlns:a16="http://schemas.microsoft.com/office/drawing/2014/main" id="{CDFDEABE-43C7-4B7A-AEAD-7BDE82A8DAE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1031200" y="617029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414B9979-325A-46F5-9301-0EB08FAF751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1031200" y="414051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0A9168F7-B77F-4A98-8C77-6C27A078657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1031200" y="267271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43C13B0F-E5E9-4C80-9FCC-3078DBF695D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1031200" y="118776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310403</xdr:colOff>
      <xdr:row>53</xdr:row>
      <xdr:rowOff>142768</xdr:rowOff>
    </xdr:to>
    <xdr:pic>
      <xdr:nvPicPr>
        <xdr:cNvPr id="6" name="Picture 5">
          <a:extLst>
            <a:ext uri="{FF2B5EF4-FFF2-40B4-BE49-F238E27FC236}">
              <a16:creationId xmlns:a16="http://schemas.microsoft.com/office/drawing/2014/main" id="{DCF80780-3B00-475B-BAB4-2782763A5D24}"/>
            </a:ext>
          </a:extLst>
        </xdr:cNvPr>
        <xdr:cNvPicPr>
          <a:picLocks noChangeAspect="1"/>
        </xdr:cNvPicPr>
      </xdr:nvPicPr>
      <xdr:blipFill>
        <a:blip xmlns:r="http://schemas.openxmlformats.org/officeDocument/2006/relationships" r:embed="rId3"/>
        <a:stretch>
          <a:fillRect/>
        </a:stretch>
      </xdr:blipFill>
      <xdr:spPr>
        <a:xfrm>
          <a:off x="139700" y="11830050"/>
          <a:ext cx="170703" cy="228493"/>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206268</xdr:rowOff>
    </xdr:to>
    <xdr:pic>
      <xdr:nvPicPr>
        <xdr:cNvPr id="7" name="Picture 6">
          <a:extLst>
            <a:ext uri="{FF2B5EF4-FFF2-40B4-BE49-F238E27FC236}">
              <a16:creationId xmlns:a16="http://schemas.microsoft.com/office/drawing/2014/main" id="{1624254C-9783-4E4D-9CEC-C1B5ED6D4CB5}"/>
            </a:ext>
          </a:extLst>
        </xdr:cNvPr>
        <xdr:cNvPicPr>
          <a:picLocks noChangeAspect="1"/>
        </xdr:cNvPicPr>
      </xdr:nvPicPr>
      <xdr:blipFill>
        <a:blip xmlns:r="http://schemas.openxmlformats.org/officeDocument/2006/relationships" r:embed="rId3"/>
        <a:stretch>
          <a:fillRect/>
        </a:stretch>
      </xdr:blipFill>
      <xdr:spPr>
        <a:xfrm>
          <a:off x="165100" y="26743025"/>
          <a:ext cx="178323" cy="228493"/>
        </a:xfrm>
        <a:prstGeom prst="rect">
          <a:avLst/>
        </a:prstGeom>
      </xdr:spPr>
    </xdr:pic>
    <xdr:clientData/>
  </xdr:twoCellAnchor>
  <xdr:twoCellAnchor editAs="oneCell">
    <xdr:from>
      <xdr:col>0</xdr:col>
      <xdr:colOff>139700</xdr:colOff>
      <xdr:row>235</xdr:row>
      <xdr:rowOff>152400</xdr:rowOff>
    </xdr:from>
    <xdr:to>
      <xdr:col>0</xdr:col>
      <xdr:colOff>310403</xdr:colOff>
      <xdr:row>236</xdr:row>
      <xdr:rowOff>180868</xdr:rowOff>
    </xdr:to>
    <xdr:pic>
      <xdr:nvPicPr>
        <xdr:cNvPr id="8" name="Picture 7">
          <a:extLst>
            <a:ext uri="{FF2B5EF4-FFF2-40B4-BE49-F238E27FC236}">
              <a16:creationId xmlns:a16="http://schemas.microsoft.com/office/drawing/2014/main" id="{5F66F260-D8ED-449E-B76C-77B135D512E4}"/>
            </a:ext>
          </a:extLst>
        </xdr:cNvPr>
        <xdr:cNvPicPr>
          <a:picLocks noChangeAspect="1"/>
        </xdr:cNvPicPr>
      </xdr:nvPicPr>
      <xdr:blipFill>
        <a:blip xmlns:r="http://schemas.openxmlformats.org/officeDocument/2006/relationships" r:embed="rId3"/>
        <a:stretch>
          <a:fillRect/>
        </a:stretch>
      </xdr:blipFill>
      <xdr:spPr>
        <a:xfrm>
          <a:off x="139700" y="41405175"/>
          <a:ext cx="170703" cy="228493"/>
        </a:xfrm>
        <a:prstGeom prst="rect">
          <a:avLst/>
        </a:prstGeom>
      </xdr:spPr>
    </xdr:pic>
    <xdr:clientData/>
  </xdr:twoCellAnchor>
  <xdr:twoCellAnchor editAs="oneCell">
    <xdr:from>
      <xdr:col>0</xdr:col>
      <xdr:colOff>139700</xdr:colOff>
      <xdr:row>338</xdr:row>
      <xdr:rowOff>127000</xdr:rowOff>
    </xdr:from>
    <xdr:to>
      <xdr:col>0</xdr:col>
      <xdr:colOff>310403</xdr:colOff>
      <xdr:row>339</xdr:row>
      <xdr:rowOff>155468</xdr:rowOff>
    </xdr:to>
    <xdr:pic>
      <xdr:nvPicPr>
        <xdr:cNvPr id="9" name="Picture 8">
          <a:extLst>
            <a:ext uri="{FF2B5EF4-FFF2-40B4-BE49-F238E27FC236}">
              <a16:creationId xmlns:a16="http://schemas.microsoft.com/office/drawing/2014/main" id="{BBC97F04-49EF-419D-8AF0-B29FC6D0C395}"/>
            </a:ext>
          </a:extLst>
        </xdr:cNvPr>
        <xdr:cNvPicPr>
          <a:picLocks noChangeAspect="1"/>
        </xdr:cNvPicPr>
      </xdr:nvPicPr>
      <xdr:blipFill>
        <a:blip xmlns:r="http://schemas.openxmlformats.org/officeDocument/2006/relationships" r:embed="rId3"/>
        <a:stretch>
          <a:fillRect/>
        </a:stretch>
      </xdr:blipFill>
      <xdr:spPr>
        <a:xfrm>
          <a:off x="139700" y="61706125"/>
          <a:ext cx="170703" cy="228493"/>
        </a:xfrm>
        <a:prstGeom prst="rect">
          <a:avLst/>
        </a:prstGeom>
      </xdr:spPr>
    </xdr:pic>
    <xdr:clientData/>
  </xdr:twoCellAnchor>
  <xdr:twoCellAnchor editAs="oneCell">
    <xdr:from>
      <xdr:col>28</xdr:col>
      <xdr:colOff>0</xdr:colOff>
      <xdr:row>338</xdr:row>
      <xdr:rowOff>0</xdr:rowOff>
    </xdr:from>
    <xdr:to>
      <xdr:col>28</xdr:col>
      <xdr:colOff>829128</xdr:colOff>
      <xdr:row>339</xdr:row>
      <xdr:rowOff>89433</xdr:rowOff>
    </xdr:to>
    <xdr:pic>
      <xdr:nvPicPr>
        <xdr:cNvPr id="10" name="Picture 9">
          <a:extLst>
            <a:ext uri="{FF2B5EF4-FFF2-40B4-BE49-F238E27FC236}">
              <a16:creationId xmlns:a16="http://schemas.microsoft.com/office/drawing/2014/main" id="{367DE2CD-08AA-4361-9598-FA6F0CA53046}"/>
            </a:ext>
          </a:extLst>
        </xdr:cNvPr>
        <xdr:cNvPicPr>
          <a:picLocks noChangeAspect="1"/>
        </xdr:cNvPicPr>
      </xdr:nvPicPr>
      <xdr:blipFill>
        <a:blip xmlns:r="http://schemas.openxmlformats.org/officeDocument/2006/relationships" r:embed="rId4"/>
        <a:stretch>
          <a:fillRect/>
        </a:stretch>
      </xdr:blipFill>
      <xdr:spPr>
        <a:xfrm>
          <a:off x="20021550" y="61579125"/>
          <a:ext cx="829128" cy="289458"/>
        </a:xfrm>
        <a:prstGeom prst="rect">
          <a:avLst/>
        </a:prstGeom>
      </xdr:spPr>
    </xdr:pic>
    <xdr:clientData/>
  </xdr:twoCellAnchor>
  <xdr:twoCellAnchor editAs="oneCell">
    <xdr:from>
      <xdr:col>28</xdr:col>
      <xdr:colOff>63500</xdr:colOff>
      <xdr:row>235</xdr:row>
      <xdr:rowOff>88900</xdr:rowOff>
    </xdr:from>
    <xdr:to>
      <xdr:col>28</xdr:col>
      <xdr:colOff>892628</xdr:colOff>
      <xdr:row>236</xdr:row>
      <xdr:rowOff>178333</xdr:rowOff>
    </xdr:to>
    <xdr:pic>
      <xdr:nvPicPr>
        <xdr:cNvPr id="11" name="Picture 10">
          <a:extLst>
            <a:ext uri="{FF2B5EF4-FFF2-40B4-BE49-F238E27FC236}">
              <a16:creationId xmlns:a16="http://schemas.microsoft.com/office/drawing/2014/main" id="{2A884562-C74A-4858-8C2B-6C68333354DC}"/>
            </a:ext>
          </a:extLst>
        </xdr:cNvPr>
        <xdr:cNvPicPr>
          <a:picLocks noChangeAspect="1"/>
        </xdr:cNvPicPr>
      </xdr:nvPicPr>
      <xdr:blipFill>
        <a:blip xmlns:r="http://schemas.openxmlformats.org/officeDocument/2006/relationships" r:embed="rId4"/>
        <a:stretch>
          <a:fillRect/>
        </a:stretch>
      </xdr:blipFill>
      <xdr:spPr>
        <a:xfrm>
          <a:off x="20085050" y="41341675"/>
          <a:ext cx="829128" cy="289458"/>
        </a:xfrm>
        <a:prstGeom prst="rect">
          <a:avLst/>
        </a:prstGeom>
      </xdr:spPr>
    </xdr:pic>
    <xdr:clientData/>
  </xdr:twoCellAnchor>
  <xdr:twoCellAnchor editAs="oneCell">
    <xdr:from>
      <xdr:col>28</xdr:col>
      <xdr:colOff>25400</xdr:colOff>
      <xdr:row>132</xdr:row>
      <xdr:rowOff>76200</xdr:rowOff>
    </xdr:from>
    <xdr:to>
      <xdr:col>28</xdr:col>
      <xdr:colOff>854528</xdr:colOff>
      <xdr:row>133</xdr:row>
      <xdr:rowOff>165633</xdr:rowOff>
    </xdr:to>
    <xdr:pic>
      <xdr:nvPicPr>
        <xdr:cNvPr id="12" name="Picture 11">
          <a:extLst>
            <a:ext uri="{FF2B5EF4-FFF2-40B4-BE49-F238E27FC236}">
              <a16:creationId xmlns:a16="http://schemas.microsoft.com/office/drawing/2014/main" id="{B24BF43B-2EBD-42E7-A83A-E8091FDB6367}"/>
            </a:ext>
          </a:extLst>
        </xdr:cNvPr>
        <xdr:cNvPicPr>
          <a:picLocks noChangeAspect="1"/>
        </xdr:cNvPicPr>
      </xdr:nvPicPr>
      <xdr:blipFill>
        <a:blip xmlns:r="http://schemas.openxmlformats.org/officeDocument/2006/relationships" r:embed="rId4"/>
        <a:stretch>
          <a:fillRect/>
        </a:stretch>
      </xdr:blipFill>
      <xdr:spPr>
        <a:xfrm>
          <a:off x="20046950" y="26641425"/>
          <a:ext cx="829128" cy="289458"/>
        </a:xfrm>
        <a:prstGeom prst="rect">
          <a:avLst/>
        </a:prstGeom>
      </xdr:spPr>
    </xdr:pic>
    <xdr:clientData/>
  </xdr:twoCellAnchor>
  <xdr:twoCellAnchor editAs="oneCell">
    <xdr:from>
      <xdr:col>28</xdr:col>
      <xdr:colOff>0</xdr:colOff>
      <xdr:row>52</xdr:row>
      <xdr:rowOff>0</xdr:rowOff>
    </xdr:from>
    <xdr:to>
      <xdr:col>28</xdr:col>
      <xdr:colOff>829128</xdr:colOff>
      <xdr:row>53</xdr:row>
      <xdr:rowOff>89433</xdr:rowOff>
    </xdr:to>
    <xdr:pic>
      <xdr:nvPicPr>
        <xdr:cNvPr id="13" name="Picture 12">
          <a:extLst>
            <a:ext uri="{FF2B5EF4-FFF2-40B4-BE49-F238E27FC236}">
              <a16:creationId xmlns:a16="http://schemas.microsoft.com/office/drawing/2014/main" id="{EEE9F4D2-2830-47B0-83E5-6DA763D298B2}"/>
            </a:ext>
          </a:extLst>
        </xdr:cNvPr>
        <xdr:cNvPicPr>
          <a:picLocks noChangeAspect="1"/>
        </xdr:cNvPicPr>
      </xdr:nvPicPr>
      <xdr:blipFill>
        <a:blip xmlns:r="http://schemas.openxmlformats.org/officeDocument/2006/relationships" r:embed="rId4"/>
        <a:stretch>
          <a:fillRect/>
        </a:stretch>
      </xdr:blipFill>
      <xdr:spPr>
        <a:xfrm>
          <a:off x="20021550" y="11715750"/>
          <a:ext cx="829128" cy="2894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28</xdr:col>
      <xdr:colOff>1095375</xdr:colOff>
      <xdr:row>348</xdr:row>
      <xdr:rowOff>123825</xdr:rowOff>
    </xdr:from>
    <xdr:to>
      <xdr:col>28</xdr:col>
      <xdr:colOff>1895475</xdr:colOff>
      <xdr:row>350</xdr:row>
      <xdr:rowOff>152400</xdr:rowOff>
    </xdr:to>
    <xdr:pic>
      <xdr:nvPicPr>
        <xdr:cNvPr id="2" name="Picture 1" descr="C:\WINDOWS\TEMP\~0003946.gif">
          <a:extLst>
            <a:ext uri="{FF2B5EF4-FFF2-40B4-BE49-F238E27FC236}">
              <a16:creationId xmlns:a16="http://schemas.microsoft.com/office/drawing/2014/main" id="{7AD5E9F6-7FD9-4D84-A4A8-94C2677BE75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6999287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7F5189EF-2B9D-4A66-97D2-B37269DD348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7950" y="476567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17803C8E-550E-49D9-85EC-144D0432231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273018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247E3171-54BA-4944-B422-8A7363A924A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109061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321198</xdr:colOff>
      <xdr:row>53</xdr:row>
      <xdr:rowOff>132608</xdr:rowOff>
    </xdr:to>
    <xdr:pic>
      <xdr:nvPicPr>
        <xdr:cNvPr id="6" name="Picture 5">
          <a:extLst>
            <a:ext uri="{FF2B5EF4-FFF2-40B4-BE49-F238E27FC236}">
              <a16:creationId xmlns:a16="http://schemas.microsoft.com/office/drawing/2014/main" id="{352AC6F9-7533-48C3-A1E7-416E2CFACEB4}"/>
            </a:ext>
          </a:extLst>
        </xdr:cNvPr>
        <xdr:cNvPicPr>
          <a:picLocks noChangeAspect="1"/>
        </xdr:cNvPicPr>
      </xdr:nvPicPr>
      <xdr:blipFill>
        <a:blip xmlns:r="http://schemas.openxmlformats.org/officeDocument/2006/relationships" r:embed="rId3"/>
        <a:stretch>
          <a:fillRect/>
        </a:stretch>
      </xdr:blipFill>
      <xdr:spPr>
        <a:xfrm>
          <a:off x="139700" y="10858500"/>
          <a:ext cx="181498" cy="215158"/>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206903</xdr:rowOff>
    </xdr:to>
    <xdr:pic>
      <xdr:nvPicPr>
        <xdr:cNvPr id="7" name="Picture 6">
          <a:extLst>
            <a:ext uri="{FF2B5EF4-FFF2-40B4-BE49-F238E27FC236}">
              <a16:creationId xmlns:a16="http://schemas.microsoft.com/office/drawing/2014/main" id="{3EE02E6E-4ED2-4EF2-A384-4E72C4A5231C}"/>
            </a:ext>
          </a:extLst>
        </xdr:cNvPr>
        <xdr:cNvPicPr>
          <a:picLocks noChangeAspect="1"/>
        </xdr:cNvPicPr>
      </xdr:nvPicPr>
      <xdr:blipFill>
        <a:blip xmlns:r="http://schemas.openxmlformats.org/officeDocument/2006/relationships" r:embed="rId3"/>
        <a:stretch>
          <a:fillRect/>
        </a:stretch>
      </xdr:blipFill>
      <xdr:spPr>
        <a:xfrm>
          <a:off x="165100" y="27317700"/>
          <a:ext cx="165623" cy="225953"/>
        </a:xfrm>
        <a:prstGeom prst="rect">
          <a:avLst/>
        </a:prstGeom>
      </xdr:spPr>
    </xdr:pic>
    <xdr:clientData/>
  </xdr:twoCellAnchor>
  <xdr:twoCellAnchor editAs="oneCell">
    <xdr:from>
      <xdr:col>0</xdr:col>
      <xdr:colOff>139700</xdr:colOff>
      <xdr:row>235</xdr:row>
      <xdr:rowOff>152400</xdr:rowOff>
    </xdr:from>
    <xdr:to>
      <xdr:col>0</xdr:col>
      <xdr:colOff>321198</xdr:colOff>
      <xdr:row>236</xdr:row>
      <xdr:rowOff>170708</xdr:rowOff>
    </xdr:to>
    <xdr:pic>
      <xdr:nvPicPr>
        <xdr:cNvPr id="8" name="Picture 7">
          <a:extLst>
            <a:ext uri="{FF2B5EF4-FFF2-40B4-BE49-F238E27FC236}">
              <a16:creationId xmlns:a16="http://schemas.microsoft.com/office/drawing/2014/main" id="{E8521F9E-4694-4F87-B95E-611F22A49A56}"/>
            </a:ext>
          </a:extLst>
        </xdr:cNvPr>
        <xdr:cNvPicPr>
          <a:picLocks noChangeAspect="1"/>
        </xdr:cNvPicPr>
      </xdr:nvPicPr>
      <xdr:blipFill>
        <a:blip xmlns:r="http://schemas.openxmlformats.org/officeDocument/2006/relationships" r:embed="rId3"/>
        <a:stretch>
          <a:fillRect/>
        </a:stretch>
      </xdr:blipFill>
      <xdr:spPr>
        <a:xfrm>
          <a:off x="139700" y="47656750"/>
          <a:ext cx="181498" cy="215158"/>
        </a:xfrm>
        <a:prstGeom prst="rect">
          <a:avLst/>
        </a:prstGeom>
      </xdr:spPr>
    </xdr:pic>
    <xdr:clientData/>
  </xdr:twoCellAnchor>
  <xdr:twoCellAnchor editAs="oneCell">
    <xdr:from>
      <xdr:col>0</xdr:col>
      <xdr:colOff>139700</xdr:colOff>
      <xdr:row>348</xdr:row>
      <xdr:rowOff>127000</xdr:rowOff>
    </xdr:from>
    <xdr:to>
      <xdr:col>0</xdr:col>
      <xdr:colOff>321198</xdr:colOff>
      <xdr:row>349</xdr:row>
      <xdr:rowOff>114646</xdr:rowOff>
    </xdr:to>
    <xdr:pic>
      <xdr:nvPicPr>
        <xdr:cNvPr id="9" name="Picture 8">
          <a:extLst>
            <a:ext uri="{FF2B5EF4-FFF2-40B4-BE49-F238E27FC236}">
              <a16:creationId xmlns:a16="http://schemas.microsoft.com/office/drawing/2014/main" id="{5443F8DD-B42A-4B79-9A10-81AD3F8C3A09}"/>
            </a:ext>
          </a:extLst>
        </xdr:cNvPr>
        <xdr:cNvPicPr>
          <a:picLocks noChangeAspect="1"/>
        </xdr:cNvPicPr>
      </xdr:nvPicPr>
      <xdr:blipFill>
        <a:blip xmlns:r="http://schemas.openxmlformats.org/officeDocument/2006/relationships" r:embed="rId3"/>
        <a:stretch>
          <a:fillRect/>
        </a:stretch>
      </xdr:blipFill>
      <xdr:spPr>
        <a:xfrm>
          <a:off x="139700" y="69996050"/>
          <a:ext cx="181498" cy="222596"/>
        </a:xfrm>
        <a:prstGeom prst="rect">
          <a:avLst/>
        </a:prstGeom>
      </xdr:spPr>
    </xdr:pic>
    <xdr:clientData/>
  </xdr:twoCellAnchor>
  <xdr:twoCellAnchor editAs="oneCell">
    <xdr:from>
      <xdr:col>28</xdr:col>
      <xdr:colOff>0</xdr:colOff>
      <xdr:row>348</xdr:row>
      <xdr:rowOff>0</xdr:rowOff>
    </xdr:from>
    <xdr:to>
      <xdr:col>28</xdr:col>
      <xdr:colOff>822143</xdr:colOff>
      <xdr:row>349</xdr:row>
      <xdr:rowOff>58771</xdr:rowOff>
    </xdr:to>
    <xdr:pic>
      <xdr:nvPicPr>
        <xdr:cNvPr id="10" name="Picture 9">
          <a:extLst>
            <a:ext uri="{FF2B5EF4-FFF2-40B4-BE49-F238E27FC236}">
              <a16:creationId xmlns:a16="http://schemas.microsoft.com/office/drawing/2014/main" id="{D8C1DEC4-5260-4227-8633-CF519AFADC42}"/>
            </a:ext>
          </a:extLst>
        </xdr:cNvPr>
        <xdr:cNvPicPr>
          <a:picLocks noChangeAspect="1"/>
        </xdr:cNvPicPr>
      </xdr:nvPicPr>
      <xdr:blipFill>
        <a:blip xmlns:r="http://schemas.openxmlformats.org/officeDocument/2006/relationships" r:embed="rId4"/>
        <a:stretch>
          <a:fillRect/>
        </a:stretch>
      </xdr:blipFill>
      <xdr:spPr>
        <a:xfrm>
          <a:off x="27070050" y="69869050"/>
          <a:ext cx="822143" cy="293721"/>
        </a:xfrm>
        <a:prstGeom prst="rect">
          <a:avLst/>
        </a:prstGeom>
      </xdr:spPr>
    </xdr:pic>
    <xdr:clientData/>
  </xdr:twoCellAnchor>
  <xdr:twoCellAnchor editAs="oneCell">
    <xdr:from>
      <xdr:col>28</xdr:col>
      <xdr:colOff>63500</xdr:colOff>
      <xdr:row>235</xdr:row>
      <xdr:rowOff>88900</xdr:rowOff>
    </xdr:from>
    <xdr:to>
      <xdr:col>28</xdr:col>
      <xdr:colOff>896438</xdr:colOff>
      <xdr:row>236</xdr:row>
      <xdr:rowOff>173888</xdr:rowOff>
    </xdr:to>
    <xdr:pic>
      <xdr:nvPicPr>
        <xdr:cNvPr id="11" name="Picture 10">
          <a:extLst>
            <a:ext uri="{FF2B5EF4-FFF2-40B4-BE49-F238E27FC236}">
              <a16:creationId xmlns:a16="http://schemas.microsoft.com/office/drawing/2014/main" id="{BF280849-5EDC-473B-8337-8E4C88D36694}"/>
            </a:ext>
          </a:extLst>
        </xdr:cNvPr>
        <xdr:cNvPicPr>
          <a:picLocks noChangeAspect="1"/>
        </xdr:cNvPicPr>
      </xdr:nvPicPr>
      <xdr:blipFill>
        <a:blip xmlns:r="http://schemas.openxmlformats.org/officeDocument/2006/relationships" r:embed="rId4"/>
        <a:stretch>
          <a:fillRect/>
        </a:stretch>
      </xdr:blipFill>
      <xdr:spPr>
        <a:xfrm>
          <a:off x="27133550" y="47593250"/>
          <a:ext cx="832938" cy="281838"/>
        </a:xfrm>
        <a:prstGeom prst="rect">
          <a:avLst/>
        </a:prstGeom>
      </xdr:spPr>
    </xdr:pic>
    <xdr:clientData/>
  </xdr:twoCellAnchor>
  <xdr:twoCellAnchor editAs="oneCell">
    <xdr:from>
      <xdr:col>28</xdr:col>
      <xdr:colOff>25400</xdr:colOff>
      <xdr:row>132</xdr:row>
      <xdr:rowOff>76200</xdr:rowOff>
    </xdr:from>
    <xdr:to>
      <xdr:col>28</xdr:col>
      <xdr:colOff>858338</xdr:colOff>
      <xdr:row>133</xdr:row>
      <xdr:rowOff>169443</xdr:rowOff>
    </xdr:to>
    <xdr:pic>
      <xdr:nvPicPr>
        <xdr:cNvPr id="12" name="Picture 11">
          <a:extLst>
            <a:ext uri="{FF2B5EF4-FFF2-40B4-BE49-F238E27FC236}">
              <a16:creationId xmlns:a16="http://schemas.microsoft.com/office/drawing/2014/main" id="{28816639-E4E7-4C50-B47A-42F4314171A5}"/>
            </a:ext>
          </a:extLst>
        </xdr:cNvPr>
        <xdr:cNvPicPr>
          <a:picLocks noChangeAspect="1"/>
        </xdr:cNvPicPr>
      </xdr:nvPicPr>
      <xdr:blipFill>
        <a:blip xmlns:r="http://schemas.openxmlformats.org/officeDocument/2006/relationships" r:embed="rId4"/>
        <a:stretch>
          <a:fillRect/>
        </a:stretch>
      </xdr:blipFill>
      <xdr:spPr>
        <a:xfrm>
          <a:off x="27095450" y="27216100"/>
          <a:ext cx="832938" cy="290093"/>
        </a:xfrm>
        <a:prstGeom prst="rect">
          <a:avLst/>
        </a:prstGeom>
      </xdr:spPr>
    </xdr:pic>
    <xdr:clientData/>
  </xdr:twoCellAnchor>
  <xdr:twoCellAnchor editAs="oneCell">
    <xdr:from>
      <xdr:col>28</xdr:col>
      <xdr:colOff>0</xdr:colOff>
      <xdr:row>52</xdr:row>
      <xdr:rowOff>0</xdr:rowOff>
    </xdr:from>
    <xdr:to>
      <xdr:col>28</xdr:col>
      <xdr:colOff>822143</xdr:colOff>
      <xdr:row>53</xdr:row>
      <xdr:rowOff>93243</xdr:rowOff>
    </xdr:to>
    <xdr:pic>
      <xdr:nvPicPr>
        <xdr:cNvPr id="13" name="Picture 12">
          <a:extLst>
            <a:ext uri="{FF2B5EF4-FFF2-40B4-BE49-F238E27FC236}">
              <a16:creationId xmlns:a16="http://schemas.microsoft.com/office/drawing/2014/main" id="{AABDAEFF-9A07-43A8-ADF8-BA6C9FE57EE4}"/>
            </a:ext>
          </a:extLst>
        </xdr:cNvPr>
        <xdr:cNvPicPr>
          <a:picLocks noChangeAspect="1"/>
        </xdr:cNvPicPr>
      </xdr:nvPicPr>
      <xdr:blipFill>
        <a:blip xmlns:r="http://schemas.openxmlformats.org/officeDocument/2006/relationships" r:embed="rId4"/>
        <a:stretch>
          <a:fillRect/>
        </a:stretch>
      </xdr:blipFill>
      <xdr:spPr>
        <a:xfrm>
          <a:off x="27070050" y="10744200"/>
          <a:ext cx="822143" cy="2900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1095375</xdr:colOff>
      <xdr:row>348</xdr:row>
      <xdr:rowOff>123825</xdr:rowOff>
    </xdr:from>
    <xdr:to>
      <xdr:col>28</xdr:col>
      <xdr:colOff>1895475</xdr:colOff>
      <xdr:row>350</xdr:row>
      <xdr:rowOff>152400</xdr:rowOff>
    </xdr:to>
    <xdr:pic>
      <xdr:nvPicPr>
        <xdr:cNvPr id="2" name="Picture 1" descr="C:\WINDOWS\TEMP\~0003946.gif">
          <a:extLst>
            <a:ext uri="{FF2B5EF4-FFF2-40B4-BE49-F238E27FC236}">
              <a16:creationId xmlns:a16="http://schemas.microsoft.com/office/drawing/2014/main" id="{CCB03D16-F3E9-4A72-97B4-5AD2769F143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6999287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FE16B957-2F85-4B8F-8855-77B6B592559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7950" y="476567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975091C3-6F60-4D42-A165-99C659B04B1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273018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F61A715C-D5A0-4488-B900-E4F1C68FD78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109061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321198</xdr:colOff>
      <xdr:row>53</xdr:row>
      <xdr:rowOff>132608</xdr:rowOff>
    </xdr:to>
    <xdr:pic>
      <xdr:nvPicPr>
        <xdr:cNvPr id="6" name="Picture 5">
          <a:extLst>
            <a:ext uri="{FF2B5EF4-FFF2-40B4-BE49-F238E27FC236}">
              <a16:creationId xmlns:a16="http://schemas.microsoft.com/office/drawing/2014/main" id="{6BDEDE05-414A-4C56-8995-15E6B08CDA48}"/>
            </a:ext>
          </a:extLst>
        </xdr:cNvPr>
        <xdr:cNvPicPr>
          <a:picLocks noChangeAspect="1"/>
        </xdr:cNvPicPr>
      </xdr:nvPicPr>
      <xdr:blipFill>
        <a:blip xmlns:r="http://schemas.openxmlformats.org/officeDocument/2006/relationships" r:embed="rId3"/>
        <a:stretch>
          <a:fillRect/>
        </a:stretch>
      </xdr:blipFill>
      <xdr:spPr>
        <a:xfrm>
          <a:off x="139700" y="10858500"/>
          <a:ext cx="181498" cy="215158"/>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206903</xdr:rowOff>
    </xdr:to>
    <xdr:pic>
      <xdr:nvPicPr>
        <xdr:cNvPr id="7" name="Picture 6">
          <a:extLst>
            <a:ext uri="{FF2B5EF4-FFF2-40B4-BE49-F238E27FC236}">
              <a16:creationId xmlns:a16="http://schemas.microsoft.com/office/drawing/2014/main" id="{BBE1BD30-A552-4942-B32E-AE7663D6BD37}"/>
            </a:ext>
          </a:extLst>
        </xdr:cNvPr>
        <xdr:cNvPicPr>
          <a:picLocks noChangeAspect="1"/>
        </xdr:cNvPicPr>
      </xdr:nvPicPr>
      <xdr:blipFill>
        <a:blip xmlns:r="http://schemas.openxmlformats.org/officeDocument/2006/relationships" r:embed="rId3"/>
        <a:stretch>
          <a:fillRect/>
        </a:stretch>
      </xdr:blipFill>
      <xdr:spPr>
        <a:xfrm>
          <a:off x="165100" y="27317700"/>
          <a:ext cx="165623" cy="225953"/>
        </a:xfrm>
        <a:prstGeom prst="rect">
          <a:avLst/>
        </a:prstGeom>
      </xdr:spPr>
    </xdr:pic>
    <xdr:clientData/>
  </xdr:twoCellAnchor>
  <xdr:twoCellAnchor editAs="oneCell">
    <xdr:from>
      <xdr:col>0</xdr:col>
      <xdr:colOff>139700</xdr:colOff>
      <xdr:row>235</xdr:row>
      <xdr:rowOff>152400</xdr:rowOff>
    </xdr:from>
    <xdr:to>
      <xdr:col>0</xdr:col>
      <xdr:colOff>321198</xdr:colOff>
      <xdr:row>236</xdr:row>
      <xdr:rowOff>170708</xdr:rowOff>
    </xdr:to>
    <xdr:pic>
      <xdr:nvPicPr>
        <xdr:cNvPr id="8" name="Picture 7">
          <a:extLst>
            <a:ext uri="{FF2B5EF4-FFF2-40B4-BE49-F238E27FC236}">
              <a16:creationId xmlns:a16="http://schemas.microsoft.com/office/drawing/2014/main" id="{0248677F-54B9-4980-A535-79D483427063}"/>
            </a:ext>
          </a:extLst>
        </xdr:cNvPr>
        <xdr:cNvPicPr>
          <a:picLocks noChangeAspect="1"/>
        </xdr:cNvPicPr>
      </xdr:nvPicPr>
      <xdr:blipFill>
        <a:blip xmlns:r="http://schemas.openxmlformats.org/officeDocument/2006/relationships" r:embed="rId3"/>
        <a:stretch>
          <a:fillRect/>
        </a:stretch>
      </xdr:blipFill>
      <xdr:spPr>
        <a:xfrm>
          <a:off x="139700" y="47656750"/>
          <a:ext cx="181498" cy="215158"/>
        </a:xfrm>
        <a:prstGeom prst="rect">
          <a:avLst/>
        </a:prstGeom>
      </xdr:spPr>
    </xdr:pic>
    <xdr:clientData/>
  </xdr:twoCellAnchor>
  <xdr:twoCellAnchor editAs="oneCell">
    <xdr:from>
      <xdr:col>0</xdr:col>
      <xdr:colOff>139700</xdr:colOff>
      <xdr:row>348</xdr:row>
      <xdr:rowOff>127000</xdr:rowOff>
    </xdr:from>
    <xdr:to>
      <xdr:col>0</xdr:col>
      <xdr:colOff>321198</xdr:colOff>
      <xdr:row>349</xdr:row>
      <xdr:rowOff>114646</xdr:rowOff>
    </xdr:to>
    <xdr:pic>
      <xdr:nvPicPr>
        <xdr:cNvPr id="9" name="Picture 8">
          <a:extLst>
            <a:ext uri="{FF2B5EF4-FFF2-40B4-BE49-F238E27FC236}">
              <a16:creationId xmlns:a16="http://schemas.microsoft.com/office/drawing/2014/main" id="{75C45DEB-4571-47D5-BA96-F2718C455A0B}"/>
            </a:ext>
          </a:extLst>
        </xdr:cNvPr>
        <xdr:cNvPicPr>
          <a:picLocks noChangeAspect="1"/>
        </xdr:cNvPicPr>
      </xdr:nvPicPr>
      <xdr:blipFill>
        <a:blip xmlns:r="http://schemas.openxmlformats.org/officeDocument/2006/relationships" r:embed="rId3"/>
        <a:stretch>
          <a:fillRect/>
        </a:stretch>
      </xdr:blipFill>
      <xdr:spPr>
        <a:xfrm>
          <a:off x="139700" y="69996050"/>
          <a:ext cx="181498" cy="222596"/>
        </a:xfrm>
        <a:prstGeom prst="rect">
          <a:avLst/>
        </a:prstGeom>
      </xdr:spPr>
    </xdr:pic>
    <xdr:clientData/>
  </xdr:twoCellAnchor>
  <xdr:twoCellAnchor editAs="oneCell">
    <xdr:from>
      <xdr:col>28</xdr:col>
      <xdr:colOff>0</xdr:colOff>
      <xdr:row>348</xdr:row>
      <xdr:rowOff>0</xdr:rowOff>
    </xdr:from>
    <xdr:to>
      <xdr:col>28</xdr:col>
      <xdr:colOff>822143</xdr:colOff>
      <xdr:row>349</xdr:row>
      <xdr:rowOff>58771</xdr:rowOff>
    </xdr:to>
    <xdr:pic>
      <xdr:nvPicPr>
        <xdr:cNvPr id="10" name="Picture 9">
          <a:extLst>
            <a:ext uri="{FF2B5EF4-FFF2-40B4-BE49-F238E27FC236}">
              <a16:creationId xmlns:a16="http://schemas.microsoft.com/office/drawing/2014/main" id="{DC719DDE-006F-4760-AC63-FDB0C9A608D3}"/>
            </a:ext>
          </a:extLst>
        </xdr:cNvPr>
        <xdr:cNvPicPr>
          <a:picLocks noChangeAspect="1"/>
        </xdr:cNvPicPr>
      </xdr:nvPicPr>
      <xdr:blipFill>
        <a:blip xmlns:r="http://schemas.openxmlformats.org/officeDocument/2006/relationships" r:embed="rId4"/>
        <a:stretch>
          <a:fillRect/>
        </a:stretch>
      </xdr:blipFill>
      <xdr:spPr>
        <a:xfrm>
          <a:off x="27070050" y="69869050"/>
          <a:ext cx="822143" cy="293721"/>
        </a:xfrm>
        <a:prstGeom prst="rect">
          <a:avLst/>
        </a:prstGeom>
      </xdr:spPr>
    </xdr:pic>
    <xdr:clientData/>
  </xdr:twoCellAnchor>
  <xdr:twoCellAnchor editAs="oneCell">
    <xdr:from>
      <xdr:col>28</xdr:col>
      <xdr:colOff>63500</xdr:colOff>
      <xdr:row>235</xdr:row>
      <xdr:rowOff>88900</xdr:rowOff>
    </xdr:from>
    <xdr:to>
      <xdr:col>28</xdr:col>
      <xdr:colOff>896438</xdr:colOff>
      <xdr:row>236</xdr:row>
      <xdr:rowOff>173888</xdr:rowOff>
    </xdr:to>
    <xdr:pic>
      <xdr:nvPicPr>
        <xdr:cNvPr id="11" name="Picture 10">
          <a:extLst>
            <a:ext uri="{FF2B5EF4-FFF2-40B4-BE49-F238E27FC236}">
              <a16:creationId xmlns:a16="http://schemas.microsoft.com/office/drawing/2014/main" id="{0801715C-5FB5-4207-A24E-45C76F88FEA8}"/>
            </a:ext>
          </a:extLst>
        </xdr:cNvPr>
        <xdr:cNvPicPr>
          <a:picLocks noChangeAspect="1"/>
        </xdr:cNvPicPr>
      </xdr:nvPicPr>
      <xdr:blipFill>
        <a:blip xmlns:r="http://schemas.openxmlformats.org/officeDocument/2006/relationships" r:embed="rId4"/>
        <a:stretch>
          <a:fillRect/>
        </a:stretch>
      </xdr:blipFill>
      <xdr:spPr>
        <a:xfrm>
          <a:off x="27133550" y="47593250"/>
          <a:ext cx="832938" cy="281838"/>
        </a:xfrm>
        <a:prstGeom prst="rect">
          <a:avLst/>
        </a:prstGeom>
      </xdr:spPr>
    </xdr:pic>
    <xdr:clientData/>
  </xdr:twoCellAnchor>
  <xdr:twoCellAnchor editAs="oneCell">
    <xdr:from>
      <xdr:col>28</xdr:col>
      <xdr:colOff>25400</xdr:colOff>
      <xdr:row>132</xdr:row>
      <xdr:rowOff>76200</xdr:rowOff>
    </xdr:from>
    <xdr:to>
      <xdr:col>28</xdr:col>
      <xdr:colOff>858338</xdr:colOff>
      <xdr:row>133</xdr:row>
      <xdr:rowOff>169443</xdr:rowOff>
    </xdr:to>
    <xdr:pic>
      <xdr:nvPicPr>
        <xdr:cNvPr id="12" name="Picture 11">
          <a:extLst>
            <a:ext uri="{FF2B5EF4-FFF2-40B4-BE49-F238E27FC236}">
              <a16:creationId xmlns:a16="http://schemas.microsoft.com/office/drawing/2014/main" id="{F40DD372-4274-48E8-B5F5-754FFE366647}"/>
            </a:ext>
          </a:extLst>
        </xdr:cNvPr>
        <xdr:cNvPicPr>
          <a:picLocks noChangeAspect="1"/>
        </xdr:cNvPicPr>
      </xdr:nvPicPr>
      <xdr:blipFill>
        <a:blip xmlns:r="http://schemas.openxmlformats.org/officeDocument/2006/relationships" r:embed="rId4"/>
        <a:stretch>
          <a:fillRect/>
        </a:stretch>
      </xdr:blipFill>
      <xdr:spPr>
        <a:xfrm>
          <a:off x="27095450" y="27216100"/>
          <a:ext cx="832938" cy="290093"/>
        </a:xfrm>
        <a:prstGeom prst="rect">
          <a:avLst/>
        </a:prstGeom>
      </xdr:spPr>
    </xdr:pic>
    <xdr:clientData/>
  </xdr:twoCellAnchor>
  <xdr:twoCellAnchor editAs="oneCell">
    <xdr:from>
      <xdr:col>28</xdr:col>
      <xdr:colOff>0</xdr:colOff>
      <xdr:row>52</xdr:row>
      <xdr:rowOff>0</xdr:rowOff>
    </xdr:from>
    <xdr:to>
      <xdr:col>28</xdr:col>
      <xdr:colOff>822143</xdr:colOff>
      <xdr:row>53</xdr:row>
      <xdr:rowOff>93243</xdr:rowOff>
    </xdr:to>
    <xdr:pic>
      <xdr:nvPicPr>
        <xdr:cNvPr id="13" name="Picture 12">
          <a:extLst>
            <a:ext uri="{FF2B5EF4-FFF2-40B4-BE49-F238E27FC236}">
              <a16:creationId xmlns:a16="http://schemas.microsoft.com/office/drawing/2014/main" id="{30D87CBE-5FB4-47B4-8359-B1D02A7395FE}"/>
            </a:ext>
          </a:extLst>
        </xdr:cNvPr>
        <xdr:cNvPicPr>
          <a:picLocks noChangeAspect="1"/>
        </xdr:cNvPicPr>
      </xdr:nvPicPr>
      <xdr:blipFill>
        <a:blip xmlns:r="http://schemas.openxmlformats.org/officeDocument/2006/relationships" r:embed="rId4"/>
        <a:stretch>
          <a:fillRect/>
        </a:stretch>
      </xdr:blipFill>
      <xdr:spPr>
        <a:xfrm>
          <a:off x="27070050" y="10744200"/>
          <a:ext cx="822143" cy="2900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28</xdr:col>
      <xdr:colOff>1095375</xdr:colOff>
      <xdr:row>348</xdr:row>
      <xdr:rowOff>123825</xdr:rowOff>
    </xdr:from>
    <xdr:to>
      <xdr:col>28</xdr:col>
      <xdr:colOff>1895475</xdr:colOff>
      <xdr:row>350</xdr:row>
      <xdr:rowOff>152400</xdr:rowOff>
    </xdr:to>
    <xdr:pic>
      <xdr:nvPicPr>
        <xdr:cNvPr id="2" name="Picture 1" descr="C:\WINDOWS\TEMP\~0003946.gif">
          <a:extLst>
            <a:ext uri="{FF2B5EF4-FFF2-40B4-BE49-F238E27FC236}">
              <a16:creationId xmlns:a16="http://schemas.microsoft.com/office/drawing/2014/main" id="{EA5BDC6F-F880-429B-A743-0DB7690009C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6999287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6A839FDE-0787-48E6-96AC-E970F56D56E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7950" y="476567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2250508C-449F-44CE-8094-21D8DE14FA1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273018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2FFE97BD-9399-45E5-9230-1E5FADCD22F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109061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325008</xdr:colOff>
      <xdr:row>53</xdr:row>
      <xdr:rowOff>136418</xdr:rowOff>
    </xdr:to>
    <xdr:pic>
      <xdr:nvPicPr>
        <xdr:cNvPr id="6" name="Picture 5">
          <a:extLst>
            <a:ext uri="{FF2B5EF4-FFF2-40B4-BE49-F238E27FC236}">
              <a16:creationId xmlns:a16="http://schemas.microsoft.com/office/drawing/2014/main" id="{C4306939-A39F-43B5-A8CD-11F1000D6352}"/>
            </a:ext>
          </a:extLst>
        </xdr:cNvPr>
        <xdr:cNvPicPr>
          <a:picLocks noChangeAspect="1"/>
        </xdr:cNvPicPr>
      </xdr:nvPicPr>
      <xdr:blipFill>
        <a:blip xmlns:r="http://schemas.openxmlformats.org/officeDocument/2006/relationships" r:embed="rId3"/>
        <a:stretch>
          <a:fillRect/>
        </a:stretch>
      </xdr:blipFill>
      <xdr:spPr>
        <a:xfrm>
          <a:off x="139700" y="10858500"/>
          <a:ext cx="181498" cy="215158"/>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210713</xdr:rowOff>
    </xdr:to>
    <xdr:pic>
      <xdr:nvPicPr>
        <xdr:cNvPr id="7" name="Picture 6">
          <a:extLst>
            <a:ext uri="{FF2B5EF4-FFF2-40B4-BE49-F238E27FC236}">
              <a16:creationId xmlns:a16="http://schemas.microsoft.com/office/drawing/2014/main" id="{EABAF880-4050-40CC-BAE8-43BD6868F9B9}"/>
            </a:ext>
          </a:extLst>
        </xdr:cNvPr>
        <xdr:cNvPicPr>
          <a:picLocks noChangeAspect="1"/>
        </xdr:cNvPicPr>
      </xdr:nvPicPr>
      <xdr:blipFill>
        <a:blip xmlns:r="http://schemas.openxmlformats.org/officeDocument/2006/relationships" r:embed="rId3"/>
        <a:stretch>
          <a:fillRect/>
        </a:stretch>
      </xdr:blipFill>
      <xdr:spPr>
        <a:xfrm>
          <a:off x="165100" y="27317700"/>
          <a:ext cx="165623" cy="225953"/>
        </a:xfrm>
        <a:prstGeom prst="rect">
          <a:avLst/>
        </a:prstGeom>
      </xdr:spPr>
    </xdr:pic>
    <xdr:clientData/>
  </xdr:twoCellAnchor>
  <xdr:twoCellAnchor editAs="oneCell">
    <xdr:from>
      <xdr:col>0</xdr:col>
      <xdr:colOff>139700</xdr:colOff>
      <xdr:row>235</xdr:row>
      <xdr:rowOff>152400</xdr:rowOff>
    </xdr:from>
    <xdr:to>
      <xdr:col>0</xdr:col>
      <xdr:colOff>325008</xdr:colOff>
      <xdr:row>236</xdr:row>
      <xdr:rowOff>174518</xdr:rowOff>
    </xdr:to>
    <xdr:pic>
      <xdr:nvPicPr>
        <xdr:cNvPr id="8" name="Picture 7">
          <a:extLst>
            <a:ext uri="{FF2B5EF4-FFF2-40B4-BE49-F238E27FC236}">
              <a16:creationId xmlns:a16="http://schemas.microsoft.com/office/drawing/2014/main" id="{C760B838-D78B-4FC1-8EF5-2B0011547320}"/>
            </a:ext>
          </a:extLst>
        </xdr:cNvPr>
        <xdr:cNvPicPr>
          <a:picLocks noChangeAspect="1"/>
        </xdr:cNvPicPr>
      </xdr:nvPicPr>
      <xdr:blipFill>
        <a:blip xmlns:r="http://schemas.openxmlformats.org/officeDocument/2006/relationships" r:embed="rId3"/>
        <a:stretch>
          <a:fillRect/>
        </a:stretch>
      </xdr:blipFill>
      <xdr:spPr>
        <a:xfrm>
          <a:off x="139700" y="47656750"/>
          <a:ext cx="181498" cy="215158"/>
        </a:xfrm>
        <a:prstGeom prst="rect">
          <a:avLst/>
        </a:prstGeom>
      </xdr:spPr>
    </xdr:pic>
    <xdr:clientData/>
  </xdr:twoCellAnchor>
  <xdr:twoCellAnchor editAs="oneCell">
    <xdr:from>
      <xdr:col>0</xdr:col>
      <xdr:colOff>139700</xdr:colOff>
      <xdr:row>348</xdr:row>
      <xdr:rowOff>127000</xdr:rowOff>
    </xdr:from>
    <xdr:to>
      <xdr:col>0</xdr:col>
      <xdr:colOff>325008</xdr:colOff>
      <xdr:row>349</xdr:row>
      <xdr:rowOff>114646</xdr:rowOff>
    </xdr:to>
    <xdr:pic>
      <xdr:nvPicPr>
        <xdr:cNvPr id="9" name="Picture 8">
          <a:extLst>
            <a:ext uri="{FF2B5EF4-FFF2-40B4-BE49-F238E27FC236}">
              <a16:creationId xmlns:a16="http://schemas.microsoft.com/office/drawing/2014/main" id="{F123895D-A931-4BA1-BCB4-6158066DC9B7}"/>
            </a:ext>
          </a:extLst>
        </xdr:cNvPr>
        <xdr:cNvPicPr>
          <a:picLocks noChangeAspect="1"/>
        </xdr:cNvPicPr>
      </xdr:nvPicPr>
      <xdr:blipFill>
        <a:blip xmlns:r="http://schemas.openxmlformats.org/officeDocument/2006/relationships" r:embed="rId3"/>
        <a:stretch>
          <a:fillRect/>
        </a:stretch>
      </xdr:blipFill>
      <xdr:spPr>
        <a:xfrm>
          <a:off x="139700" y="69996050"/>
          <a:ext cx="181498" cy="222596"/>
        </a:xfrm>
        <a:prstGeom prst="rect">
          <a:avLst/>
        </a:prstGeom>
      </xdr:spPr>
    </xdr:pic>
    <xdr:clientData/>
  </xdr:twoCellAnchor>
  <xdr:twoCellAnchor editAs="oneCell">
    <xdr:from>
      <xdr:col>28</xdr:col>
      <xdr:colOff>0</xdr:colOff>
      <xdr:row>348</xdr:row>
      <xdr:rowOff>0</xdr:rowOff>
    </xdr:from>
    <xdr:to>
      <xdr:col>28</xdr:col>
      <xdr:colOff>818333</xdr:colOff>
      <xdr:row>349</xdr:row>
      <xdr:rowOff>54961</xdr:rowOff>
    </xdr:to>
    <xdr:pic>
      <xdr:nvPicPr>
        <xdr:cNvPr id="10" name="Picture 9">
          <a:extLst>
            <a:ext uri="{FF2B5EF4-FFF2-40B4-BE49-F238E27FC236}">
              <a16:creationId xmlns:a16="http://schemas.microsoft.com/office/drawing/2014/main" id="{38237AD6-7520-4F7C-9ACC-61451CAEA116}"/>
            </a:ext>
          </a:extLst>
        </xdr:cNvPr>
        <xdr:cNvPicPr>
          <a:picLocks noChangeAspect="1"/>
        </xdr:cNvPicPr>
      </xdr:nvPicPr>
      <xdr:blipFill>
        <a:blip xmlns:r="http://schemas.openxmlformats.org/officeDocument/2006/relationships" r:embed="rId4"/>
        <a:stretch>
          <a:fillRect/>
        </a:stretch>
      </xdr:blipFill>
      <xdr:spPr>
        <a:xfrm>
          <a:off x="27070050" y="69869050"/>
          <a:ext cx="822143" cy="293721"/>
        </a:xfrm>
        <a:prstGeom prst="rect">
          <a:avLst/>
        </a:prstGeom>
      </xdr:spPr>
    </xdr:pic>
    <xdr:clientData/>
  </xdr:twoCellAnchor>
  <xdr:twoCellAnchor editAs="oneCell">
    <xdr:from>
      <xdr:col>28</xdr:col>
      <xdr:colOff>63500</xdr:colOff>
      <xdr:row>235</xdr:row>
      <xdr:rowOff>88900</xdr:rowOff>
    </xdr:from>
    <xdr:to>
      <xdr:col>28</xdr:col>
      <xdr:colOff>892628</xdr:colOff>
      <xdr:row>236</xdr:row>
      <xdr:rowOff>170078</xdr:rowOff>
    </xdr:to>
    <xdr:pic>
      <xdr:nvPicPr>
        <xdr:cNvPr id="11" name="Picture 10">
          <a:extLst>
            <a:ext uri="{FF2B5EF4-FFF2-40B4-BE49-F238E27FC236}">
              <a16:creationId xmlns:a16="http://schemas.microsoft.com/office/drawing/2014/main" id="{656DBD03-135A-497F-8EB8-0056F10C0789}"/>
            </a:ext>
          </a:extLst>
        </xdr:cNvPr>
        <xdr:cNvPicPr>
          <a:picLocks noChangeAspect="1"/>
        </xdr:cNvPicPr>
      </xdr:nvPicPr>
      <xdr:blipFill>
        <a:blip xmlns:r="http://schemas.openxmlformats.org/officeDocument/2006/relationships" r:embed="rId4"/>
        <a:stretch>
          <a:fillRect/>
        </a:stretch>
      </xdr:blipFill>
      <xdr:spPr>
        <a:xfrm>
          <a:off x="27133550" y="47593250"/>
          <a:ext cx="832938" cy="281838"/>
        </a:xfrm>
        <a:prstGeom prst="rect">
          <a:avLst/>
        </a:prstGeom>
      </xdr:spPr>
    </xdr:pic>
    <xdr:clientData/>
  </xdr:twoCellAnchor>
  <xdr:twoCellAnchor editAs="oneCell">
    <xdr:from>
      <xdr:col>28</xdr:col>
      <xdr:colOff>25400</xdr:colOff>
      <xdr:row>132</xdr:row>
      <xdr:rowOff>76200</xdr:rowOff>
    </xdr:from>
    <xdr:to>
      <xdr:col>28</xdr:col>
      <xdr:colOff>854528</xdr:colOff>
      <xdr:row>133</xdr:row>
      <xdr:rowOff>173253</xdr:rowOff>
    </xdr:to>
    <xdr:pic>
      <xdr:nvPicPr>
        <xdr:cNvPr id="12" name="Picture 11">
          <a:extLst>
            <a:ext uri="{FF2B5EF4-FFF2-40B4-BE49-F238E27FC236}">
              <a16:creationId xmlns:a16="http://schemas.microsoft.com/office/drawing/2014/main" id="{C0FEB0D3-22D1-46CF-99A8-01D832ECFE7F}"/>
            </a:ext>
          </a:extLst>
        </xdr:cNvPr>
        <xdr:cNvPicPr>
          <a:picLocks noChangeAspect="1"/>
        </xdr:cNvPicPr>
      </xdr:nvPicPr>
      <xdr:blipFill>
        <a:blip xmlns:r="http://schemas.openxmlformats.org/officeDocument/2006/relationships" r:embed="rId4"/>
        <a:stretch>
          <a:fillRect/>
        </a:stretch>
      </xdr:blipFill>
      <xdr:spPr>
        <a:xfrm>
          <a:off x="27095450" y="27216100"/>
          <a:ext cx="832938" cy="290093"/>
        </a:xfrm>
        <a:prstGeom prst="rect">
          <a:avLst/>
        </a:prstGeom>
      </xdr:spPr>
    </xdr:pic>
    <xdr:clientData/>
  </xdr:twoCellAnchor>
  <xdr:twoCellAnchor editAs="oneCell">
    <xdr:from>
      <xdr:col>28</xdr:col>
      <xdr:colOff>0</xdr:colOff>
      <xdr:row>52</xdr:row>
      <xdr:rowOff>0</xdr:rowOff>
    </xdr:from>
    <xdr:to>
      <xdr:col>28</xdr:col>
      <xdr:colOff>818333</xdr:colOff>
      <xdr:row>53</xdr:row>
      <xdr:rowOff>97053</xdr:rowOff>
    </xdr:to>
    <xdr:pic>
      <xdr:nvPicPr>
        <xdr:cNvPr id="13" name="Picture 12">
          <a:extLst>
            <a:ext uri="{FF2B5EF4-FFF2-40B4-BE49-F238E27FC236}">
              <a16:creationId xmlns:a16="http://schemas.microsoft.com/office/drawing/2014/main" id="{1124A396-7D69-46A7-A5F1-7AD559782624}"/>
            </a:ext>
          </a:extLst>
        </xdr:cNvPr>
        <xdr:cNvPicPr>
          <a:picLocks noChangeAspect="1"/>
        </xdr:cNvPicPr>
      </xdr:nvPicPr>
      <xdr:blipFill>
        <a:blip xmlns:r="http://schemas.openxmlformats.org/officeDocument/2006/relationships" r:embed="rId4"/>
        <a:stretch>
          <a:fillRect/>
        </a:stretch>
      </xdr:blipFill>
      <xdr:spPr>
        <a:xfrm>
          <a:off x="27070050" y="10744200"/>
          <a:ext cx="822143" cy="29009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28</xdr:col>
      <xdr:colOff>1095375</xdr:colOff>
      <xdr:row>349</xdr:row>
      <xdr:rowOff>123825</xdr:rowOff>
    </xdr:from>
    <xdr:to>
      <xdr:col>28</xdr:col>
      <xdr:colOff>1895475</xdr:colOff>
      <xdr:row>351</xdr:row>
      <xdr:rowOff>152400</xdr:rowOff>
    </xdr:to>
    <xdr:pic>
      <xdr:nvPicPr>
        <xdr:cNvPr id="2" name="Picture 1" descr="C:\WINDOWS\TEMP\~0003946.gif">
          <a:extLst>
            <a:ext uri="{FF2B5EF4-FFF2-40B4-BE49-F238E27FC236}">
              <a16:creationId xmlns:a16="http://schemas.microsoft.com/office/drawing/2014/main" id="{08F9E0BA-C734-4C07-AF5A-972362CD9E1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51175" y="70204965"/>
          <a:ext cx="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236</xdr:row>
      <xdr:rowOff>152400</xdr:rowOff>
    </xdr:from>
    <xdr:to>
      <xdr:col>28</xdr:col>
      <xdr:colOff>1924050</xdr:colOff>
      <xdr:row>237</xdr:row>
      <xdr:rowOff>180975</xdr:rowOff>
    </xdr:to>
    <xdr:pic>
      <xdr:nvPicPr>
        <xdr:cNvPr id="3" name="Picture 2" descr="C:\WINDOWS\TEMP\~0003946.gif">
          <a:extLst>
            <a:ext uri="{FF2B5EF4-FFF2-40B4-BE49-F238E27FC236}">
              <a16:creationId xmlns:a16="http://schemas.microsoft.com/office/drawing/2014/main" id="{3BA8B847-D707-4089-8011-1BE1E916D2D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9270" y="4774692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78E4ED19-1F7C-40BC-8DD8-DFA39DE5762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54985" y="2725864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2F7F786A-F0B3-4712-98F4-93335743E03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54985" y="1076896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325008</xdr:colOff>
      <xdr:row>53</xdr:row>
      <xdr:rowOff>136418</xdr:rowOff>
    </xdr:to>
    <xdr:pic>
      <xdr:nvPicPr>
        <xdr:cNvPr id="6" name="Picture 5">
          <a:extLst>
            <a:ext uri="{FF2B5EF4-FFF2-40B4-BE49-F238E27FC236}">
              <a16:creationId xmlns:a16="http://schemas.microsoft.com/office/drawing/2014/main" id="{D14DD083-68BB-435B-84C6-82EF80BCCA6F}"/>
            </a:ext>
          </a:extLst>
        </xdr:cNvPr>
        <xdr:cNvPicPr>
          <a:picLocks noChangeAspect="1"/>
        </xdr:cNvPicPr>
      </xdr:nvPicPr>
      <xdr:blipFill>
        <a:blip xmlns:r="http://schemas.openxmlformats.org/officeDocument/2006/relationships" r:embed="rId3"/>
        <a:stretch>
          <a:fillRect/>
        </a:stretch>
      </xdr:blipFill>
      <xdr:spPr>
        <a:xfrm>
          <a:off x="139700" y="10721340"/>
          <a:ext cx="185308" cy="220238"/>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210713</xdr:rowOff>
    </xdr:to>
    <xdr:pic>
      <xdr:nvPicPr>
        <xdr:cNvPr id="7" name="Picture 6">
          <a:extLst>
            <a:ext uri="{FF2B5EF4-FFF2-40B4-BE49-F238E27FC236}">
              <a16:creationId xmlns:a16="http://schemas.microsoft.com/office/drawing/2014/main" id="{DBFD350F-342F-4768-B77A-7115EC539B3B}"/>
            </a:ext>
          </a:extLst>
        </xdr:cNvPr>
        <xdr:cNvPicPr>
          <a:picLocks noChangeAspect="1"/>
        </xdr:cNvPicPr>
      </xdr:nvPicPr>
      <xdr:blipFill>
        <a:blip xmlns:r="http://schemas.openxmlformats.org/officeDocument/2006/relationships" r:embed="rId3"/>
        <a:stretch>
          <a:fillRect/>
        </a:stretch>
      </xdr:blipFill>
      <xdr:spPr>
        <a:xfrm>
          <a:off x="165100" y="27274520"/>
          <a:ext cx="170703" cy="231033"/>
        </a:xfrm>
        <a:prstGeom prst="rect">
          <a:avLst/>
        </a:prstGeom>
      </xdr:spPr>
    </xdr:pic>
    <xdr:clientData/>
  </xdr:twoCellAnchor>
  <xdr:twoCellAnchor editAs="oneCell">
    <xdr:from>
      <xdr:col>0</xdr:col>
      <xdr:colOff>139700</xdr:colOff>
      <xdr:row>236</xdr:row>
      <xdr:rowOff>152400</xdr:rowOff>
    </xdr:from>
    <xdr:to>
      <xdr:col>0</xdr:col>
      <xdr:colOff>325008</xdr:colOff>
      <xdr:row>237</xdr:row>
      <xdr:rowOff>174518</xdr:rowOff>
    </xdr:to>
    <xdr:pic>
      <xdr:nvPicPr>
        <xdr:cNvPr id="8" name="Picture 7">
          <a:extLst>
            <a:ext uri="{FF2B5EF4-FFF2-40B4-BE49-F238E27FC236}">
              <a16:creationId xmlns:a16="http://schemas.microsoft.com/office/drawing/2014/main" id="{3415F4E9-1A4B-4ABF-A12B-1CC6B09B126D}"/>
            </a:ext>
          </a:extLst>
        </xdr:cNvPr>
        <xdr:cNvPicPr>
          <a:picLocks noChangeAspect="1"/>
        </xdr:cNvPicPr>
      </xdr:nvPicPr>
      <xdr:blipFill>
        <a:blip xmlns:r="http://schemas.openxmlformats.org/officeDocument/2006/relationships" r:embed="rId3"/>
        <a:stretch>
          <a:fillRect/>
        </a:stretch>
      </xdr:blipFill>
      <xdr:spPr>
        <a:xfrm>
          <a:off x="139700" y="47746920"/>
          <a:ext cx="185308" cy="220238"/>
        </a:xfrm>
        <a:prstGeom prst="rect">
          <a:avLst/>
        </a:prstGeom>
      </xdr:spPr>
    </xdr:pic>
    <xdr:clientData/>
  </xdr:twoCellAnchor>
  <xdr:twoCellAnchor editAs="oneCell">
    <xdr:from>
      <xdr:col>0</xdr:col>
      <xdr:colOff>139700</xdr:colOff>
      <xdr:row>349</xdr:row>
      <xdr:rowOff>127000</xdr:rowOff>
    </xdr:from>
    <xdr:to>
      <xdr:col>0</xdr:col>
      <xdr:colOff>325008</xdr:colOff>
      <xdr:row>350</xdr:row>
      <xdr:rowOff>114646</xdr:rowOff>
    </xdr:to>
    <xdr:pic>
      <xdr:nvPicPr>
        <xdr:cNvPr id="9" name="Picture 8">
          <a:extLst>
            <a:ext uri="{FF2B5EF4-FFF2-40B4-BE49-F238E27FC236}">
              <a16:creationId xmlns:a16="http://schemas.microsoft.com/office/drawing/2014/main" id="{8407A9C8-8979-4AD6-ACA3-53CDF8088F4A}"/>
            </a:ext>
          </a:extLst>
        </xdr:cNvPr>
        <xdr:cNvPicPr>
          <a:picLocks noChangeAspect="1"/>
        </xdr:cNvPicPr>
      </xdr:nvPicPr>
      <xdr:blipFill>
        <a:blip xmlns:r="http://schemas.openxmlformats.org/officeDocument/2006/relationships" r:embed="rId3"/>
        <a:stretch>
          <a:fillRect/>
        </a:stretch>
      </xdr:blipFill>
      <xdr:spPr>
        <a:xfrm>
          <a:off x="139700" y="70208140"/>
          <a:ext cx="185308" cy="216246"/>
        </a:xfrm>
        <a:prstGeom prst="rect">
          <a:avLst/>
        </a:prstGeom>
      </xdr:spPr>
    </xdr:pic>
    <xdr:clientData/>
  </xdr:twoCellAnchor>
  <xdr:twoCellAnchor editAs="oneCell">
    <xdr:from>
      <xdr:col>28</xdr:col>
      <xdr:colOff>0</xdr:colOff>
      <xdr:row>349</xdr:row>
      <xdr:rowOff>0</xdr:rowOff>
    </xdr:from>
    <xdr:to>
      <xdr:col>28</xdr:col>
      <xdr:colOff>818333</xdr:colOff>
      <xdr:row>350</xdr:row>
      <xdr:rowOff>54961</xdr:rowOff>
    </xdr:to>
    <xdr:pic>
      <xdr:nvPicPr>
        <xdr:cNvPr id="10" name="Picture 9">
          <a:extLst>
            <a:ext uri="{FF2B5EF4-FFF2-40B4-BE49-F238E27FC236}">
              <a16:creationId xmlns:a16="http://schemas.microsoft.com/office/drawing/2014/main" id="{F793E931-36FF-4052-896A-3D2ED463D88C}"/>
            </a:ext>
          </a:extLst>
        </xdr:cNvPr>
        <xdr:cNvPicPr>
          <a:picLocks noChangeAspect="1"/>
        </xdr:cNvPicPr>
      </xdr:nvPicPr>
      <xdr:blipFill>
        <a:blip xmlns:r="http://schemas.openxmlformats.org/officeDocument/2006/relationships" r:embed="rId4"/>
        <a:stretch>
          <a:fillRect/>
        </a:stretch>
      </xdr:blipFill>
      <xdr:spPr>
        <a:xfrm>
          <a:off x="27454860" y="70081140"/>
          <a:ext cx="818333" cy="283561"/>
        </a:xfrm>
        <a:prstGeom prst="rect">
          <a:avLst/>
        </a:prstGeom>
      </xdr:spPr>
    </xdr:pic>
    <xdr:clientData/>
  </xdr:twoCellAnchor>
  <xdr:twoCellAnchor editAs="oneCell">
    <xdr:from>
      <xdr:col>28</xdr:col>
      <xdr:colOff>63500</xdr:colOff>
      <xdr:row>236</xdr:row>
      <xdr:rowOff>88900</xdr:rowOff>
    </xdr:from>
    <xdr:to>
      <xdr:col>28</xdr:col>
      <xdr:colOff>892628</xdr:colOff>
      <xdr:row>237</xdr:row>
      <xdr:rowOff>170078</xdr:rowOff>
    </xdr:to>
    <xdr:pic>
      <xdr:nvPicPr>
        <xdr:cNvPr id="11" name="Picture 10">
          <a:extLst>
            <a:ext uri="{FF2B5EF4-FFF2-40B4-BE49-F238E27FC236}">
              <a16:creationId xmlns:a16="http://schemas.microsoft.com/office/drawing/2014/main" id="{286A4825-A9EA-49B2-8B87-D836E151DA8D}"/>
            </a:ext>
          </a:extLst>
        </xdr:cNvPr>
        <xdr:cNvPicPr>
          <a:picLocks noChangeAspect="1"/>
        </xdr:cNvPicPr>
      </xdr:nvPicPr>
      <xdr:blipFill>
        <a:blip xmlns:r="http://schemas.openxmlformats.org/officeDocument/2006/relationships" r:embed="rId4"/>
        <a:stretch>
          <a:fillRect/>
        </a:stretch>
      </xdr:blipFill>
      <xdr:spPr>
        <a:xfrm>
          <a:off x="27518360" y="47683420"/>
          <a:ext cx="829128" cy="279298"/>
        </a:xfrm>
        <a:prstGeom prst="rect">
          <a:avLst/>
        </a:prstGeom>
      </xdr:spPr>
    </xdr:pic>
    <xdr:clientData/>
  </xdr:twoCellAnchor>
  <xdr:twoCellAnchor editAs="oneCell">
    <xdr:from>
      <xdr:col>28</xdr:col>
      <xdr:colOff>25400</xdr:colOff>
      <xdr:row>132</xdr:row>
      <xdr:rowOff>76200</xdr:rowOff>
    </xdr:from>
    <xdr:to>
      <xdr:col>28</xdr:col>
      <xdr:colOff>854528</xdr:colOff>
      <xdr:row>133</xdr:row>
      <xdr:rowOff>173253</xdr:rowOff>
    </xdr:to>
    <xdr:pic>
      <xdr:nvPicPr>
        <xdr:cNvPr id="12" name="Picture 11">
          <a:extLst>
            <a:ext uri="{FF2B5EF4-FFF2-40B4-BE49-F238E27FC236}">
              <a16:creationId xmlns:a16="http://schemas.microsoft.com/office/drawing/2014/main" id="{C2BF1CF1-169E-40D2-A79C-A2B005DB1A0A}"/>
            </a:ext>
          </a:extLst>
        </xdr:cNvPr>
        <xdr:cNvPicPr>
          <a:picLocks noChangeAspect="1"/>
        </xdr:cNvPicPr>
      </xdr:nvPicPr>
      <xdr:blipFill>
        <a:blip xmlns:r="http://schemas.openxmlformats.org/officeDocument/2006/relationships" r:embed="rId4"/>
        <a:stretch>
          <a:fillRect/>
        </a:stretch>
      </xdr:blipFill>
      <xdr:spPr>
        <a:xfrm>
          <a:off x="27480260" y="27172920"/>
          <a:ext cx="829128" cy="295173"/>
        </a:xfrm>
        <a:prstGeom prst="rect">
          <a:avLst/>
        </a:prstGeom>
      </xdr:spPr>
    </xdr:pic>
    <xdr:clientData/>
  </xdr:twoCellAnchor>
  <xdr:twoCellAnchor editAs="oneCell">
    <xdr:from>
      <xdr:col>28</xdr:col>
      <xdr:colOff>0</xdr:colOff>
      <xdr:row>52</xdr:row>
      <xdr:rowOff>0</xdr:rowOff>
    </xdr:from>
    <xdr:to>
      <xdr:col>28</xdr:col>
      <xdr:colOff>818333</xdr:colOff>
      <xdr:row>53</xdr:row>
      <xdr:rowOff>97053</xdr:rowOff>
    </xdr:to>
    <xdr:pic>
      <xdr:nvPicPr>
        <xdr:cNvPr id="13" name="Picture 12">
          <a:extLst>
            <a:ext uri="{FF2B5EF4-FFF2-40B4-BE49-F238E27FC236}">
              <a16:creationId xmlns:a16="http://schemas.microsoft.com/office/drawing/2014/main" id="{82F9586D-57EE-41E0-BE98-72D86AE49B0F}"/>
            </a:ext>
          </a:extLst>
        </xdr:cNvPr>
        <xdr:cNvPicPr>
          <a:picLocks noChangeAspect="1"/>
        </xdr:cNvPicPr>
      </xdr:nvPicPr>
      <xdr:blipFill>
        <a:blip xmlns:r="http://schemas.openxmlformats.org/officeDocument/2006/relationships" r:embed="rId4"/>
        <a:stretch>
          <a:fillRect/>
        </a:stretch>
      </xdr:blipFill>
      <xdr:spPr>
        <a:xfrm>
          <a:off x="27454860" y="10607040"/>
          <a:ext cx="818333" cy="2951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1095375</xdr:colOff>
      <xdr:row>349</xdr:row>
      <xdr:rowOff>123825</xdr:rowOff>
    </xdr:from>
    <xdr:to>
      <xdr:col>28</xdr:col>
      <xdr:colOff>1895475</xdr:colOff>
      <xdr:row>351</xdr:row>
      <xdr:rowOff>152400</xdr:rowOff>
    </xdr:to>
    <xdr:pic>
      <xdr:nvPicPr>
        <xdr:cNvPr id="2" name="Picture 1" descr="C:\WINDOWS\TEMP\~0003946.gif">
          <a:extLst>
            <a:ext uri="{FF2B5EF4-FFF2-40B4-BE49-F238E27FC236}">
              <a16:creationId xmlns:a16="http://schemas.microsoft.com/office/drawing/2014/main" id="{909D3EFD-4095-4CC5-97C4-736B451375E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9745" y="7106793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236</xdr:row>
      <xdr:rowOff>152400</xdr:rowOff>
    </xdr:from>
    <xdr:to>
      <xdr:col>28</xdr:col>
      <xdr:colOff>1924050</xdr:colOff>
      <xdr:row>237</xdr:row>
      <xdr:rowOff>180975</xdr:rowOff>
    </xdr:to>
    <xdr:pic>
      <xdr:nvPicPr>
        <xdr:cNvPr id="3" name="Picture 2" descr="C:\WINDOWS\TEMP\~0003946.gif">
          <a:extLst>
            <a:ext uri="{FF2B5EF4-FFF2-40B4-BE49-F238E27FC236}">
              <a16:creationId xmlns:a16="http://schemas.microsoft.com/office/drawing/2014/main" id="{D7444CC8-7C81-4D89-9D2C-5565E67E9C4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7840" y="4839652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121CF768-7896-4B65-949C-B64FB653238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2750058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9B651EBF-5F6B-4625-9272-0B2B53AB1BD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1086993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321198</xdr:colOff>
      <xdr:row>53</xdr:row>
      <xdr:rowOff>132608</xdr:rowOff>
    </xdr:to>
    <xdr:pic>
      <xdr:nvPicPr>
        <xdr:cNvPr id="6" name="Picture 5">
          <a:extLst>
            <a:ext uri="{FF2B5EF4-FFF2-40B4-BE49-F238E27FC236}">
              <a16:creationId xmlns:a16="http://schemas.microsoft.com/office/drawing/2014/main" id="{7DC1D445-DAFC-4AA3-AD87-5B00B240611E}"/>
            </a:ext>
          </a:extLst>
        </xdr:cNvPr>
        <xdr:cNvPicPr>
          <a:picLocks noChangeAspect="1"/>
        </xdr:cNvPicPr>
      </xdr:nvPicPr>
      <xdr:blipFill>
        <a:blip xmlns:r="http://schemas.openxmlformats.org/officeDocument/2006/relationships" r:embed="rId3"/>
        <a:stretch>
          <a:fillRect/>
        </a:stretch>
      </xdr:blipFill>
      <xdr:spPr>
        <a:xfrm>
          <a:off x="135890" y="10820400"/>
          <a:ext cx="185308" cy="218333"/>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206903</xdr:rowOff>
    </xdr:to>
    <xdr:pic>
      <xdr:nvPicPr>
        <xdr:cNvPr id="7" name="Picture 6">
          <a:extLst>
            <a:ext uri="{FF2B5EF4-FFF2-40B4-BE49-F238E27FC236}">
              <a16:creationId xmlns:a16="http://schemas.microsoft.com/office/drawing/2014/main" id="{56AEA00E-0C90-4152-BFE9-0D4C833F734B}"/>
            </a:ext>
          </a:extLst>
        </xdr:cNvPr>
        <xdr:cNvPicPr>
          <a:picLocks noChangeAspect="1"/>
        </xdr:cNvPicPr>
      </xdr:nvPicPr>
      <xdr:blipFill>
        <a:blip xmlns:r="http://schemas.openxmlformats.org/officeDocument/2006/relationships" r:embed="rId3"/>
        <a:stretch>
          <a:fillRect/>
        </a:stretch>
      </xdr:blipFill>
      <xdr:spPr>
        <a:xfrm>
          <a:off x="168910" y="27510740"/>
          <a:ext cx="164988" cy="232938"/>
        </a:xfrm>
        <a:prstGeom prst="rect">
          <a:avLst/>
        </a:prstGeom>
      </xdr:spPr>
    </xdr:pic>
    <xdr:clientData/>
  </xdr:twoCellAnchor>
  <xdr:twoCellAnchor editAs="oneCell">
    <xdr:from>
      <xdr:col>0</xdr:col>
      <xdr:colOff>139700</xdr:colOff>
      <xdr:row>236</xdr:row>
      <xdr:rowOff>152400</xdr:rowOff>
    </xdr:from>
    <xdr:to>
      <xdr:col>0</xdr:col>
      <xdr:colOff>321198</xdr:colOff>
      <xdr:row>237</xdr:row>
      <xdr:rowOff>170708</xdr:rowOff>
    </xdr:to>
    <xdr:pic>
      <xdr:nvPicPr>
        <xdr:cNvPr id="8" name="Picture 7">
          <a:extLst>
            <a:ext uri="{FF2B5EF4-FFF2-40B4-BE49-F238E27FC236}">
              <a16:creationId xmlns:a16="http://schemas.microsoft.com/office/drawing/2014/main" id="{8A757FD3-08D4-4AA0-BC3C-89F34C0684DD}"/>
            </a:ext>
          </a:extLst>
        </xdr:cNvPr>
        <xdr:cNvPicPr>
          <a:picLocks noChangeAspect="1"/>
        </xdr:cNvPicPr>
      </xdr:nvPicPr>
      <xdr:blipFill>
        <a:blip xmlns:r="http://schemas.openxmlformats.org/officeDocument/2006/relationships" r:embed="rId3"/>
        <a:stretch>
          <a:fillRect/>
        </a:stretch>
      </xdr:blipFill>
      <xdr:spPr>
        <a:xfrm>
          <a:off x="135890" y="48396525"/>
          <a:ext cx="185308" cy="218333"/>
        </a:xfrm>
        <a:prstGeom prst="rect">
          <a:avLst/>
        </a:prstGeom>
      </xdr:spPr>
    </xdr:pic>
    <xdr:clientData/>
  </xdr:twoCellAnchor>
  <xdr:twoCellAnchor editAs="oneCell">
    <xdr:from>
      <xdr:col>0</xdr:col>
      <xdr:colOff>139700</xdr:colOff>
      <xdr:row>349</xdr:row>
      <xdr:rowOff>127000</xdr:rowOff>
    </xdr:from>
    <xdr:to>
      <xdr:col>0</xdr:col>
      <xdr:colOff>321198</xdr:colOff>
      <xdr:row>350</xdr:row>
      <xdr:rowOff>114646</xdr:rowOff>
    </xdr:to>
    <xdr:pic>
      <xdr:nvPicPr>
        <xdr:cNvPr id="9" name="Picture 8">
          <a:extLst>
            <a:ext uri="{FF2B5EF4-FFF2-40B4-BE49-F238E27FC236}">
              <a16:creationId xmlns:a16="http://schemas.microsoft.com/office/drawing/2014/main" id="{EC8C1794-B6F9-4F12-9C5A-AAF2399B11F2}"/>
            </a:ext>
          </a:extLst>
        </xdr:cNvPr>
        <xdr:cNvPicPr>
          <a:picLocks noChangeAspect="1"/>
        </xdr:cNvPicPr>
      </xdr:nvPicPr>
      <xdr:blipFill>
        <a:blip xmlns:r="http://schemas.openxmlformats.org/officeDocument/2006/relationships" r:embed="rId3"/>
        <a:stretch>
          <a:fillRect/>
        </a:stretch>
      </xdr:blipFill>
      <xdr:spPr>
        <a:xfrm>
          <a:off x="135890" y="71073010"/>
          <a:ext cx="185308" cy="212436"/>
        </a:xfrm>
        <a:prstGeom prst="rect">
          <a:avLst/>
        </a:prstGeom>
      </xdr:spPr>
    </xdr:pic>
    <xdr:clientData/>
  </xdr:twoCellAnchor>
  <xdr:twoCellAnchor editAs="oneCell">
    <xdr:from>
      <xdr:col>28</xdr:col>
      <xdr:colOff>0</xdr:colOff>
      <xdr:row>349</xdr:row>
      <xdr:rowOff>0</xdr:rowOff>
    </xdr:from>
    <xdr:to>
      <xdr:col>28</xdr:col>
      <xdr:colOff>822143</xdr:colOff>
      <xdr:row>350</xdr:row>
      <xdr:rowOff>58771</xdr:rowOff>
    </xdr:to>
    <xdr:pic>
      <xdr:nvPicPr>
        <xdr:cNvPr id="10" name="Picture 9">
          <a:extLst>
            <a:ext uri="{FF2B5EF4-FFF2-40B4-BE49-F238E27FC236}">
              <a16:creationId xmlns:a16="http://schemas.microsoft.com/office/drawing/2014/main" id="{9FD38F78-84AA-4058-A00F-5CE6E72B269E}"/>
            </a:ext>
          </a:extLst>
        </xdr:cNvPr>
        <xdr:cNvPicPr>
          <a:picLocks noChangeAspect="1"/>
        </xdr:cNvPicPr>
      </xdr:nvPicPr>
      <xdr:blipFill>
        <a:blip xmlns:r="http://schemas.openxmlformats.org/officeDocument/2006/relationships" r:embed="rId4"/>
        <a:stretch>
          <a:fillRect/>
        </a:stretch>
      </xdr:blipFill>
      <xdr:spPr>
        <a:xfrm>
          <a:off x="27441525" y="70942200"/>
          <a:ext cx="822143" cy="287371"/>
        </a:xfrm>
        <a:prstGeom prst="rect">
          <a:avLst/>
        </a:prstGeom>
      </xdr:spPr>
    </xdr:pic>
    <xdr:clientData/>
  </xdr:twoCellAnchor>
  <xdr:twoCellAnchor editAs="oneCell">
    <xdr:from>
      <xdr:col>28</xdr:col>
      <xdr:colOff>63500</xdr:colOff>
      <xdr:row>236</xdr:row>
      <xdr:rowOff>88900</xdr:rowOff>
    </xdr:from>
    <xdr:to>
      <xdr:col>28</xdr:col>
      <xdr:colOff>896438</xdr:colOff>
      <xdr:row>237</xdr:row>
      <xdr:rowOff>173888</xdr:rowOff>
    </xdr:to>
    <xdr:pic>
      <xdr:nvPicPr>
        <xdr:cNvPr id="11" name="Picture 10">
          <a:extLst>
            <a:ext uri="{FF2B5EF4-FFF2-40B4-BE49-F238E27FC236}">
              <a16:creationId xmlns:a16="http://schemas.microsoft.com/office/drawing/2014/main" id="{6CEF9CAA-00E8-475B-9B02-EB12494B1AA1}"/>
            </a:ext>
          </a:extLst>
        </xdr:cNvPr>
        <xdr:cNvPicPr>
          <a:picLocks noChangeAspect="1"/>
        </xdr:cNvPicPr>
      </xdr:nvPicPr>
      <xdr:blipFill>
        <a:blip xmlns:r="http://schemas.openxmlformats.org/officeDocument/2006/relationships" r:embed="rId4"/>
        <a:stretch>
          <a:fillRect/>
        </a:stretch>
      </xdr:blipFill>
      <xdr:spPr>
        <a:xfrm>
          <a:off x="27501215" y="48336835"/>
          <a:ext cx="836748" cy="281203"/>
        </a:xfrm>
        <a:prstGeom prst="rect">
          <a:avLst/>
        </a:prstGeom>
      </xdr:spPr>
    </xdr:pic>
    <xdr:clientData/>
  </xdr:twoCellAnchor>
  <xdr:twoCellAnchor editAs="oneCell">
    <xdr:from>
      <xdr:col>28</xdr:col>
      <xdr:colOff>25400</xdr:colOff>
      <xdr:row>132</xdr:row>
      <xdr:rowOff>76200</xdr:rowOff>
    </xdr:from>
    <xdr:to>
      <xdr:col>28</xdr:col>
      <xdr:colOff>858338</xdr:colOff>
      <xdr:row>133</xdr:row>
      <xdr:rowOff>169443</xdr:rowOff>
    </xdr:to>
    <xdr:pic>
      <xdr:nvPicPr>
        <xdr:cNvPr id="12" name="Picture 11">
          <a:extLst>
            <a:ext uri="{FF2B5EF4-FFF2-40B4-BE49-F238E27FC236}">
              <a16:creationId xmlns:a16="http://schemas.microsoft.com/office/drawing/2014/main" id="{A178FEF8-16A8-4589-BF7A-E70617DCA10B}"/>
            </a:ext>
          </a:extLst>
        </xdr:cNvPr>
        <xdr:cNvPicPr>
          <a:picLocks noChangeAspect="1"/>
        </xdr:cNvPicPr>
      </xdr:nvPicPr>
      <xdr:blipFill>
        <a:blip xmlns:r="http://schemas.openxmlformats.org/officeDocument/2006/relationships" r:embed="rId4"/>
        <a:stretch>
          <a:fillRect/>
        </a:stretch>
      </xdr:blipFill>
      <xdr:spPr>
        <a:xfrm>
          <a:off x="27463115" y="27412950"/>
          <a:ext cx="836748" cy="293268"/>
        </a:xfrm>
        <a:prstGeom prst="rect">
          <a:avLst/>
        </a:prstGeom>
      </xdr:spPr>
    </xdr:pic>
    <xdr:clientData/>
  </xdr:twoCellAnchor>
  <xdr:twoCellAnchor editAs="oneCell">
    <xdr:from>
      <xdr:col>28</xdr:col>
      <xdr:colOff>0</xdr:colOff>
      <xdr:row>52</xdr:row>
      <xdr:rowOff>0</xdr:rowOff>
    </xdr:from>
    <xdr:to>
      <xdr:col>28</xdr:col>
      <xdr:colOff>822143</xdr:colOff>
      <xdr:row>53</xdr:row>
      <xdr:rowOff>93243</xdr:rowOff>
    </xdr:to>
    <xdr:pic>
      <xdr:nvPicPr>
        <xdr:cNvPr id="13" name="Picture 12">
          <a:extLst>
            <a:ext uri="{FF2B5EF4-FFF2-40B4-BE49-F238E27FC236}">
              <a16:creationId xmlns:a16="http://schemas.microsoft.com/office/drawing/2014/main" id="{01DE1892-0C16-4310-B4CB-0F2D36AA6F06}"/>
            </a:ext>
          </a:extLst>
        </xdr:cNvPr>
        <xdr:cNvPicPr>
          <a:picLocks noChangeAspect="1"/>
        </xdr:cNvPicPr>
      </xdr:nvPicPr>
      <xdr:blipFill>
        <a:blip xmlns:r="http://schemas.openxmlformats.org/officeDocument/2006/relationships" r:embed="rId4"/>
        <a:stretch>
          <a:fillRect/>
        </a:stretch>
      </xdr:blipFill>
      <xdr:spPr>
        <a:xfrm>
          <a:off x="27441525" y="10706100"/>
          <a:ext cx="822143" cy="29326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28</xdr:col>
      <xdr:colOff>1095375</xdr:colOff>
      <xdr:row>349</xdr:row>
      <xdr:rowOff>123825</xdr:rowOff>
    </xdr:from>
    <xdr:to>
      <xdr:col>28</xdr:col>
      <xdr:colOff>1895475</xdr:colOff>
      <xdr:row>351</xdr:row>
      <xdr:rowOff>152400</xdr:rowOff>
    </xdr:to>
    <xdr:pic>
      <xdr:nvPicPr>
        <xdr:cNvPr id="2" name="Picture 1" descr="C:\WINDOWS\TEMP\~0003946.gif">
          <a:extLst>
            <a:ext uri="{FF2B5EF4-FFF2-40B4-BE49-F238E27FC236}">
              <a16:creationId xmlns:a16="http://schemas.microsoft.com/office/drawing/2014/main" id="{CA565BFE-1B81-4767-83AA-73663885D4F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9745" y="7106793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236</xdr:row>
      <xdr:rowOff>152400</xdr:rowOff>
    </xdr:from>
    <xdr:to>
      <xdr:col>28</xdr:col>
      <xdr:colOff>1924050</xdr:colOff>
      <xdr:row>237</xdr:row>
      <xdr:rowOff>180975</xdr:rowOff>
    </xdr:to>
    <xdr:pic>
      <xdr:nvPicPr>
        <xdr:cNvPr id="3" name="Picture 2" descr="C:\WINDOWS\TEMP\~0003946.gif">
          <a:extLst>
            <a:ext uri="{FF2B5EF4-FFF2-40B4-BE49-F238E27FC236}">
              <a16:creationId xmlns:a16="http://schemas.microsoft.com/office/drawing/2014/main" id="{41DB2B63-ADCE-41DF-9C03-B84CBCC015C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7840" y="4839652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B7EDF37F-2B3C-4CFD-8135-4C6B0A5728E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2750058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6FDAA1E1-9095-4979-8BDD-478D6214B9E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1086993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1</xdr:col>
      <xdr:colOff>886</xdr:colOff>
      <xdr:row>53</xdr:row>
      <xdr:rowOff>147848</xdr:rowOff>
    </xdr:to>
    <xdr:pic>
      <xdr:nvPicPr>
        <xdr:cNvPr id="6" name="Picture 5">
          <a:extLst>
            <a:ext uri="{FF2B5EF4-FFF2-40B4-BE49-F238E27FC236}">
              <a16:creationId xmlns:a16="http://schemas.microsoft.com/office/drawing/2014/main" id="{C7D77733-D67C-4BC6-BA44-5164CF6DE0AD}"/>
            </a:ext>
          </a:extLst>
        </xdr:cNvPr>
        <xdr:cNvPicPr>
          <a:picLocks noChangeAspect="1"/>
        </xdr:cNvPicPr>
      </xdr:nvPicPr>
      <xdr:blipFill>
        <a:blip xmlns:r="http://schemas.openxmlformats.org/officeDocument/2006/relationships" r:embed="rId3"/>
        <a:stretch>
          <a:fillRect/>
        </a:stretch>
      </xdr:blipFill>
      <xdr:spPr>
        <a:xfrm>
          <a:off x="135890" y="10820400"/>
          <a:ext cx="189118" cy="222143"/>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224048</xdr:rowOff>
    </xdr:to>
    <xdr:pic>
      <xdr:nvPicPr>
        <xdr:cNvPr id="7" name="Picture 6">
          <a:extLst>
            <a:ext uri="{FF2B5EF4-FFF2-40B4-BE49-F238E27FC236}">
              <a16:creationId xmlns:a16="http://schemas.microsoft.com/office/drawing/2014/main" id="{4DCD0F35-AC6C-48B6-9D48-C276DCEF591E}"/>
            </a:ext>
          </a:extLst>
        </xdr:cNvPr>
        <xdr:cNvPicPr>
          <a:picLocks noChangeAspect="1"/>
        </xdr:cNvPicPr>
      </xdr:nvPicPr>
      <xdr:blipFill>
        <a:blip xmlns:r="http://schemas.openxmlformats.org/officeDocument/2006/relationships" r:embed="rId3"/>
        <a:stretch>
          <a:fillRect/>
        </a:stretch>
      </xdr:blipFill>
      <xdr:spPr>
        <a:xfrm>
          <a:off x="168910" y="27510740"/>
          <a:ext cx="164988" cy="236748"/>
        </a:xfrm>
        <a:prstGeom prst="rect">
          <a:avLst/>
        </a:prstGeom>
      </xdr:spPr>
    </xdr:pic>
    <xdr:clientData/>
  </xdr:twoCellAnchor>
  <xdr:twoCellAnchor editAs="oneCell">
    <xdr:from>
      <xdr:col>0</xdr:col>
      <xdr:colOff>139700</xdr:colOff>
      <xdr:row>236</xdr:row>
      <xdr:rowOff>152400</xdr:rowOff>
    </xdr:from>
    <xdr:to>
      <xdr:col>1</xdr:col>
      <xdr:colOff>886</xdr:colOff>
      <xdr:row>237</xdr:row>
      <xdr:rowOff>185948</xdr:rowOff>
    </xdr:to>
    <xdr:pic>
      <xdr:nvPicPr>
        <xdr:cNvPr id="8" name="Picture 7">
          <a:extLst>
            <a:ext uri="{FF2B5EF4-FFF2-40B4-BE49-F238E27FC236}">
              <a16:creationId xmlns:a16="http://schemas.microsoft.com/office/drawing/2014/main" id="{3A29E736-0B0B-4487-B5B0-CFB623712D38}"/>
            </a:ext>
          </a:extLst>
        </xdr:cNvPr>
        <xdr:cNvPicPr>
          <a:picLocks noChangeAspect="1"/>
        </xdr:cNvPicPr>
      </xdr:nvPicPr>
      <xdr:blipFill>
        <a:blip xmlns:r="http://schemas.openxmlformats.org/officeDocument/2006/relationships" r:embed="rId3"/>
        <a:stretch>
          <a:fillRect/>
        </a:stretch>
      </xdr:blipFill>
      <xdr:spPr>
        <a:xfrm>
          <a:off x="135890" y="48396525"/>
          <a:ext cx="189118" cy="222143"/>
        </a:xfrm>
        <a:prstGeom prst="rect">
          <a:avLst/>
        </a:prstGeom>
      </xdr:spPr>
    </xdr:pic>
    <xdr:clientData/>
  </xdr:twoCellAnchor>
  <xdr:twoCellAnchor editAs="oneCell">
    <xdr:from>
      <xdr:col>0</xdr:col>
      <xdr:colOff>139700</xdr:colOff>
      <xdr:row>349</xdr:row>
      <xdr:rowOff>127000</xdr:rowOff>
    </xdr:from>
    <xdr:to>
      <xdr:col>1</xdr:col>
      <xdr:colOff>886</xdr:colOff>
      <xdr:row>350</xdr:row>
      <xdr:rowOff>114646</xdr:rowOff>
    </xdr:to>
    <xdr:pic>
      <xdr:nvPicPr>
        <xdr:cNvPr id="9" name="Picture 8">
          <a:extLst>
            <a:ext uri="{FF2B5EF4-FFF2-40B4-BE49-F238E27FC236}">
              <a16:creationId xmlns:a16="http://schemas.microsoft.com/office/drawing/2014/main" id="{9C83EAA6-F244-4A4F-B428-4C0550EF65B6}"/>
            </a:ext>
          </a:extLst>
        </xdr:cNvPr>
        <xdr:cNvPicPr>
          <a:picLocks noChangeAspect="1"/>
        </xdr:cNvPicPr>
      </xdr:nvPicPr>
      <xdr:blipFill>
        <a:blip xmlns:r="http://schemas.openxmlformats.org/officeDocument/2006/relationships" r:embed="rId3"/>
        <a:stretch>
          <a:fillRect/>
        </a:stretch>
      </xdr:blipFill>
      <xdr:spPr>
        <a:xfrm>
          <a:off x="135890" y="71073010"/>
          <a:ext cx="189118" cy="212436"/>
        </a:xfrm>
        <a:prstGeom prst="rect">
          <a:avLst/>
        </a:prstGeom>
      </xdr:spPr>
    </xdr:pic>
    <xdr:clientData/>
  </xdr:twoCellAnchor>
  <xdr:twoCellAnchor editAs="oneCell">
    <xdr:from>
      <xdr:col>28</xdr:col>
      <xdr:colOff>0</xdr:colOff>
      <xdr:row>349</xdr:row>
      <xdr:rowOff>0</xdr:rowOff>
    </xdr:from>
    <xdr:to>
      <xdr:col>28</xdr:col>
      <xdr:colOff>833573</xdr:colOff>
      <xdr:row>350</xdr:row>
      <xdr:rowOff>72106</xdr:rowOff>
    </xdr:to>
    <xdr:pic>
      <xdr:nvPicPr>
        <xdr:cNvPr id="10" name="Picture 9">
          <a:extLst>
            <a:ext uri="{FF2B5EF4-FFF2-40B4-BE49-F238E27FC236}">
              <a16:creationId xmlns:a16="http://schemas.microsoft.com/office/drawing/2014/main" id="{1F412F39-36EE-4310-BF0B-83AC6C3794EC}"/>
            </a:ext>
          </a:extLst>
        </xdr:cNvPr>
        <xdr:cNvPicPr>
          <a:picLocks noChangeAspect="1"/>
        </xdr:cNvPicPr>
      </xdr:nvPicPr>
      <xdr:blipFill>
        <a:blip xmlns:r="http://schemas.openxmlformats.org/officeDocument/2006/relationships" r:embed="rId4"/>
        <a:stretch>
          <a:fillRect/>
        </a:stretch>
      </xdr:blipFill>
      <xdr:spPr>
        <a:xfrm>
          <a:off x="27441525" y="70942200"/>
          <a:ext cx="818333" cy="283561"/>
        </a:xfrm>
        <a:prstGeom prst="rect">
          <a:avLst/>
        </a:prstGeom>
      </xdr:spPr>
    </xdr:pic>
    <xdr:clientData/>
  </xdr:twoCellAnchor>
  <xdr:twoCellAnchor editAs="oneCell">
    <xdr:from>
      <xdr:col>28</xdr:col>
      <xdr:colOff>63500</xdr:colOff>
      <xdr:row>236</xdr:row>
      <xdr:rowOff>88900</xdr:rowOff>
    </xdr:from>
    <xdr:to>
      <xdr:col>28</xdr:col>
      <xdr:colOff>909773</xdr:colOff>
      <xdr:row>237</xdr:row>
      <xdr:rowOff>187223</xdr:rowOff>
    </xdr:to>
    <xdr:pic>
      <xdr:nvPicPr>
        <xdr:cNvPr id="11" name="Picture 10">
          <a:extLst>
            <a:ext uri="{FF2B5EF4-FFF2-40B4-BE49-F238E27FC236}">
              <a16:creationId xmlns:a16="http://schemas.microsoft.com/office/drawing/2014/main" id="{E146F990-2174-483E-B7E4-1E159B672827}"/>
            </a:ext>
          </a:extLst>
        </xdr:cNvPr>
        <xdr:cNvPicPr>
          <a:picLocks noChangeAspect="1"/>
        </xdr:cNvPicPr>
      </xdr:nvPicPr>
      <xdr:blipFill>
        <a:blip xmlns:r="http://schemas.openxmlformats.org/officeDocument/2006/relationships" r:embed="rId4"/>
        <a:stretch>
          <a:fillRect/>
        </a:stretch>
      </xdr:blipFill>
      <xdr:spPr>
        <a:xfrm>
          <a:off x="27501215" y="48336835"/>
          <a:ext cx="832938" cy="277393"/>
        </a:xfrm>
        <a:prstGeom prst="rect">
          <a:avLst/>
        </a:prstGeom>
      </xdr:spPr>
    </xdr:pic>
    <xdr:clientData/>
  </xdr:twoCellAnchor>
  <xdr:twoCellAnchor editAs="oneCell">
    <xdr:from>
      <xdr:col>28</xdr:col>
      <xdr:colOff>25400</xdr:colOff>
      <xdr:row>132</xdr:row>
      <xdr:rowOff>76200</xdr:rowOff>
    </xdr:from>
    <xdr:to>
      <xdr:col>28</xdr:col>
      <xdr:colOff>871673</xdr:colOff>
      <xdr:row>133</xdr:row>
      <xdr:rowOff>186588</xdr:rowOff>
    </xdr:to>
    <xdr:pic>
      <xdr:nvPicPr>
        <xdr:cNvPr id="12" name="Picture 11">
          <a:extLst>
            <a:ext uri="{FF2B5EF4-FFF2-40B4-BE49-F238E27FC236}">
              <a16:creationId xmlns:a16="http://schemas.microsoft.com/office/drawing/2014/main" id="{152D55FC-D751-4637-8F2A-BF52E0EED19C}"/>
            </a:ext>
          </a:extLst>
        </xdr:cNvPr>
        <xdr:cNvPicPr>
          <a:picLocks noChangeAspect="1"/>
        </xdr:cNvPicPr>
      </xdr:nvPicPr>
      <xdr:blipFill>
        <a:blip xmlns:r="http://schemas.openxmlformats.org/officeDocument/2006/relationships" r:embed="rId4"/>
        <a:stretch>
          <a:fillRect/>
        </a:stretch>
      </xdr:blipFill>
      <xdr:spPr>
        <a:xfrm>
          <a:off x="27463115" y="27412950"/>
          <a:ext cx="832938" cy="297078"/>
        </a:xfrm>
        <a:prstGeom prst="rect">
          <a:avLst/>
        </a:prstGeom>
      </xdr:spPr>
    </xdr:pic>
    <xdr:clientData/>
  </xdr:twoCellAnchor>
  <xdr:twoCellAnchor editAs="oneCell">
    <xdr:from>
      <xdr:col>28</xdr:col>
      <xdr:colOff>0</xdr:colOff>
      <xdr:row>52</xdr:row>
      <xdr:rowOff>0</xdr:rowOff>
    </xdr:from>
    <xdr:to>
      <xdr:col>28</xdr:col>
      <xdr:colOff>833573</xdr:colOff>
      <xdr:row>53</xdr:row>
      <xdr:rowOff>110388</xdr:rowOff>
    </xdr:to>
    <xdr:pic>
      <xdr:nvPicPr>
        <xdr:cNvPr id="13" name="Picture 12">
          <a:extLst>
            <a:ext uri="{FF2B5EF4-FFF2-40B4-BE49-F238E27FC236}">
              <a16:creationId xmlns:a16="http://schemas.microsoft.com/office/drawing/2014/main" id="{A43419E8-DEC0-4F1B-AC7A-049E0594AEF2}"/>
            </a:ext>
          </a:extLst>
        </xdr:cNvPr>
        <xdr:cNvPicPr>
          <a:picLocks noChangeAspect="1"/>
        </xdr:cNvPicPr>
      </xdr:nvPicPr>
      <xdr:blipFill>
        <a:blip xmlns:r="http://schemas.openxmlformats.org/officeDocument/2006/relationships" r:embed="rId4"/>
        <a:stretch>
          <a:fillRect/>
        </a:stretch>
      </xdr:blipFill>
      <xdr:spPr>
        <a:xfrm>
          <a:off x="27441525" y="10706100"/>
          <a:ext cx="818333" cy="2970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28</xdr:col>
      <xdr:colOff>1095375</xdr:colOff>
      <xdr:row>349</xdr:row>
      <xdr:rowOff>123825</xdr:rowOff>
    </xdr:from>
    <xdr:to>
      <xdr:col>28</xdr:col>
      <xdr:colOff>1895475</xdr:colOff>
      <xdr:row>351</xdr:row>
      <xdr:rowOff>152400</xdr:rowOff>
    </xdr:to>
    <xdr:pic>
      <xdr:nvPicPr>
        <xdr:cNvPr id="2" name="Picture 1" descr="C:\WINDOWS\TEMP\~0003946.gif">
          <a:extLst>
            <a:ext uri="{FF2B5EF4-FFF2-40B4-BE49-F238E27FC236}">
              <a16:creationId xmlns:a16="http://schemas.microsoft.com/office/drawing/2014/main" id="{79B2FD31-33F5-4FAA-BC9F-99BD4A62E92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9745" y="7106793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236</xdr:row>
      <xdr:rowOff>152400</xdr:rowOff>
    </xdr:from>
    <xdr:to>
      <xdr:col>28</xdr:col>
      <xdr:colOff>1924050</xdr:colOff>
      <xdr:row>237</xdr:row>
      <xdr:rowOff>180975</xdr:rowOff>
    </xdr:to>
    <xdr:pic>
      <xdr:nvPicPr>
        <xdr:cNvPr id="3" name="Picture 2" descr="C:\WINDOWS\TEMP\~0003946.gif">
          <a:extLst>
            <a:ext uri="{FF2B5EF4-FFF2-40B4-BE49-F238E27FC236}">
              <a16:creationId xmlns:a16="http://schemas.microsoft.com/office/drawing/2014/main" id="{364F3BF9-6F49-4670-9718-8BF26255FEB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7840" y="4839652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B07BF21B-1929-46E0-829E-834B9405CF8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2750058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C37DC502-2A1E-4368-9926-1CFFAD4EB75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1086993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1</xdr:col>
      <xdr:colOff>886</xdr:colOff>
      <xdr:row>53</xdr:row>
      <xdr:rowOff>136418</xdr:rowOff>
    </xdr:to>
    <xdr:pic>
      <xdr:nvPicPr>
        <xdr:cNvPr id="6" name="Picture 5">
          <a:extLst>
            <a:ext uri="{FF2B5EF4-FFF2-40B4-BE49-F238E27FC236}">
              <a16:creationId xmlns:a16="http://schemas.microsoft.com/office/drawing/2014/main" id="{C8D6EE8B-25F5-4DFD-BBC5-B450FB23FD2F}"/>
            </a:ext>
          </a:extLst>
        </xdr:cNvPr>
        <xdr:cNvPicPr>
          <a:picLocks noChangeAspect="1"/>
        </xdr:cNvPicPr>
      </xdr:nvPicPr>
      <xdr:blipFill>
        <a:blip xmlns:r="http://schemas.openxmlformats.org/officeDocument/2006/relationships" r:embed="rId3"/>
        <a:stretch>
          <a:fillRect/>
        </a:stretch>
      </xdr:blipFill>
      <xdr:spPr>
        <a:xfrm>
          <a:off x="135890" y="10820400"/>
          <a:ext cx="198371" cy="231668"/>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212618</xdr:rowOff>
    </xdr:to>
    <xdr:pic>
      <xdr:nvPicPr>
        <xdr:cNvPr id="7" name="Picture 6">
          <a:extLst>
            <a:ext uri="{FF2B5EF4-FFF2-40B4-BE49-F238E27FC236}">
              <a16:creationId xmlns:a16="http://schemas.microsoft.com/office/drawing/2014/main" id="{BB24CE76-90FD-481F-A47A-3E3107DE4921}"/>
            </a:ext>
          </a:extLst>
        </xdr:cNvPr>
        <xdr:cNvPicPr>
          <a:picLocks noChangeAspect="1"/>
        </xdr:cNvPicPr>
      </xdr:nvPicPr>
      <xdr:blipFill>
        <a:blip xmlns:r="http://schemas.openxmlformats.org/officeDocument/2006/relationships" r:embed="rId3"/>
        <a:stretch>
          <a:fillRect/>
        </a:stretch>
      </xdr:blipFill>
      <xdr:spPr>
        <a:xfrm>
          <a:off x="168910" y="27510740"/>
          <a:ext cx="164988" cy="248178"/>
        </a:xfrm>
        <a:prstGeom prst="rect">
          <a:avLst/>
        </a:prstGeom>
      </xdr:spPr>
    </xdr:pic>
    <xdr:clientData/>
  </xdr:twoCellAnchor>
  <xdr:twoCellAnchor editAs="oneCell">
    <xdr:from>
      <xdr:col>0</xdr:col>
      <xdr:colOff>139700</xdr:colOff>
      <xdr:row>236</xdr:row>
      <xdr:rowOff>152400</xdr:rowOff>
    </xdr:from>
    <xdr:to>
      <xdr:col>1</xdr:col>
      <xdr:colOff>886</xdr:colOff>
      <xdr:row>237</xdr:row>
      <xdr:rowOff>174518</xdr:rowOff>
    </xdr:to>
    <xdr:pic>
      <xdr:nvPicPr>
        <xdr:cNvPr id="8" name="Picture 7">
          <a:extLst>
            <a:ext uri="{FF2B5EF4-FFF2-40B4-BE49-F238E27FC236}">
              <a16:creationId xmlns:a16="http://schemas.microsoft.com/office/drawing/2014/main" id="{15DC363E-9D82-4A81-B301-4391C6C61A38}"/>
            </a:ext>
          </a:extLst>
        </xdr:cNvPr>
        <xdr:cNvPicPr>
          <a:picLocks noChangeAspect="1"/>
        </xdr:cNvPicPr>
      </xdr:nvPicPr>
      <xdr:blipFill>
        <a:blip xmlns:r="http://schemas.openxmlformats.org/officeDocument/2006/relationships" r:embed="rId3"/>
        <a:stretch>
          <a:fillRect/>
        </a:stretch>
      </xdr:blipFill>
      <xdr:spPr>
        <a:xfrm>
          <a:off x="135890" y="48396525"/>
          <a:ext cx="198371" cy="231668"/>
        </a:xfrm>
        <a:prstGeom prst="rect">
          <a:avLst/>
        </a:prstGeom>
      </xdr:spPr>
    </xdr:pic>
    <xdr:clientData/>
  </xdr:twoCellAnchor>
  <xdr:twoCellAnchor editAs="oneCell">
    <xdr:from>
      <xdr:col>0</xdr:col>
      <xdr:colOff>139700</xdr:colOff>
      <xdr:row>349</xdr:row>
      <xdr:rowOff>127000</xdr:rowOff>
    </xdr:from>
    <xdr:to>
      <xdr:col>1</xdr:col>
      <xdr:colOff>886</xdr:colOff>
      <xdr:row>350</xdr:row>
      <xdr:rowOff>114646</xdr:rowOff>
    </xdr:to>
    <xdr:pic>
      <xdr:nvPicPr>
        <xdr:cNvPr id="9" name="Picture 8">
          <a:extLst>
            <a:ext uri="{FF2B5EF4-FFF2-40B4-BE49-F238E27FC236}">
              <a16:creationId xmlns:a16="http://schemas.microsoft.com/office/drawing/2014/main" id="{668ABE83-2056-4D2E-A612-D9A59ED1F3CF}"/>
            </a:ext>
          </a:extLst>
        </xdr:cNvPr>
        <xdr:cNvPicPr>
          <a:picLocks noChangeAspect="1"/>
        </xdr:cNvPicPr>
      </xdr:nvPicPr>
      <xdr:blipFill>
        <a:blip xmlns:r="http://schemas.openxmlformats.org/officeDocument/2006/relationships" r:embed="rId3"/>
        <a:stretch>
          <a:fillRect/>
        </a:stretch>
      </xdr:blipFill>
      <xdr:spPr>
        <a:xfrm>
          <a:off x="135890" y="71073010"/>
          <a:ext cx="198371" cy="212436"/>
        </a:xfrm>
        <a:prstGeom prst="rect">
          <a:avLst/>
        </a:prstGeom>
      </xdr:spPr>
    </xdr:pic>
    <xdr:clientData/>
  </xdr:twoCellAnchor>
  <xdr:twoCellAnchor editAs="oneCell">
    <xdr:from>
      <xdr:col>28</xdr:col>
      <xdr:colOff>0</xdr:colOff>
      <xdr:row>349</xdr:row>
      <xdr:rowOff>0</xdr:rowOff>
    </xdr:from>
    <xdr:to>
      <xdr:col>28</xdr:col>
      <xdr:colOff>822143</xdr:colOff>
      <xdr:row>350</xdr:row>
      <xdr:rowOff>60676</xdr:rowOff>
    </xdr:to>
    <xdr:pic>
      <xdr:nvPicPr>
        <xdr:cNvPr id="10" name="Picture 9">
          <a:extLst>
            <a:ext uri="{FF2B5EF4-FFF2-40B4-BE49-F238E27FC236}">
              <a16:creationId xmlns:a16="http://schemas.microsoft.com/office/drawing/2014/main" id="{F5FE7C2A-D2C4-427C-BCA4-E0D654A1F0E8}"/>
            </a:ext>
          </a:extLst>
        </xdr:cNvPr>
        <xdr:cNvPicPr>
          <a:picLocks noChangeAspect="1"/>
        </xdr:cNvPicPr>
      </xdr:nvPicPr>
      <xdr:blipFill>
        <a:blip xmlns:r="http://schemas.openxmlformats.org/officeDocument/2006/relationships" r:embed="rId4"/>
        <a:stretch>
          <a:fillRect/>
        </a:stretch>
      </xdr:blipFill>
      <xdr:spPr>
        <a:xfrm>
          <a:off x="27441525" y="70942200"/>
          <a:ext cx="831668" cy="298801"/>
        </a:xfrm>
        <a:prstGeom prst="rect">
          <a:avLst/>
        </a:prstGeom>
      </xdr:spPr>
    </xdr:pic>
    <xdr:clientData/>
  </xdr:twoCellAnchor>
  <xdr:twoCellAnchor editAs="oneCell">
    <xdr:from>
      <xdr:col>28</xdr:col>
      <xdr:colOff>63500</xdr:colOff>
      <xdr:row>236</xdr:row>
      <xdr:rowOff>88900</xdr:rowOff>
    </xdr:from>
    <xdr:to>
      <xdr:col>28</xdr:col>
      <xdr:colOff>898343</xdr:colOff>
      <xdr:row>237</xdr:row>
      <xdr:rowOff>187223</xdr:rowOff>
    </xdr:to>
    <xdr:pic>
      <xdr:nvPicPr>
        <xdr:cNvPr id="11" name="Picture 10">
          <a:extLst>
            <a:ext uri="{FF2B5EF4-FFF2-40B4-BE49-F238E27FC236}">
              <a16:creationId xmlns:a16="http://schemas.microsoft.com/office/drawing/2014/main" id="{37BD94F6-DC33-4AE9-83BE-CF3F3235091B}"/>
            </a:ext>
          </a:extLst>
        </xdr:cNvPr>
        <xdr:cNvPicPr>
          <a:picLocks noChangeAspect="1"/>
        </xdr:cNvPicPr>
      </xdr:nvPicPr>
      <xdr:blipFill>
        <a:blip xmlns:r="http://schemas.openxmlformats.org/officeDocument/2006/relationships" r:embed="rId4"/>
        <a:stretch>
          <a:fillRect/>
        </a:stretch>
      </xdr:blipFill>
      <xdr:spPr>
        <a:xfrm>
          <a:off x="27501215" y="48336835"/>
          <a:ext cx="848178" cy="294538"/>
        </a:xfrm>
        <a:prstGeom prst="rect">
          <a:avLst/>
        </a:prstGeom>
      </xdr:spPr>
    </xdr:pic>
    <xdr:clientData/>
  </xdr:twoCellAnchor>
  <xdr:twoCellAnchor editAs="oneCell">
    <xdr:from>
      <xdr:col>28</xdr:col>
      <xdr:colOff>25400</xdr:colOff>
      <xdr:row>132</xdr:row>
      <xdr:rowOff>76200</xdr:rowOff>
    </xdr:from>
    <xdr:to>
      <xdr:col>28</xdr:col>
      <xdr:colOff>860243</xdr:colOff>
      <xdr:row>133</xdr:row>
      <xdr:rowOff>175158</xdr:rowOff>
    </xdr:to>
    <xdr:pic>
      <xdr:nvPicPr>
        <xdr:cNvPr id="12" name="Picture 11">
          <a:extLst>
            <a:ext uri="{FF2B5EF4-FFF2-40B4-BE49-F238E27FC236}">
              <a16:creationId xmlns:a16="http://schemas.microsoft.com/office/drawing/2014/main" id="{4ADB3465-1579-46BB-B301-4E70A84507AD}"/>
            </a:ext>
          </a:extLst>
        </xdr:cNvPr>
        <xdr:cNvPicPr>
          <a:picLocks noChangeAspect="1"/>
        </xdr:cNvPicPr>
      </xdr:nvPicPr>
      <xdr:blipFill>
        <a:blip xmlns:r="http://schemas.openxmlformats.org/officeDocument/2006/relationships" r:embed="rId4"/>
        <a:stretch>
          <a:fillRect/>
        </a:stretch>
      </xdr:blipFill>
      <xdr:spPr>
        <a:xfrm>
          <a:off x="27463115" y="27412950"/>
          <a:ext cx="848178" cy="308508"/>
        </a:xfrm>
        <a:prstGeom prst="rect">
          <a:avLst/>
        </a:prstGeom>
      </xdr:spPr>
    </xdr:pic>
    <xdr:clientData/>
  </xdr:twoCellAnchor>
  <xdr:twoCellAnchor editAs="oneCell">
    <xdr:from>
      <xdr:col>28</xdr:col>
      <xdr:colOff>0</xdr:colOff>
      <xdr:row>52</xdr:row>
      <xdr:rowOff>0</xdr:rowOff>
    </xdr:from>
    <xdr:to>
      <xdr:col>28</xdr:col>
      <xdr:colOff>822143</xdr:colOff>
      <xdr:row>53</xdr:row>
      <xdr:rowOff>98958</xdr:rowOff>
    </xdr:to>
    <xdr:pic>
      <xdr:nvPicPr>
        <xdr:cNvPr id="13" name="Picture 12">
          <a:extLst>
            <a:ext uri="{FF2B5EF4-FFF2-40B4-BE49-F238E27FC236}">
              <a16:creationId xmlns:a16="http://schemas.microsoft.com/office/drawing/2014/main" id="{BFF66BAF-7AC0-47A1-9271-B0B2D23B7511}"/>
            </a:ext>
          </a:extLst>
        </xdr:cNvPr>
        <xdr:cNvPicPr>
          <a:picLocks noChangeAspect="1"/>
        </xdr:cNvPicPr>
      </xdr:nvPicPr>
      <xdr:blipFill>
        <a:blip xmlns:r="http://schemas.openxmlformats.org/officeDocument/2006/relationships" r:embed="rId4"/>
        <a:stretch>
          <a:fillRect/>
        </a:stretch>
      </xdr:blipFill>
      <xdr:spPr>
        <a:xfrm>
          <a:off x="27441525" y="10706100"/>
          <a:ext cx="831668" cy="30850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28</xdr:col>
      <xdr:colOff>1095375</xdr:colOff>
      <xdr:row>349</xdr:row>
      <xdr:rowOff>123825</xdr:rowOff>
    </xdr:from>
    <xdr:to>
      <xdr:col>28</xdr:col>
      <xdr:colOff>1895475</xdr:colOff>
      <xdr:row>351</xdr:row>
      <xdr:rowOff>152400</xdr:rowOff>
    </xdr:to>
    <xdr:pic>
      <xdr:nvPicPr>
        <xdr:cNvPr id="2" name="Picture 1" descr="C:\WINDOWS\TEMP\~0003946.gif">
          <a:extLst>
            <a:ext uri="{FF2B5EF4-FFF2-40B4-BE49-F238E27FC236}">
              <a16:creationId xmlns:a16="http://schemas.microsoft.com/office/drawing/2014/main" id="{423D2480-97B2-4758-B645-C7DEB404E5D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17925" y="7113270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236</xdr:row>
      <xdr:rowOff>152400</xdr:rowOff>
    </xdr:from>
    <xdr:to>
      <xdr:col>28</xdr:col>
      <xdr:colOff>1924050</xdr:colOff>
      <xdr:row>237</xdr:row>
      <xdr:rowOff>180975</xdr:rowOff>
    </xdr:to>
    <xdr:pic>
      <xdr:nvPicPr>
        <xdr:cNvPr id="3" name="Picture 2" descr="C:\WINDOWS\TEMP\~0003946.gif">
          <a:extLst>
            <a:ext uri="{FF2B5EF4-FFF2-40B4-BE49-F238E27FC236}">
              <a16:creationId xmlns:a16="http://schemas.microsoft.com/office/drawing/2014/main" id="{33669FD0-2C06-48AD-BF48-A3BE91F9570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17925" y="48434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54111678-4355-4E0A-8769-14FC6E68FCB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17925" y="275272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D96923D7-7C89-4752-90E5-0ADC97E86E7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17925" y="10877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1</xdr:col>
      <xdr:colOff>886</xdr:colOff>
      <xdr:row>53</xdr:row>
      <xdr:rowOff>136418</xdr:rowOff>
    </xdr:to>
    <xdr:pic>
      <xdr:nvPicPr>
        <xdr:cNvPr id="6" name="Picture 5">
          <a:extLst>
            <a:ext uri="{FF2B5EF4-FFF2-40B4-BE49-F238E27FC236}">
              <a16:creationId xmlns:a16="http://schemas.microsoft.com/office/drawing/2014/main" id="{16BCB663-41EE-4E4E-B3C6-0B78054AC5D1}"/>
            </a:ext>
          </a:extLst>
        </xdr:cNvPr>
        <xdr:cNvPicPr>
          <a:picLocks noChangeAspect="1"/>
        </xdr:cNvPicPr>
      </xdr:nvPicPr>
      <xdr:blipFill>
        <a:blip xmlns:r="http://schemas.openxmlformats.org/officeDocument/2006/relationships" r:embed="rId3"/>
        <a:stretch>
          <a:fillRect/>
        </a:stretch>
      </xdr:blipFill>
      <xdr:spPr>
        <a:xfrm>
          <a:off x="139700" y="10829925"/>
          <a:ext cx="204086" cy="222143"/>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212618</xdr:rowOff>
    </xdr:to>
    <xdr:pic>
      <xdr:nvPicPr>
        <xdr:cNvPr id="7" name="Picture 6">
          <a:extLst>
            <a:ext uri="{FF2B5EF4-FFF2-40B4-BE49-F238E27FC236}">
              <a16:creationId xmlns:a16="http://schemas.microsoft.com/office/drawing/2014/main" id="{35909FB4-01A0-43C1-835F-AE4BCAE724C7}"/>
            </a:ext>
          </a:extLst>
        </xdr:cNvPr>
        <xdr:cNvPicPr>
          <a:picLocks noChangeAspect="1"/>
        </xdr:cNvPicPr>
      </xdr:nvPicPr>
      <xdr:blipFill>
        <a:blip xmlns:r="http://schemas.openxmlformats.org/officeDocument/2006/relationships" r:embed="rId3"/>
        <a:stretch>
          <a:fillRect/>
        </a:stretch>
      </xdr:blipFill>
      <xdr:spPr>
        <a:xfrm>
          <a:off x="165100" y="27543125"/>
          <a:ext cx="178323" cy="234843"/>
        </a:xfrm>
        <a:prstGeom prst="rect">
          <a:avLst/>
        </a:prstGeom>
      </xdr:spPr>
    </xdr:pic>
    <xdr:clientData/>
  </xdr:twoCellAnchor>
  <xdr:twoCellAnchor editAs="oneCell">
    <xdr:from>
      <xdr:col>0</xdr:col>
      <xdr:colOff>139700</xdr:colOff>
      <xdr:row>236</xdr:row>
      <xdr:rowOff>152400</xdr:rowOff>
    </xdr:from>
    <xdr:to>
      <xdr:col>1</xdr:col>
      <xdr:colOff>886</xdr:colOff>
      <xdr:row>237</xdr:row>
      <xdr:rowOff>174518</xdr:rowOff>
    </xdr:to>
    <xdr:pic>
      <xdr:nvPicPr>
        <xdr:cNvPr id="8" name="Picture 7">
          <a:extLst>
            <a:ext uri="{FF2B5EF4-FFF2-40B4-BE49-F238E27FC236}">
              <a16:creationId xmlns:a16="http://schemas.microsoft.com/office/drawing/2014/main" id="{41C51070-AD85-4F9A-9143-8E9FDDA33D9E}"/>
            </a:ext>
          </a:extLst>
        </xdr:cNvPr>
        <xdr:cNvPicPr>
          <a:picLocks noChangeAspect="1"/>
        </xdr:cNvPicPr>
      </xdr:nvPicPr>
      <xdr:blipFill>
        <a:blip xmlns:r="http://schemas.openxmlformats.org/officeDocument/2006/relationships" r:embed="rId3"/>
        <a:stretch>
          <a:fillRect/>
        </a:stretch>
      </xdr:blipFill>
      <xdr:spPr>
        <a:xfrm>
          <a:off x="139700" y="48434625"/>
          <a:ext cx="204086" cy="222143"/>
        </a:xfrm>
        <a:prstGeom prst="rect">
          <a:avLst/>
        </a:prstGeom>
      </xdr:spPr>
    </xdr:pic>
    <xdr:clientData/>
  </xdr:twoCellAnchor>
  <xdr:twoCellAnchor editAs="oneCell">
    <xdr:from>
      <xdr:col>0</xdr:col>
      <xdr:colOff>139700</xdr:colOff>
      <xdr:row>349</xdr:row>
      <xdr:rowOff>127000</xdr:rowOff>
    </xdr:from>
    <xdr:to>
      <xdr:col>1</xdr:col>
      <xdr:colOff>886</xdr:colOff>
      <xdr:row>350</xdr:row>
      <xdr:rowOff>114646</xdr:rowOff>
    </xdr:to>
    <xdr:pic>
      <xdr:nvPicPr>
        <xdr:cNvPr id="9" name="Picture 8">
          <a:extLst>
            <a:ext uri="{FF2B5EF4-FFF2-40B4-BE49-F238E27FC236}">
              <a16:creationId xmlns:a16="http://schemas.microsoft.com/office/drawing/2014/main" id="{22FA1DA0-6183-45F6-B1E8-D9525E1326B8}"/>
            </a:ext>
          </a:extLst>
        </xdr:cNvPr>
        <xdr:cNvPicPr>
          <a:picLocks noChangeAspect="1"/>
        </xdr:cNvPicPr>
      </xdr:nvPicPr>
      <xdr:blipFill>
        <a:blip xmlns:r="http://schemas.openxmlformats.org/officeDocument/2006/relationships" r:embed="rId3"/>
        <a:stretch>
          <a:fillRect/>
        </a:stretch>
      </xdr:blipFill>
      <xdr:spPr>
        <a:xfrm>
          <a:off x="139700" y="71135875"/>
          <a:ext cx="204086" cy="225771"/>
        </a:xfrm>
        <a:prstGeom prst="rect">
          <a:avLst/>
        </a:prstGeom>
      </xdr:spPr>
    </xdr:pic>
    <xdr:clientData/>
  </xdr:twoCellAnchor>
  <xdr:twoCellAnchor editAs="oneCell">
    <xdr:from>
      <xdr:col>28</xdr:col>
      <xdr:colOff>0</xdr:colOff>
      <xdr:row>349</xdr:row>
      <xdr:rowOff>0</xdr:rowOff>
    </xdr:from>
    <xdr:to>
      <xdr:col>28</xdr:col>
      <xdr:colOff>822143</xdr:colOff>
      <xdr:row>350</xdr:row>
      <xdr:rowOff>60676</xdr:rowOff>
    </xdr:to>
    <xdr:pic>
      <xdr:nvPicPr>
        <xdr:cNvPr id="10" name="Picture 9">
          <a:extLst>
            <a:ext uri="{FF2B5EF4-FFF2-40B4-BE49-F238E27FC236}">
              <a16:creationId xmlns:a16="http://schemas.microsoft.com/office/drawing/2014/main" id="{64B79709-CD0E-4FF0-AC2C-03BF72BA9EBE}"/>
            </a:ext>
          </a:extLst>
        </xdr:cNvPr>
        <xdr:cNvPicPr>
          <a:picLocks noChangeAspect="1"/>
        </xdr:cNvPicPr>
      </xdr:nvPicPr>
      <xdr:blipFill>
        <a:blip xmlns:r="http://schemas.openxmlformats.org/officeDocument/2006/relationships" r:embed="rId4"/>
        <a:stretch>
          <a:fillRect/>
        </a:stretch>
      </xdr:blipFill>
      <xdr:spPr>
        <a:xfrm>
          <a:off x="28098750" y="71008875"/>
          <a:ext cx="822143" cy="298801"/>
        </a:xfrm>
        <a:prstGeom prst="rect">
          <a:avLst/>
        </a:prstGeom>
      </xdr:spPr>
    </xdr:pic>
    <xdr:clientData/>
  </xdr:twoCellAnchor>
  <xdr:twoCellAnchor editAs="oneCell">
    <xdr:from>
      <xdr:col>28</xdr:col>
      <xdr:colOff>63500</xdr:colOff>
      <xdr:row>236</xdr:row>
      <xdr:rowOff>88900</xdr:rowOff>
    </xdr:from>
    <xdr:to>
      <xdr:col>28</xdr:col>
      <xdr:colOff>898343</xdr:colOff>
      <xdr:row>237</xdr:row>
      <xdr:rowOff>187223</xdr:rowOff>
    </xdr:to>
    <xdr:pic>
      <xdr:nvPicPr>
        <xdr:cNvPr id="11" name="Picture 10">
          <a:extLst>
            <a:ext uri="{FF2B5EF4-FFF2-40B4-BE49-F238E27FC236}">
              <a16:creationId xmlns:a16="http://schemas.microsoft.com/office/drawing/2014/main" id="{958F7C8F-6B55-4F9A-B022-34CF35847CA0}"/>
            </a:ext>
          </a:extLst>
        </xdr:cNvPr>
        <xdr:cNvPicPr>
          <a:picLocks noChangeAspect="1"/>
        </xdr:cNvPicPr>
      </xdr:nvPicPr>
      <xdr:blipFill>
        <a:blip xmlns:r="http://schemas.openxmlformats.org/officeDocument/2006/relationships" r:embed="rId4"/>
        <a:stretch>
          <a:fillRect/>
        </a:stretch>
      </xdr:blipFill>
      <xdr:spPr>
        <a:xfrm>
          <a:off x="28162250" y="48371125"/>
          <a:ext cx="834843" cy="298348"/>
        </a:xfrm>
        <a:prstGeom prst="rect">
          <a:avLst/>
        </a:prstGeom>
      </xdr:spPr>
    </xdr:pic>
    <xdr:clientData/>
  </xdr:twoCellAnchor>
  <xdr:twoCellAnchor editAs="oneCell">
    <xdr:from>
      <xdr:col>28</xdr:col>
      <xdr:colOff>25400</xdr:colOff>
      <xdr:row>132</xdr:row>
      <xdr:rowOff>76200</xdr:rowOff>
    </xdr:from>
    <xdr:to>
      <xdr:col>28</xdr:col>
      <xdr:colOff>860243</xdr:colOff>
      <xdr:row>133</xdr:row>
      <xdr:rowOff>175158</xdr:rowOff>
    </xdr:to>
    <xdr:pic>
      <xdr:nvPicPr>
        <xdr:cNvPr id="12" name="Picture 11">
          <a:extLst>
            <a:ext uri="{FF2B5EF4-FFF2-40B4-BE49-F238E27FC236}">
              <a16:creationId xmlns:a16="http://schemas.microsoft.com/office/drawing/2014/main" id="{3A86B2D5-1691-425E-96DF-7F1000F627E2}"/>
            </a:ext>
          </a:extLst>
        </xdr:cNvPr>
        <xdr:cNvPicPr>
          <a:picLocks noChangeAspect="1"/>
        </xdr:cNvPicPr>
      </xdr:nvPicPr>
      <xdr:blipFill>
        <a:blip xmlns:r="http://schemas.openxmlformats.org/officeDocument/2006/relationships" r:embed="rId4"/>
        <a:stretch>
          <a:fillRect/>
        </a:stretch>
      </xdr:blipFill>
      <xdr:spPr>
        <a:xfrm>
          <a:off x="28124150" y="27441525"/>
          <a:ext cx="834843" cy="298983"/>
        </a:xfrm>
        <a:prstGeom prst="rect">
          <a:avLst/>
        </a:prstGeom>
      </xdr:spPr>
    </xdr:pic>
    <xdr:clientData/>
  </xdr:twoCellAnchor>
  <xdr:twoCellAnchor editAs="oneCell">
    <xdr:from>
      <xdr:col>28</xdr:col>
      <xdr:colOff>0</xdr:colOff>
      <xdr:row>52</xdr:row>
      <xdr:rowOff>0</xdr:rowOff>
    </xdr:from>
    <xdr:to>
      <xdr:col>28</xdr:col>
      <xdr:colOff>822143</xdr:colOff>
      <xdr:row>53</xdr:row>
      <xdr:rowOff>98958</xdr:rowOff>
    </xdr:to>
    <xdr:pic>
      <xdr:nvPicPr>
        <xdr:cNvPr id="13" name="Picture 12">
          <a:extLst>
            <a:ext uri="{FF2B5EF4-FFF2-40B4-BE49-F238E27FC236}">
              <a16:creationId xmlns:a16="http://schemas.microsoft.com/office/drawing/2014/main" id="{C48AA78C-43FC-459B-8C7F-612FFB7FA382}"/>
            </a:ext>
          </a:extLst>
        </xdr:cNvPr>
        <xdr:cNvPicPr>
          <a:picLocks noChangeAspect="1"/>
        </xdr:cNvPicPr>
      </xdr:nvPicPr>
      <xdr:blipFill>
        <a:blip xmlns:r="http://schemas.openxmlformats.org/officeDocument/2006/relationships" r:embed="rId4"/>
        <a:stretch>
          <a:fillRect/>
        </a:stretch>
      </xdr:blipFill>
      <xdr:spPr>
        <a:xfrm>
          <a:off x="28098750" y="10715625"/>
          <a:ext cx="822143" cy="2989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28</xdr:col>
      <xdr:colOff>1095375</xdr:colOff>
      <xdr:row>349</xdr:row>
      <xdr:rowOff>123825</xdr:rowOff>
    </xdr:from>
    <xdr:to>
      <xdr:col>28</xdr:col>
      <xdr:colOff>1895475</xdr:colOff>
      <xdr:row>351</xdr:row>
      <xdr:rowOff>152400</xdr:rowOff>
    </xdr:to>
    <xdr:pic>
      <xdr:nvPicPr>
        <xdr:cNvPr id="2" name="Picture 1" descr="C:\WINDOWS\TEMP\~0003946.gif">
          <a:extLst>
            <a:ext uri="{FF2B5EF4-FFF2-40B4-BE49-F238E27FC236}">
              <a16:creationId xmlns:a16="http://schemas.microsoft.com/office/drawing/2014/main" id="{482BEBB4-6A88-4172-B4C7-B7ED6556059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9745" y="7106793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236</xdr:row>
      <xdr:rowOff>152400</xdr:rowOff>
    </xdr:from>
    <xdr:to>
      <xdr:col>28</xdr:col>
      <xdr:colOff>1924050</xdr:colOff>
      <xdr:row>237</xdr:row>
      <xdr:rowOff>180975</xdr:rowOff>
    </xdr:to>
    <xdr:pic>
      <xdr:nvPicPr>
        <xdr:cNvPr id="3" name="Picture 2" descr="C:\WINDOWS\TEMP\~0003946.gif">
          <a:extLst>
            <a:ext uri="{FF2B5EF4-FFF2-40B4-BE49-F238E27FC236}">
              <a16:creationId xmlns:a16="http://schemas.microsoft.com/office/drawing/2014/main" id="{2BE8E054-C5F2-4F49-8872-DC102FD9EB6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7840" y="4839652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F1A9551D-E682-47A8-805B-1CD3C4C7F91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2750058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AD16248D-BE22-420E-85A7-DBF7283E23B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1086993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1</xdr:col>
      <xdr:colOff>886</xdr:colOff>
      <xdr:row>53</xdr:row>
      <xdr:rowOff>140228</xdr:rowOff>
    </xdr:to>
    <xdr:pic>
      <xdr:nvPicPr>
        <xdr:cNvPr id="6" name="Picture 5">
          <a:extLst>
            <a:ext uri="{FF2B5EF4-FFF2-40B4-BE49-F238E27FC236}">
              <a16:creationId xmlns:a16="http://schemas.microsoft.com/office/drawing/2014/main" id="{BAE37A3D-7165-41C6-A439-570EA3868B02}"/>
            </a:ext>
          </a:extLst>
        </xdr:cNvPr>
        <xdr:cNvPicPr>
          <a:picLocks noChangeAspect="1"/>
        </xdr:cNvPicPr>
      </xdr:nvPicPr>
      <xdr:blipFill>
        <a:blip xmlns:r="http://schemas.openxmlformats.org/officeDocument/2006/relationships" r:embed="rId3"/>
        <a:stretch>
          <a:fillRect/>
        </a:stretch>
      </xdr:blipFill>
      <xdr:spPr>
        <a:xfrm>
          <a:off x="135890" y="10820400"/>
          <a:ext cx="198371" cy="218333"/>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216428</xdr:rowOff>
    </xdr:to>
    <xdr:pic>
      <xdr:nvPicPr>
        <xdr:cNvPr id="7" name="Picture 6">
          <a:extLst>
            <a:ext uri="{FF2B5EF4-FFF2-40B4-BE49-F238E27FC236}">
              <a16:creationId xmlns:a16="http://schemas.microsoft.com/office/drawing/2014/main" id="{8F89ACF7-FE3F-4EC3-8191-BE5F59961484}"/>
            </a:ext>
          </a:extLst>
        </xdr:cNvPr>
        <xdr:cNvPicPr>
          <a:picLocks noChangeAspect="1"/>
        </xdr:cNvPicPr>
      </xdr:nvPicPr>
      <xdr:blipFill>
        <a:blip xmlns:r="http://schemas.openxmlformats.org/officeDocument/2006/relationships" r:embed="rId3"/>
        <a:stretch>
          <a:fillRect/>
        </a:stretch>
      </xdr:blipFill>
      <xdr:spPr>
        <a:xfrm>
          <a:off x="168910" y="27510740"/>
          <a:ext cx="164988" cy="234843"/>
        </a:xfrm>
        <a:prstGeom prst="rect">
          <a:avLst/>
        </a:prstGeom>
      </xdr:spPr>
    </xdr:pic>
    <xdr:clientData/>
  </xdr:twoCellAnchor>
  <xdr:twoCellAnchor editAs="oneCell">
    <xdr:from>
      <xdr:col>0</xdr:col>
      <xdr:colOff>139700</xdr:colOff>
      <xdr:row>236</xdr:row>
      <xdr:rowOff>152400</xdr:rowOff>
    </xdr:from>
    <xdr:to>
      <xdr:col>1</xdr:col>
      <xdr:colOff>886</xdr:colOff>
      <xdr:row>237</xdr:row>
      <xdr:rowOff>178328</xdr:rowOff>
    </xdr:to>
    <xdr:pic>
      <xdr:nvPicPr>
        <xdr:cNvPr id="8" name="Picture 7">
          <a:extLst>
            <a:ext uri="{FF2B5EF4-FFF2-40B4-BE49-F238E27FC236}">
              <a16:creationId xmlns:a16="http://schemas.microsoft.com/office/drawing/2014/main" id="{571DEC18-44ED-4397-8A6B-93BE7FEE81F4}"/>
            </a:ext>
          </a:extLst>
        </xdr:cNvPr>
        <xdr:cNvPicPr>
          <a:picLocks noChangeAspect="1"/>
        </xdr:cNvPicPr>
      </xdr:nvPicPr>
      <xdr:blipFill>
        <a:blip xmlns:r="http://schemas.openxmlformats.org/officeDocument/2006/relationships" r:embed="rId3"/>
        <a:stretch>
          <a:fillRect/>
        </a:stretch>
      </xdr:blipFill>
      <xdr:spPr>
        <a:xfrm>
          <a:off x="135890" y="48396525"/>
          <a:ext cx="198371" cy="218333"/>
        </a:xfrm>
        <a:prstGeom prst="rect">
          <a:avLst/>
        </a:prstGeom>
      </xdr:spPr>
    </xdr:pic>
    <xdr:clientData/>
  </xdr:twoCellAnchor>
  <xdr:twoCellAnchor editAs="oneCell">
    <xdr:from>
      <xdr:col>0</xdr:col>
      <xdr:colOff>139700</xdr:colOff>
      <xdr:row>349</xdr:row>
      <xdr:rowOff>127000</xdr:rowOff>
    </xdr:from>
    <xdr:to>
      <xdr:col>1</xdr:col>
      <xdr:colOff>886</xdr:colOff>
      <xdr:row>350</xdr:row>
      <xdr:rowOff>114646</xdr:rowOff>
    </xdr:to>
    <xdr:pic>
      <xdr:nvPicPr>
        <xdr:cNvPr id="9" name="Picture 8">
          <a:extLst>
            <a:ext uri="{FF2B5EF4-FFF2-40B4-BE49-F238E27FC236}">
              <a16:creationId xmlns:a16="http://schemas.microsoft.com/office/drawing/2014/main" id="{11B03759-2FE2-4709-8558-C77170EA4B5D}"/>
            </a:ext>
          </a:extLst>
        </xdr:cNvPr>
        <xdr:cNvPicPr>
          <a:picLocks noChangeAspect="1"/>
        </xdr:cNvPicPr>
      </xdr:nvPicPr>
      <xdr:blipFill>
        <a:blip xmlns:r="http://schemas.openxmlformats.org/officeDocument/2006/relationships" r:embed="rId3"/>
        <a:stretch>
          <a:fillRect/>
        </a:stretch>
      </xdr:blipFill>
      <xdr:spPr>
        <a:xfrm>
          <a:off x="135890" y="71073010"/>
          <a:ext cx="198371" cy="212436"/>
        </a:xfrm>
        <a:prstGeom prst="rect">
          <a:avLst/>
        </a:prstGeom>
      </xdr:spPr>
    </xdr:pic>
    <xdr:clientData/>
  </xdr:twoCellAnchor>
  <xdr:twoCellAnchor editAs="oneCell">
    <xdr:from>
      <xdr:col>28</xdr:col>
      <xdr:colOff>0</xdr:colOff>
      <xdr:row>349</xdr:row>
      <xdr:rowOff>0</xdr:rowOff>
    </xdr:from>
    <xdr:to>
      <xdr:col>28</xdr:col>
      <xdr:colOff>825953</xdr:colOff>
      <xdr:row>350</xdr:row>
      <xdr:rowOff>58136</xdr:rowOff>
    </xdr:to>
    <xdr:pic>
      <xdr:nvPicPr>
        <xdr:cNvPr id="10" name="Picture 9">
          <a:extLst>
            <a:ext uri="{FF2B5EF4-FFF2-40B4-BE49-F238E27FC236}">
              <a16:creationId xmlns:a16="http://schemas.microsoft.com/office/drawing/2014/main" id="{3FFEBA3E-039A-4147-9D67-F3E53895E0F5}"/>
            </a:ext>
          </a:extLst>
        </xdr:cNvPr>
        <xdr:cNvPicPr>
          <a:picLocks noChangeAspect="1"/>
        </xdr:cNvPicPr>
      </xdr:nvPicPr>
      <xdr:blipFill>
        <a:blip xmlns:r="http://schemas.openxmlformats.org/officeDocument/2006/relationships" r:embed="rId4"/>
        <a:stretch>
          <a:fillRect/>
        </a:stretch>
      </xdr:blipFill>
      <xdr:spPr>
        <a:xfrm>
          <a:off x="27441525" y="70942200"/>
          <a:ext cx="818333" cy="285466"/>
        </a:xfrm>
        <a:prstGeom prst="rect">
          <a:avLst/>
        </a:prstGeom>
      </xdr:spPr>
    </xdr:pic>
    <xdr:clientData/>
  </xdr:twoCellAnchor>
  <xdr:twoCellAnchor editAs="oneCell">
    <xdr:from>
      <xdr:col>28</xdr:col>
      <xdr:colOff>63500</xdr:colOff>
      <xdr:row>236</xdr:row>
      <xdr:rowOff>88900</xdr:rowOff>
    </xdr:from>
    <xdr:to>
      <xdr:col>28</xdr:col>
      <xdr:colOff>902153</xdr:colOff>
      <xdr:row>237</xdr:row>
      <xdr:rowOff>185953</xdr:rowOff>
    </xdr:to>
    <xdr:pic>
      <xdr:nvPicPr>
        <xdr:cNvPr id="11" name="Picture 10">
          <a:extLst>
            <a:ext uri="{FF2B5EF4-FFF2-40B4-BE49-F238E27FC236}">
              <a16:creationId xmlns:a16="http://schemas.microsoft.com/office/drawing/2014/main" id="{9E40D66F-336C-4F9D-96E5-EBF7AB673D4F}"/>
            </a:ext>
          </a:extLst>
        </xdr:cNvPr>
        <xdr:cNvPicPr>
          <a:picLocks noChangeAspect="1"/>
        </xdr:cNvPicPr>
      </xdr:nvPicPr>
      <xdr:blipFill>
        <a:blip xmlns:r="http://schemas.openxmlformats.org/officeDocument/2006/relationships" r:embed="rId4"/>
        <a:stretch>
          <a:fillRect/>
        </a:stretch>
      </xdr:blipFill>
      <xdr:spPr>
        <a:xfrm>
          <a:off x="27501215" y="48336835"/>
          <a:ext cx="834843" cy="294538"/>
        </a:xfrm>
        <a:prstGeom prst="rect">
          <a:avLst/>
        </a:prstGeom>
      </xdr:spPr>
    </xdr:pic>
    <xdr:clientData/>
  </xdr:twoCellAnchor>
  <xdr:twoCellAnchor editAs="oneCell">
    <xdr:from>
      <xdr:col>28</xdr:col>
      <xdr:colOff>25400</xdr:colOff>
      <xdr:row>132</xdr:row>
      <xdr:rowOff>76200</xdr:rowOff>
    </xdr:from>
    <xdr:to>
      <xdr:col>28</xdr:col>
      <xdr:colOff>864053</xdr:colOff>
      <xdr:row>133</xdr:row>
      <xdr:rowOff>172618</xdr:rowOff>
    </xdr:to>
    <xdr:pic>
      <xdr:nvPicPr>
        <xdr:cNvPr id="12" name="Picture 11">
          <a:extLst>
            <a:ext uri="{FF2B5EF4-FFF2-40B4-BE49-F238E27FC236}">
              <a16:creationId xmlns:a16="http://schemas.microsoft.com/office/drawing/2014/main" id="{26775710-411C-4AAB-8741-40776149D031}"/>
            </a:ext>
          </a:extLst>
        </xdr:cNvPr>
        <xdr:cNvPicPr>
          <a:picLocks noChangeAspect="1"/>
        </xdr:cNvPicPr>
      </xdr:nvPicPr>
      <xdr:blipFill>
        <a:blip xmlns:r="http://schemas.openxmlformats.org/officeDocument/2006/relationships" r:embed="rId4"/>
        <a:stretch>
          <a:fillRect/>
        </a:stretch>
      </xdr:blipFill>
      <xdr:spPr>
        <a:xfrm>
          <a:off x="27463115" y="27412950"/>
          <a:ext cx="834843" cy="295173"/>
        </a:xfrm>
        <a:prstGeom prst="rect">
          <a:avLst/>
        </a:prstGeom>
      </xdr:spPr>
    </xdr:pic>
    <xdr:clientData/>
  </xdr:twoCellAnchor>
  <xdr:twoCellAnchor editAs="oneCell">
    <xdr:from>
      <xdr:col>28</xdr:col>
      <xdr:colOff>0</xdr:colOff>
      <xdr:row>52</xdr:row>
      <xdr:rowOff>0</xdr:rowOff>
    </xdr:from>
    <xdr:to>
      <xdr:col>28</xdr:col>
      <xdr:colOff>825953</xdr:colOff>
      <xdr:row>53</xdr:row>
      <xdr:rowOff>96418</xdr:rowOff>
    </xdr:to>
    <xdr:pic>
      <xdr:nvPicPr>
        <xdr:cNvPr id="13" name="Picture 12">
          <a:extLst>
            <a:ext uri="{FF2B5EF4-FFF2-40B4-BE49-F238E27FC236}">
              <a16:creationId xmlns:a16="http://schemas.microsoft.com/office/drawing/2014/main" id="{E023D5D2-6717-4F86-BF78-7D6A6A803CAD}"/>
            </a:ext>
          </a:extLst>
        </xdr:cNvPr>
        <xdr:cNvPicPr>
          <a:picLocks noChangeAspect="1"/>
        </xdr:cNvPicPr>
      </xdr:nvPicPr>
      <xdr:blipFill>
        <a:blip xmlns:r="http://schemas.openxmlformats.org/officeDocument/2006/relationships" r:embed="rId4"/>
        <a:stretch>
          <a:fillRect/>
        </a:stretch>
      </xdr:blipFill>
      <xdr:spPr>
        <a:xfrm>
          <a:off x="27441525" y="10706100"/>
          <a:ext cx="818333" cy="29517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28</xdr:col>
      <xdr:colOff>1095375</xdr:colOff>
      <xdr:row>349</xdr:row>
      <xdr:rowOff>123825</xdr:rowOff>
    </xdr:from>
    <xdr:to>
      <xdr:col>28</xdr:col>
      <xdr:colOff>1895475</xdr:colOff>
      <xdr:row>351</xdr:row>
      <xdr:rowOff>152400</xdr:rowOff>
    </xdr:to>
    <xdr:pic>
      <xdr:nvPicPr>
        <xdr:cNvPr id="2" name="Picture 1" descr="C:\WINDOWS\TEMP\~0003946.gif">
          <a:extLst>
            <a:ext uri="{FF2B5EF4-FFF2-40B4-BE49-F238E27FC236}">
              <a16:creationId xmlns:a16="http://schemas.microsoft.com/office/drawing/2014/main" id="{751C3AE0-B371-4419-AE57-F0B68DB3600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9745" y="7106793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236</xdr:row>
      <xdr:rowOff>152400</xdr:rowOff>
    </xdr:from>
    <xdr:to>
      <xdr:col>28</xdr:col>
      <xdr:colOff>1924050</xdr:colOff>
      <xdr:row>237</xdr:row>
      <xdr:rowOff>180975</xdr:rowOff>
    </xdr:to>
    <xdr:pic>
      <xdr:nvPicPr>
        <xdr:cNvPr id="3" name="Picture 2" descr="C:\WINDOWS\TEMP\~0003946.gif">
          <a:extLst>
            <a:ext uri="{FF2B5EF4-FFF2-40B4-BE49-F238E27FC236}">
              <a16:creationId xmlns:a16="http://schemas.microsoft.com/office/drawing/2014/main" id="{508DEA18-09FE-46A6-8E99-AA7A660765D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7840" y="4839652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F9F87D38-362C-4DF0-B662-991BE0A0C2A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2750058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72C82B96-42DC-4E6F-B640-608A838BD9B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10869930"/>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1</xdr:col>
      <xdr:colOff>886</xdr:colOff>
      <xdr:row>53</xdr:row>
      <xdr:rowOff>136418</xdr:rowOff>
    </xdr:to>
    <xdr:pic>
      <xdr:nvPicPr>
        <xdr:cNvPr id="6" name="Picture 5">
          <a:extLst>
            <a:ext uri="{FF2B5EF4-FFF2-40B4-BE49-F238E27FC236}">
              <a16:creationId xmlns:a16="http://schemas.microsoft.com/office/drawing/2014/main" id="{A3299AB3-2777-40D5-AA76-9D7899718099}"/>
            </a:ext>
          </a:extLst>
        </xdr:cNvPr>
        <xdr:cNvPicPr>
          <a:picLocks noChangeAspect="1"/>
        </xdr:cNvPicPr>
      </xdr:nvPicPr>
      <xdr:blipFill>
        <a:blip xmlns:r="http://schemas.openxmlformats.org/officeDocument/2006/relationships" r:embed="rId3"/>
        <a:stretch>
          <a:fillRect/>
        </a:stretch>
      </xdr:blipFill>
      <xdr:spPr>
        <a:xfrm>
          <a:off x="135890" y="10820400"/>
          <a:ext cx="198371" cy="222143"/>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212618</xdr:rowOff>
    </xdr:to>
    <xdr:pic>
      <xdr:nvPicPr>
        <xdr:cNvPr id="7" name="Picture 6">
          <a:extLst>
            <a:ext uri="{FF2B5EF4-FFF2-40B4-BE49-F238E27FC236}">
              <a16:creationId xmlns:a16="http://schemas.microsoft.com/office/drawing/2014/main" id="{FA8A4517-6835-4CCD-AC74-8D82556D6E7C}"/>
            </a:ext>
          </a:extLst>
        </xdr:cNvPr>
        <xdr:cNvPicPr>
          <a:picLocks noChangeAspect="1"/>
        </xdr:cNvPicPr>
      </xdr:nvPicPr>
      <xdr:blipFill>
        <a:blip xmlns:r="http://schemas.openxmlformats.org/officeDocument/2006/relationships" r:embed="rId3"/>
        <a:stretch>
          <a:fillRect/>
        </a:stretch>
      </xdr:blipFill>
      <xdr:spPr>
        <a:xfrm>
          <a:off x="168910" y="27510740"/>
          <a:ext cx="164988" cy="238653"/>
        </a:xfrm>
        <a:prstGeom prst="rect">
          <a:avLst/>
        </a:prstGeom>
      </xdr:spPr>
    </xdr:pic>
    <xdr:clientData/>
  </xdr:twoCellAnchor>
  <xdr:twoCellAnchor editAs="oneCell">
    <xdr:from>
      <xdr:col>0</xdr:col>
      <xdr:colOff>139700</xdr:colOff>
      <xdr:row>236</xdr:row>
      <xdr:rowOff>152400</xdr:rowOff>
    </xdr:from>
    <xdr:to>
      <xdr:col>1</xdr:col>
      <xdr:colOff>886</xdr:colOff>
      <xdr:row>237</xdr:row>
      <xdr:rowOff>174518</xdr:rowOff>
    </xdr:to>
    <xdr:pic>
      <xdr:nvPicPr>
        <xdr:cNvPr id="8" name="Picture 7">
          <a:extLst>
            <a:ext uri="{FF2B5EF4-FFF2-40B4-BE49-F238E27FC236}">
              <a16:creationId xmlns:a16="http://schemas.microsoft.com/office/drawing/2014/main" id="{C2F6C867-8AE6-4D33-8874-20510C74A978}"/>
            </a:ext>
          </a:extLst>
        </xdr:cNvPr>
        <xdr:cNvPicPr>
          <a:picLocks noChangeAspect="1"/>
        </xdr:cNvPicPr>
      </xdr:nvPicPr>
      <xdr:blipFill>
        <a:blip xmlns:r="http://schemas.openxmlformats.org/officeDocument/2006/relationships" r:embed="rId3"/>
        <a:stretch>
          <a:fillRect/>
        </a:stretch>
      </xdr:blipFill>
      <xdr:spPr>
        <a:xfrm>
          <a:off x="135890" y="48396525"/>
          <a:ext cx="198371" cy="222143"/>
        </a:xfrm>
        <a:prstGeom prst="rect">
          <a:avLst/>
        </a:prstGeom>
      </xdr:spPr>
    </xdr:pic>
    <xdr:clientData/>
  </xdr:twoCellAnchor>
  <xdr:twoCellAnchor editAs="oneCell">
    <xdr:from>
      <xdr:col>0</xdr:col>
      <xdr:colOff>139700</xdr:colOff>
      <xdr:row>349</xdr:row>
      <xdr:rowOff>127000</xdr:rowOff>
    </xdr:from>
    <xdr:to>
      <xdr:col>1</xdr:col>
      <xdr:colOff>886</xdr:colOff>
      <xdr:row>350</xdr:row>
      <xdr:rowOff>114646</xdr:rowOff>
    </xdr:to>
    <xdr:pic>
      <xdr:nvPicPr>
        <xdr:cNvPr id="9" name="Picture 8">
          <a:extLst>
            <a:ext uri="{FF2B5EF4-FFF2-40B4-BE49-F238E27FC236}">
              <a16:creationId xmlns:a16="http://schemas.microsoft.com/office/drawing/2014/main" id="{6CB0CED3-035D-4331-B3EB-517239B821E7}"/>
            </a:ext>
          </a:extLst>
        </xdr:cNvPr>
        <xdr:cNvPicPr>
          <a:picLocks noChangeAspect="1"/>
        </xdr:cNvPicPr>
      </xdr:nvPicPr>
      <xdr:blipFill>
        <a:blip xmlns:r="http://schemas.openxmlformats.org/officeDocument/2006/relationships" r:embed="rId3"/>
        <a:stretch>
          <a:fillRect/>
        </a:stretch>
      </xdr:blipFill>
      <xdr:spPr>
        <a:xfrm>
          <a:off x="135890" y="71073010"/>
          <a:ext cx="198371" cy="212436"/>
        </a:xfrm>
        <a:prstGeom prst="rect">
          <a:avLst/>
        </a:prstGeom>
      </xdr:spPr>
    </xdr:pic>
    <xdr:clientData/>
  </xdr:twoCellAnchor>
  <xdr:twoCellAnchor editAs="oneCell">
    <xdr:from>
      <xdr:col>28</xdr:col>
      <xdr:colOff>0</xdr:colOff>
      <xdr:row>349</xdr:row>
      <xdr:rowOff>0</xdr:rowOff>
    </xdr:from>
    <xdr:to>
      <xdr:col>28</xdr:col>
      <xdr:colOff>822143</xdr:colOff>
      <xdr:row>350</xdr:row>
      <xdr:rowOff>54326</xdr:rowOff>
    </xdr:to>
    <xdr:pic>
      <xdr:nvPicPr>
        <xdr:cNvPr id="10" name="Picture 9">
          <a:extLst>
            <a:ext uri="{FF2B5EF4-FFF2-40B4-BE49-F238E27FC236}">
              <a16:creationId xmlns:a16="http://schemas.microsoft.com/office/drawing/2014/main" id="{8D2571C1-B869-4723-8786-9D1C67F76D23}"/>
            </a:ext>
          </a:extLst>
        </xdr:cNvPr>
        <xdr:cNvPicPr>
          <a:picLocks noChangeAspect="1"/>
        </xdr:cNvPicPr>
      </xdr:nvPicPr>
      <xdr:blipFill>
        <a:blip xmlns:r="http://schemas.openxmlformats.org/officeDocument/2006/relationships" r:embed="rId4"/>
        <a:stretch>
          <a:fillRect/>
        </a:stretch>
      </xdr:blipFill>
      <xdr:spPr>
        <a:xfrm>
          <a:off x="27441525" y="70942200"/>
          <a:ext cx="822143" cy="282926"/>
        </a:xfrm>
        <a:prstGeom prst="rect">
          <a:avLst/>
        </a:prstGeom>
      </xdr:spPr>
    </xdr:pic>
    <xdr:clientData/>
  </xdr:twoCellAnchor>
  <xdr:twoCellAnchor editAs="oneCell">
    <xdr:from>
      <xdr:col>28</xdr:col>
      <xdr:colOff>63500</xdr:colOff>
      <xdr:row>236</xdr:row>
      <xdr:rowOff>88900</xdr:rowOff>
    </xdr:from>
    <xdr:to>
      <xdr:col>28</xdr:col>
      <xdr:colOff>898343</xdr:colOff>
      <xdr:row>237</xdr:row>
      <xdr:rowOff>174523</xdr:rowOff>
    </xdr:to>
    <xdr:pic>
      <xdr:nvPicPr>
        <xdr:cNvPr id="11" name="Picture 10">
          <a:extLst>
            <a:ext uri="{FF2B5EF4-FFF2-40B4-BE49-F238E27FC236}">
              <a16:creationId xmlns:a16="http://schemas.microsoft.com/office/drawing/2014/main" id="{031895BB-C927-4027-B10B-AB7406BE3555}"/>
            </a:ext>
          </a:extLst>
        </xdr:cNvPr>
        <xdr:cNvPicPr>
          <a:picLocks noChangeAspect="1"/>
        </xdr:cNvPicPr>
      </xdr:nvPicPr>
      <xdr:blipFill>
        <a:blip xmlns:r="http://schemas.openxmlformats.org/officeDocument/2006/relationships" r:embed="rId4"/>
        <a:stretch>
          <a:fillRect/>
        </a:stretch>
      </xdr:blipFill>
      <xdr:spPr>
        <a:xfrm>
          <a:off x="27501215" y="48336835"/>
          <a:ext cx="838653" cy="291363"/>
        </a:xfrm>
        <a:prstGeom prst="rect">
          <a:avLst/>
        </a:prstGeom>
      </xdr:spPr>
    </xdr:pic>
    <xdr:clientData/>
  </xdr:twoCellAnchor>
  <xdr:twoCellAnchor editAs="oneCell">
    <xdr:from>
      <xdr:col>28</xdr:col>
      <xdr:colOff>25400</xdr:colOff>
      <xdr:row>132</xdr:row>
      <xdr:rowOff>76200</xdr:rowOff>
    </xdr:from>
    <xdr:to>
      <xdr:col>28</xdr:col>
      <xdr:colOff>860243</xdr:colOff>
      <xdr:row>133</xdr:row>
      <xdr:rowOff>168808</xdr:rowOff>
    </xdr:to>
    <xdr:pic>
      <xdr:nvPicPr>
        <xdr:cNvPr id="12" name="Picture 11">
          <a:extLst>
            <a:ext uri="{FF2B5EF4-FFF2-40B4-BE49-F238E27FC236}">
              <a16:creationId xmlns:a16="http://schemas.microsoft.com/office/drawing/2014/main" id="{604BD095-7F5E-4180-84BC-54D950B74099}"/>
            </a:ext>
          </a:extLst>
        </xdr:cNvPr>
        <xdr:cNvPicPr>
          <a:picLocks noChangeAspect="1"/>
        </xdr:cNvPicPr>
      </xdr:nvPicPr>
      <xdr:blipFill>
        <a:blip xmlns:r="http://schemas.openxmlformats.org/officeDocument/2006/relationships" r:embed="rId4"/>
        <a:stretch>
          <a:fillRect/>
        </a:stretch>
      </xdr:blipFill>
      <xdr:spPr>
        <a:xfrm>
          <a:off x="27463115" y="27412950"/>
          <a:ext cx="838653" cy="292633"/>
        </a:xfrm>
        <a:prstGeom prst="rect">
          <a:avLst/>
        </a:prstGeom>
      </xdr:spPr>
    </xdr:pic>
    <xdr:clientData/>
  </xdr:twoCellAnchor>
  <xdr:twoCellAnchor editAs="oneCell">
    <xdr:from>
      <xdr:col>28</xdr:col>
      <xdr:colOff>0</xdr:colOff>
      <xdr:row>52</xdr:row>
      <xdr:rowOff>0</xdr:rowOff>
    </xdr:from>
    <xdr:to>
      <xdr:col>28</xdr:col>
      <xdr:colOff>822143</xdr:colOff>
      <xdr:row>53</xdr:row>
      <xdr:rowOff>92608</xdr:rowOff>
    </xdr:to>
    <xdr:pic>
      <xdr:nvPicPr>
        <xdr:cNvPr id="13" name="Picture 12">
          <a:extLst>
            <a:ext uri="{FF2B5EF4-FFF2-40B4-BE49-F238E27FC236}">
              <a16:creationId xmlns:a16="http://schemas.microsoft.com/office/drawing/2014/main" id="{E7F818EA-4526-4460-B8B8-C99F25F762D5}"/>
            </a:ext>
          </a:extLst>
        </xdr:cNvPr>
        <xdr:cNvPicPr>
          <a:picLocks noChangeAspect="1"/>
        </xdr:cNvPicPr>
      </xdr:nvPicPr>
      <xdr:blipFill>
        <a:blip xmlns:r="http://schemas.openxmlformats.org/officeDocument/2006/relationships" r:embed="rId4"/>
        <a:stretch>
          <a:fillRect/>
        </a:stretch>
      </xdr:blipFill>
      <xdr:spPr>
        <a:xfrm>
          <a:off x="27441525" y="10706100"/>
          <a:ext cx="822143" cy="2926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1095375</xdr:colOff>
      <xdr:row>338</xdr:row>
      <xdr:rowOff>123825</xdr:rowOff>
    </xdr:from>
    <xdr:to>
      <xdr:col>28</xdr:col>
      <xdr:colOff>1895475</xdr:colOff>
      <xdr:row>339</xdr:row>
      <xdr:rowOff>152400</xdr:rowOff>
    </xdr:to>
    <xdr:pic>
      <xdr:nvPicPr>
        <xdr:cNvPr id="2" name="Picture 1" descr="C:\WINDOWS\TEMP\~0003946.gif">
          <a:extLst>
            <a:ext uri="{FF2B5EF4-FFF2-40B4-BE49-F238E27FC236}">
              <a16:creationId xmlns:a16="http://schemas.microsoft.com/office/drawing/2014/main" id="{81E5A735-3C48-4D3A-B892-3BA96F5B6DA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69132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49385881-001F-418B-B4DF-92558FD1BE4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4843462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664DB0F1-4388-438B-BB90-EF3B27726AC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277272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4792C064-E247-432A-8CAF-1FD0859BE2B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222700" y="11077575"/>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310403</xdr:colOff>
      <xdr:row>53</xdr:row>
      <xdr:rowOff>142768</xdr:rowOff>
    </xdr:to>
    <xdr:pic>
      <xdr:nvPicPr>
        <xdr:cNvPr id="6" name="Picture 5">
          <a:extLst>
            <a:ext uri="{FF2B5EF4-FFF2-40B4-BE49-F238E27FC236}">
              <a16:creationId xmlns:a16="http://schemas.microsoft.com/office/drawing/2014/main" id="{EAD1A94A-30C3-4B5F-BF49-3F46175B90AF}"/>
            </a:ext>
          </a:extLst>
        </xdr:cNvPr>
        <xdr:cNvPicPr>
          <a:picLocks noChangeAspect="1"/>
        </xdr:cNvPicPr>
      </xdr:nvPicPr>
      <xdr:blipFill>
        <a:blip xmlns:r="http://schemas.openxmlformats.org/officeDocument/2006/relationships" r:embed="rId3"/>
        <a:stretch>
          <a:fillRect/>
        </a:stretch>
      </xdr:blipFill>
      <xdr:spPr>
        <a:xfrm>
          <a:off x="139700" y="11029950"/>
          <a:ext cx="170703" cy="228493"/>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206268</xdr:rowOff>
    </xdr:to>
    <xdr:pic>
      <xdr:nvPicPr>
        <xdr:cNvPr id="7" name="Picture 6">
          <a:extLst>
            <a:ext uri="{FF2B5EF4-FFF2-40B4-BE49-F238E27FC236}">
              <a16:creationId xmlns:a16="http://schemas.microsoft.com/office/drawing/2014/main" id="{F440F335-7FF9-4E5E-8E41-AC1CB4EBD1A8}"/>
            </a:ext>
          </a:extLst>
        </xdr:cNvPr>
        <xdr:cNvPicPr>
          <a:picLocks noChangeAspect="1"/>
        </xdr:cNvPicPr>
      </xdr:nvPicPr>
      <xdr:blipFill>
        <a:blip xmlns:r="http://schemas.openxmlformats.org/officeDocument/2006/relationships" r:embed="rId3"/>
        <a:stretch>
          <a:fillRect/>
        </a:stretch>
      </xdr:blipFill>
      <xdr:spPr>
        <a:xfrm>
          <a:off x="165100" y="27743150"/>
          <a:ext cx="178323" cy="228493"/>
        </a:xfrm>
        <a:prstGeom prst="rect">
          <a:avLst/>
        </a:prstGeom>
      </xdr:spPr>
    </xdr:pic>
    <xdr:clientData/>
  </xdr:twoCellAnchor>
  <xdr:twoCellAnchor editAs="oneCell">
    <xdr:from>
      <xdr:col>0</xdr:col>
      <xdr:colOff>139700</xdr:colOff>
      <xdr:row>235</xdr:row>
      <xdr:rowOff>152400</xdr:rowOff>
    </xdr:from>
    <xdr:to>
      <xdr:col>0</xdr:col>
      <xdr:colOff>310403</xdr:colOff>
      <xdr:row>236</xdr:row>
      <xdr:rowOff>180868</xdr:rowOff>
    </xdr:to>
    <xdr:pic>
      <xdr:nvPicPr>
        <xdr:cNvPr id="8" name="Picture 7">
          <a:extLst>
            <a:ext uri="{FF2B5EF4-FFF2-40B4-BE49-F238E27FC236}">
              <a16:creationId xmlns:a16="http://schemas.microsoft.com/office/drawing/2014/main" id="{27451789-A63F-445D-B5B1-EF843F843398}"/>
            </a:ext>
          </a:extLst>
        </xdr:cNvPr>
        <xdr:cNvPicPr>
          <a:picLocks noChangeAspect="1"/>
        </xdr:cNvPicPr>
      </xdr:nvPicPr>
      <xdr:blipFill>
        <a:blip xmlns:r="http://schemas.openxmlformats.org/officeDocument/2006/relationships" r:embed="rId3"/>
        <a:stretch>
          <a:fillRect/>
        </a:stretch>
      </xdr:blipFill>
      <xdr:spPr>
        <a:xfrm>
          <a:off x="139700" y="48434625"/>
          <a:ext cx="170703" cy="228493"/>
        </a:xfrm>
        <a:prstGeom prst="rect">
          <a:avLst/>
        </a:prstGeom>
      </xdr:spPr>
    </xdr:pic>
    <xdr:clientData/>
  </xdr:twoCellAnchor>
  <xdr:twoCellAnchor editAs="oneCell">
    <xdr:from>
      <xdr:col>0</xdr:col>
      <xdr:colOff>139700</xdr:colOff>
      <xdr:row>338</xdr:row>
      <xdr:rowOff>127000</xdr:rowOff>
    </xdr:from>
    <xdr:to>
      <xdr:col>0</xdr:col>
      <xdr:colOff>310403</xdr:colOff>
      <xdr:row>339</xdr:row>
      <xdr:rowOff>155468</xdr:rowOff>
    </xdr:to>
    <xdr:pic>
      <xdr:nvPicPr>
        <xdr:cNvPr id="9" name="Picture 8">
          <a:extLst>
            <a:ext uri="{FF2B5EF4-FFF2-40B4-BE49-F238E27FC236}">
              <a16:creationId xmlns:a16="http://schemas.microsoft.com/office/drawing/2014/main" id="{C170933A-055F-49F4-891D-E2D233EFB357}"/>
            </a:ext>
          </a:extLst>
        </xdr:cNvPr>
        <xdr:cNvPicPr>
          <a:picLocks noChangeAspect="1"/>
        </xdr:cNvPicPr>
      </xdr:nvPicPr>
      <xdr:blipFill>
        <a:blip xmlns:r="http://schemas.openxmlformats.org/officeDocument/2006/relationships" r:embed="rId3"/>
        <a:stretch>
          <a:fillRect/>
        </a:stretch>
      </xdr:blipFill>
      <xdr:spPr>
        <a:xfrm>
          <a:off x="139700" y="69135625"/>
          <a:ext cx="170703" cy="228493"/>
        </a:xfrm>
        <a:prstGeom prst="rect">
          <a:avLst/>
        </a:prstGeom>
      </xdr:spPr>
    </xdr:pic>
    <xdr:clientData/>
  </xdr:twoCellAnchor>
  <xdr:twoCellAnchor editAs="oneCell">
    <xdr:from>
      <xdr:col>28</xdr:col>
      <xdr:colOff>0</xdr:colOff>
      <xdr:row>338</xdr:row>
      <xdr:rowOff>0</xdr:rowOff>
    </xdr:from>
    <xdr:to>
      <xdr:col>28</xdr:col>
      <xdr:colOff>829128</xdr:colOff>
      <xdr:row>339</xdr:row>
      <xdr:rowOff>89433</xdr:rowOff>
    </xdr:to>
    <xdr:pic>
      <xdr:nvPicPr>
        <xdr:cNvPr id="10" name="Picture 9">
          <a:extLst>
            <a:ext uri="{FF2B5EF4-FFF2-40B4-BE49-F238E27FC236}">
              <a16:creationId xmlns:a16="http://schemas.microsoft.com/office/drawing/2014/main" id="{277CBDFB-6FF0-4631-80F7-BB83D9BD5DDD}"/>
            </a:ext>
          </a:extLst>
        </xdr:cNvPr>
        <xdr:cNvPicPr>
          <a:picLocks noChangeAspect="1"/>
        </xdr:cNvPicPr>
      </xdr:nvPicPr>
      <xdr:blipFill>
        <a:blip xmlns:r="http://schemas.openxmlformats.org/officeDocument/2006/relationships" r:embed="rId4"/>
        <a:stretch>
          <a:fillRect/>
        </a:stretch>
      </xdr:blipFill>
      <xdr:spPr>
        <a:xfrm>
          <a:off x="28213050" y="69008625"/>
          <a:ext cx="829128" cy="289458"/>
        </a:xfrm>
        <a:prstGeom prst="rect">
          <a:avLst/>
        </a:prstGeom>
      </xdr:spPr>
    </xdr:pic>
    <xdr:clientData/>
  </xdr:twoCellAnchor>
  <xdr:twoCellAnchor editAs="oneCell">
    <xdr:from>
      <xdr:col>28</xdr:col>
      <xdr:colOff>63500</xdr:colOff>
      <xdr:row>235</xdr:row>
      <xdr:rowOff>88900</xdr:rowOff>
    </xdr:from>
    <xdr:to>
      <xdr:col>28</xdr:col>
      <xdr:colOff>892628</xdr:colOff>
      <xdr:row>236</xdr:row>
      <xdr:rowOff>178333</xdr:rowOff>
    </xdr:to>
    <xdr:pic>
      <xdr:nvPicPr>
        <xdr:cNvPr id="11" name="Picture 10">
          <a:extLst>
            <a:ext uri="{FF2B5EF4-FFF2-40B4-BE49-F238E27FC236}">
              <a16:creationId xmlns:a16="http://schemas.microsoft.com/office/drawing/2014/main" id="{98634ADB-B9FB-49B7-8775-56CB6B7F16BC}"/>
            </a:ext>
          </a:extLst>
        </xdr:cNvPr>
        <xdr:cNvPicPr>
          <a:picLocks noChangeAspect="1"/>
        </xdr:cNvPicPr>
      </xdr:nvPicPr>
      <xdr:blipFill>
        <a:blip xmlns:r="http://schemas.openxmlformats.org/officeDocument/2006/relationships" r:embed="rId4"/>
        <a:stretch>
          <a:fillRect/>
        </a:stretch>
      </xdr:blipFill>
      <xdr:spPr>
        <a:xfrm>
          <a:off x="28276550" y="48371125"/>
          <a:ext cx="829128" cy="289458"/>
        </a:xfrm>
        <a:prstGeom prst="rect">
          <a:avLst/>
        </a:prstGeom>
      </xdr:spPr>
    </xdr:pic>
    <xdr:clientData/>
  </xdr:twoCellAnchor>
  <xdr:twoCellAnchor editAs="oneCell">
    <xdr:from>
      <xdr:col>28</xdr:col>
      <xdr:colOff>25400</xdr:colOff>
      <xdr:row>132</xdr:row>
      <xdr:rowOff>76200</xdr:rowOff>
    </xdr:from>
    <xdr:to>
      <xdr:col>28</xdr:col>
      <xdr:colOff>854528</xdr:colOff>
      <xdr:row>133</xdr:row>
      <xdr:rowOff>165633</xdr:rowOff>
    </xdr:to>
    <xdr:pic>
      <xdr:nvPicPr>
        <xdr:cNvPr id="12" name="Picture 11">
          <a:extLst>
            <a:ext uri="{FF2B5EF4-FFF2-40B4-BE49-F238E27FC236}">
              <a16:creationId xmlns:a16="http://schemas.microsoft.com/office/drawing/2014/main" id="{4BA94DEC-31BA-4947-A64F-F3A68BA9F007}"/>
            </a:ext>
          </a:extLst>
        </xdr:cNvPr>
        <xdr:cNvPicPr>
          <a:picLocks noChangeAspect="1"/>
        </xdr:cNvPicPr>
      </xdr:nvPicPr>
      <xdr:blipFill>
        <a:blip xmlns:r="http://schemas.openxmlformats.org/officeDocument/2006/relationships" r:embed="rId4"/>
        <a:stretch>
          <a:fillRect/>
        </a:stretch>
      </xdr:blipFill>
      <xdr:spPr>
        <a:xfrm>
          <a:off x="28238450" y="27641550"/>
          <a:ext cx="829128" cy="289458"/>
        </a:xfrm>
        <a:prstGeom prst="rect">
          <a:avLst/>
        </a:prstGeom>
      </xdr:spPr>
    </xdr:pic>
    <xdr:clientData/>
  </xdr:twoCellAnchor>
  <xdr:twoCellAnchor editAs="oneCell">
    <xdr:from>
      <xdr:col>28</xdr:col>
      <xdr:colOff>0</xdr:colOff>
      <xdr:row>52</xdr:row>
      <xdr:rowOff>0</xdr:rowOff>
    </xdr:from>
    <xdr:to>
      <xdr:col>28</xdr:col>
      <xdr:colOff>829128</xdr:colOff>
      <xdr:row>53</xdr:row>
      <xdr:rowOff>89433</xdr:rowOff>
    </xdr:to>
    <xdr:pic>
      <xdr:nvPicPr>
        <xdr:cNvPr id="13" name="Picture 12">
          <a:extLst>
            <a:ext uri="{FF2B5EF4-FFF2-40B4-BE49-F238E27FC236}">
              <a16:creationId xmlns:a16="http://schemas.microsoft.com/office/drawing/2014/main" id="{D4A177B6-219A-4228-809C-F4C8C9664ACD}"/>
            </a:ext>
          </a:extLst>
        </xdr:cNvPr>
        <xdr:cNvPicPr>
          <a:picLocks noChangeAspect="1"/>
        </xdr:cNvPicPr>
      </xdr:nvPicPr>
      <xdr:blipFill>
        <a:blip xmlns:r="http://schemas.openxmlformats.org/officeDocument/2006/relationships" r:embed="rId4"/>
        <a:stretch>
          <a:fillRect/>
        </a:stretch>
      </xdr:blipFill>
      <xdr:spPr>
        <a:xfrm>
          <a:off x="28213050" y="10915650"/>
          <a:ext cx="829128" cy="2894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28</xdr:col>
      <xdr:colOff>1095375</xdr:colOff>
      <xdr:row>363</xdr:row>
      <xdr:rowOff>123825</xdr:rowOff>
    </xdr:from>
    <xdr:to>
      <xdr:col>28</xdr:col>
      <xdr:colOff>1895475</xdr:colOff>
      <xdr:row>365</xdr:row>
      <xdr:rowOff>152400</xdr:rowOff>
    </xdr:to>
    <xdr:pic>
      <xdr:nvPicPr>
        <xdr:cNvPr id="2" name="Picture 1" descr="C:\WINDOWS\TEMP\~0003946.gif">
          <a:extLst>
            <a:ext uri="{FF2B5EF4-FFF2-40B4-BE49-F238E27FC236}">
              <a16:creationId xmlns:a16="http://schemas.microsoft.com/office/drawing/2014/main" id="{8E7D1300-972B-4CFE-A583-D85DBAF3D7A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690149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7EB9FD11-BC2B-48E7-83E7-46414F5CD68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5425" y="483298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57E43D94-F014-428F-96BD-0A83D78CD5C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276955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48AC74AC-3015-4CFC-835D-B4357517DE4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110553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316753</xdr:colOff>
      <xdr:row>53</xdr:row>
      <xdr:rowOff>142768</xdr:rowOff>
    </xdr:to>
    <xdr:pic>
      <xdr:nvPicPr>
        <xdr:cNvPr id="6" name="Picture 5">
          <a:extLst>
            <a:ext uri="{FF2B5EF4-FFF2-40B4-BE49-F238E27FC236}">
              <a16:creationId xmlns:a16="http://schemas.microsoft.com/office/drawing/2014/main" id="{BC7DFA64-A54E-4A67-8200-3BBDD6364596}"/>
            </a:ext>
          </a:extLst>
        </xdr:cNvPr>
        <xdr:cNvPicPr>
          <a:picLocks noChangeAspect="1"/>
        </xdr:cNvPicPr>
      </xdr:nvPicPr>
      <xdr:blipFill>
        <a:blip xmlns:r="http://schemas.openxmlformats.org/officeDocument/2006/relationships" r:embed="rId3"/>
        <a:stretch>
          <a:fillRect/>
        </a:stretch>
      </xdr:blipFill>
      <xdr:spPr>
        <a:xfrm>
          <a:off x="142875" y="11010900"/>
          <a:ext cx="170703" cy="231668"/>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199918</xdr:rowOff>
    </xdr:to>
    <xdr:pic>
      <xdr:nvPicPr>
        <xdr:cNvPr id="7" name="Picture 6">
          <a:extLst>
            <a:ext uri="{FF2B5EF4-FFF2-40B4-BE49-F238E27FC236}">
              <a16:creationId xmlns:a16="http://schemas.microsoft.com/office/drawing/2014/main" id="{12FE25D5-C8A5-464B-A40C-7C8ED43E8535}"/>
            </a:ext>
          </a:extLst>
        </xdr:cNvPr>
        <xdr:cNvPicPr>
          <a:picLocks noChangeAspect="1"/>
        </xdr:cNvPicPr>
      </xdr:nvPicPr>
      <xdr:blipFill>
        <a:blip xmlns:r="http://schemas.openxmlformats.org/officeDocument/2006/relationships" r:embed="rId3"/>
        <a:stretch>
          <a:fillRect/>
        </a:stretch>
      </xdr:blipFill>
      <xdr:spPr>
        <a:xfrm>
          <a:off x="161925" y="27717750"/>
          <a:ext cx="171973" cy="222143"/>
        </a:xfrm>
        <a:prstGeom prst="rect">
          <a:avLst/>
        </a:prstGeom>
      </xdr:spPr>
    </xdr:pic>
    <xdr:clientData/>
  </xdr:twoCellAnchor>
  <xdr:twoCellAnchor editAs="oneCell">
    <xdr:from>
      <xdr:col>0</xdr:col>
      <xdr:colOff>139700</xdr:colOff>
      <xdr:row>235</xdr:row>
      <xdr:rowOff>152400</xdr:rowOff>
    </xdr:from>
    <xdr:to>
      <xdr:col>0</xdr:col>
      <xdr:colOff>316753</xdr:colOff>
      <xdr:row>236</xdr:row>
      <xdr:rowOff>180868</xdr:rowOff>
    </xdr:to>
    <xdr:pic>
      <xdr:nvPicPr>
        <xdr:cNvPr id="8" name="Picture 7">
          <a:extLst>
            <a:ext uri="{FF2B5EF4-FFF2-40B4-BE49-F238E27FC236}">
              <a16:creationId xmlns:a16="http://schemas.microsoft.com/office/drawing/2014/main" id="{28166A8E-FD91-4A65-AA72-A5F483FF61DD}"/>
            </a:ext>
          </a:extLst>
        </xdr:cNvPr>
        <xdr:cNvPicPr>
          <a:picLocks noChangeAspect="1"/>
        </xdr:cNvPicPr>
      </xdr:nvPicPr>
      <xdr:blipFill>
        <a:blip xmlns:r="http://schemas.openxmlformats.org/officeDocument/2006/relationships" r:embed="rId3"/>
        <a:stretch>
          <a:fillRect/>
        </a:stretch>
      </xdr:blipFill>
      <xdr:spPr>
        <a:xfrm>
          <a:off x="142875" y="48329850"/>
          <a:ext cx="170703" cy="231668"/>
        </a:xfrm>
        <a:prstGeom prst="rect">
          <a:avLst/>
        </a:prstGeom>
      </xdr:spPr>
    </xdr:pic>
    <xdr:clientData/>
  </xdr:twoCellAnchor>
  <xdr:twoCellAnchor editAs="oneCell">
    <xdr:from>
      <xdr:col>0</xdr:col>
      <xdr:colOff>139700</xdr:colOff>
      <xdr:row>363</xdr:row>
      <xdr:rowOff>127000</xdr:rowOff>
    </xdr:from>
    <xdr:to>
      <xdr:col>0</xdr:col>
      <xdr:colOff>316753</xdr:colOff>
      <xdr:row>364</xdr:row>
      <xdr:rowOff>114647</xdr:rowOff>
    </xdr:to>
    <xdr:pic>
      <xdr:nvPicPr>
        <xdr:cNvPr id="9" name="Picture 8">
          <a:extLst>
            <a:ext uri="{FF2B5EF4-FFF2-40B4-BE49-F238E27FC236}">
              <a16:creationId xmlns:a16="http://schemas.microsoft.com/office/drawing/2014/main" id="{3E7C8145-79D5-410C-AD03-FEA09AFF9D14}"/>
            </a:ext>
          </a:extLst>
        </xdr:cNvPr>
        <xdr:cNvPicPr>
          <a:picLocks noChangeAspect="1"/>
        </xdr:cNvPicPr>
      </xdr:nvPicPr>
      <xdr:blipFill>
        <a:blip xmlns:r="http://schemas.openxmlformats.org/officeDocument/2006/relationships" r:embed="rId3"/>
        <a:stretch>
          <a:fillRect/>
        </a:stretch>
      </xdr:blipFill>
      <xdr:spPr>
        <a:xfrm>
          <a:off x="142875" y="69018150"/>
          <a:ext cx="170703" cy="231668"/>
        </a:xfrm>
        <a:prstGeom prst="rect">
          <a:avLst/>
        </a:prstGeom>
      </xdr:spPr>
    </xdr:pic>
    <xdr:clientData/>
  </xdr:twoCellAnchor>
  <xdr:twoCellAnchor editAs="oneCell">
    <xdr:from>
      <xdr:col>28</xdr:col>
      <xdr:colOff>0</xdr:colOff>
      <xdr:row>363</xdr:row>
      <xdr:rowOff>0</xdr:rowOff>
    </xdr:from>
    <xdr:to>
      <xdr:col>28</xdr:col>
      <xdr:colOff>829128</xdr:colOff>
      <xdr:row>364</xdr:row>
      <xdr:rowOff>48612</xdr:rowOff>
    </xdr:to>
    <xdr:pic>
      <xdr:nvPicPr>
        <xdr:cNvPr id="10" name="Picture 9">
          <a:extLst>
            <a:ext uri="{FF2B5EF4-FFF2-40B4-BE49-F238E27FC236}">
              <a16:creationId xmlns:a16="http://schemas.microsoft.com/office/drawing/2014/main" id="{EDE39628-55C7-4D69-98BE-FF76A491817C}"/>
            </a:ext>
          </a:extLst>
        </xdr:cNvPr>
        <xdr:cNvPicPr>
          <a:picLocks noChangeAspect="1"/>
        </xdr:cNvPicPr>
      </xdr:nvPicPr>
      <xdr:blipFill>
        <a:blip xmlns:r="http://schemas.openxmlformats.org/officeDocument/2006/relationships" r:embed="rId4"/>
        <a:stretch>
          <a:fillRect/>
        </a:stretch>
      </xdr:blipFill>
      <xdr:spPr>
        <a:xfrm>
          <a:off x="27184350" y="68894325"/>
          <a:ext cx="825953" cy="286283"/>
        </a:xfrm>
        <a:prstGeom prst="rect">
          <a:avLst/>
        </a:prstGeom>
      </xdr:spPr>
    </xdr:pic>
    <xdr:clientData/>
  </xdr:twoCellAnchor>
  <xdr:twoCellAnchor editAs="oneCell">
    <xdr:from>
      <xdr:col>28</xdr:col>
      <xdr:colOff>63500</xdr:colOff>
      <xdr:row>235</xdr:row>
      <xdr:rowOff>88900</xdr:rowOff>
    </xdr:from>
    <xdr:to>
      <xdr:col>28</xdr:col>
      <xdr:colOff>892628</xdr:colOff>
      <xdr:row>236</xdr:row>
      <xdr:rowOff>178333</xdr:rowOff>
    </xdr:to>
    <xdr:pic>
      <xdr:nvPicPr>
        <xdr:cNvPr id="11" name="Picture 10">
          <a:extLst>
            <a:ext uri="{FF2B5EF4-FFF2-40B4-BE49-F238E27FC236}">
              <a16:creationId xmlns:a16="http://schemas.microsoft.com/office/drawing/2014/main" id="{FC9F808B-5C76-44FD-BFAA-5C971B0672C1}"/>
            </a:ext>
          </a:extLst>
        </xdr:cNvPr>
        <xdr:cNvPicPr>
          <a:picLocks noChangeAspect="1"/>
        </xdr:cNvPicPr>
      </xdr:nvPicPr>
      <xdr:blipFill>
        <a:blip xmlns:r="http://schemas.openxmlformats.org/officeDocument/2006/relationships" r:embed="rId4"/>
        <a:stretch>
          <a:fillRect/>
        </a:stretch>
      </xdr:blipFill>
      <xdr:spPr>
        <a:xfrm>
          <a:off x="27251025" y="48263175"/>
          <a:ext cx="825953" cy="295808"/>
        </a:xfrm>
        <a:prstGeom prst="rect">
          <a:avLst/>
        </a:prstGeom>
      </xdr:spPr>
    </xdr:pic>
    <xdr:clientData/>
  </xdr:twoCellAnchor>
  <xdr:twoCellAnchor editAs="oneCell">
    <xdr:from>
      <xdr:col>28</xdr:col>
      <xdr:colOff>25400</xdr:colOff>
      <xdr:row>132</xdr:row>
      <xdr:rowOff>76200</xdr:rowOff>
    </xdr:from>
    <xdr:to>
      <xdr:col>28</xdr:col>
      <xdr:colOff>854528</xdr:colOff>
      <xdr:row>133</xdr:row>
      <xdr:rowOff>159283</xdr:rowOff>
    </xdr:to>
    <xdr:pic>
      <xdr:nvPicPr>
        <xdr:cNvPr id="12" name="Picture 11">
          <a:extLst>
            <a:ext uri="{FF2B5EF4-FFF2-40B4-BE49-F238E27FC236}">
              <a16:creationId xmlns:a16="http://schemas.microsoft.com/office/drawing/2014/main" id="{E913A5E2-B4CC-4AAA-B4EF-0703143B62C0}"/>
            </a:ext>
          </a:extLst>
        </xdr:cNvPr>
        <xdr:cNvPicPr>
          <a:picLocks noChangeAspect="1"/>
        </xdr:cNvPicPr>
      </xdr:nvPicPr>
      <xdr:blipFill>
        <a:blip xmlns:r="http://schemas.openxmlformats.org/officeDocument/2006/relationships" r:embed="rId4"/>
        <a:stretch>
          <a:fillRect/>
        </a:stretch>
      </xdr:blipFill>
      <xdr:spPr>
        <a:xfrm>
          <a:off x="27212925" y="27612975"/>
          <a:ext cx="825953" cy="286283"/>
        </a:xfrm>
        <a:prstGeom prst="rect">
          <a:avLst/>
        </a:prstGeom>
      </xdr:spPr>
    </xdr:pic>
    <xdr:clientData/>
  </xdr:twoCellAnchor>
  <xdr:twoCellAnchor editAs="oneCell">
    <xdr:from>
      <xdr:col>28</xdr:col>
      <xdr:colOff>0</xdr:colOff>
      <xdr:row>52</xdr:row>
      <xdr:rowOff>0</xdr:rowOff>
    </xdr:from>
    <xdr:to>
      <xdr:col>28</xdr:col>
      <xdr:colOff>829128</xdr:colOff>
      <xdr:row>53</xdr:row>
      <xdr:rowOff>83083</xdr:rowOff>
    </xdr:to>
    <xdr:pic>
      <xdr:nvPicPr>
        <xdr:cNvPr id="13" name="Picture 12">
          <a:extLst>
            <a:ext uri="{FF2B5EF4-FFF2-40B4-BE49-F238E27FC236}">
              <a16:creationId xmlns:a16="http://schemas.microsoft.com/office/drawing/2014/main" id="{FEAD4692-EE15-4715-9B3E-F750EACEA2AA}"/>
            </a:ext>
          </a:extLst>
        </xdr:cNvPr>
        <xdr:cNvPicPr>
          <a:picLocks noChangeAspect="1"/>
        </xdr:cNvPicPr>
      </xdr:nvPicPr>
      <xdr:blipFill>
        <a:blip xmlns:r="http://schemas.openxmlformats.org/officeDocument/2006/relationships" r:embed="rId4"/>
        <a:stretch>
          <a:fillRect/>
        </a:stretch>
      </xdr:blipFill>
      <xdr:spPr>
        <a:xfrm>
          <a:off x="27184350" y="10896600"/>
          <a:ext cx="825953" cy="2862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28</xdr:col>
      <xdr:colOff>1095375</xdr:colOff>
      <xdr:row>365</xdr:row>
      <xdr:rowOff>123825</xdr:rowOff>
    </xdr:from>
    <xdr:to>
      <xdr:col>28</xdr:col>
      <xdr:colOff>1895475</xdr:colOff>
      <xdr:row>367</xdr:row>
      <xdr:rowOff>152400</xdr:rowOff>
    </xdr:to>
    <xdr:pic>
      <xdr:nvPicPr>
        <xdr:cNvPr id="2" name="Picture 1" descr="C:\WINDOWS\TEMP\~0003946.gif">
          <a:extLst>
            <a:ext uri="{FF2B5EF4-FFF2-40B4-BE49-F238E27FC236}">
              <a16:creationId xmlns:a16="http://schemas.microsoft.com/office/drawing/2014/main" id="{D5AD161F-67C3-442A-B237-44B8B332CA5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74015600"/>
          <a:ext cx="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54AB4197-9B70-4863-9BA6-1F906E9D1F8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5425" y="483298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D1A320FA-4B75-4510-920C-3194992CFF9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276955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37EAB8B9-22C6-4982-ADAD-497C44C5565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110553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325008</xdr:colOff>
      <xdr:row>53</xdr:row>
      <xdr:rowOff>136418</xdr:rowOff>
    </xdr:to>
    <xdr:pic>
      <xdr:nvPicPr>
        <xdr:cNvPr id="6" name="Picture 5">
          <a:extLst>
            <a:ext uri="{FF2B5EF4-FFF2-40B4-BE49-F238E27FC236}">
              <a16:creationId xmlns:a16="http://schemas.microsoft.com/office/drawing/2014/main" id="{CEB923DA-4097-4E45-94D7-0147C775B8BC}"/>
            </a:ext>
          </a:extLst>
        </xdr:cNvPr>
        <xdr:cNvPicPr>
          <a:picLocks noChangeAspect="1"/>
        </xdr:cNvPicPr>
      </xdr:nvPicPr>
      <xdr:blipFill>
        <a:blip xmlns:r="http://schemas.openxmlformats.org/officeDocument/2006/relationships" r:embed="rId3"/>
        <a:stretch>
          <a:fillRect/>
        </a:stretch>
      </xdr:blipFill>
      <xdr:spPr>
        <a:xfrm>
          <a:off x="142875" y="11010900"/>
          <a:ext cx="170703" cy="231668"/>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210713</xdr:rowOff>
    </xdr:to>
    <xdr:pic>
      <xdr:nvPicPr>
        <xdr:cNvPr id="7" name="Picture 6">
          <a:extLst>
            <a:ext uri="{FF2B5EF4-FFF2-40B4-BE49-F238E27FC236}">
              <a16:creationId xmlns:a16="http://schemas.microsoft.com/office/drawing/2014/main" id="{FD684B10-F7DE-41E0-B3DD-4CCFE6BC1B21}"/>
            </a:ext>
          </a:extLst>
        </xdr:cNvPr>
        <xdr:cNvPicPr>
          <a:picLocks noChangeAspect="1"/>
        </xdr:cNvPicPr>
      </xdr:nvPicPr>
      <xdr:blipFill>
        <a:blip xmlns:r="http://schemas.openxmlformats.org/officeDocument/2006/relationships" r:embed="rId3"/>
        <a:stretch>
          <a:fillRect/>
        </a:stretch>
      </xdr:blipFill>
      <xdr:spPr>
        <a:xfrm>
          <a:off x="161925" y="27717750"/>
          <a:ext cx="171973" cy="222143"/>
        </a:xfrm>
        <a:prstGeom prst="rect">
          <a:avLst/>
        </a:prstGeom>
      </xdr:spPr>
    </xdr:pic>
    <xdr:clientData/>
  </xdr:twoCellAnchor>
  <xdr:twoCellAnchor editAs="oneCell">
    <xdr:from>
      <xdr:col>0</xdr:col>
      <xdr:colOff>139700</xdr:colOff>
      <xdr:row>235</xdr:row>
      <xdr:rowOff>152400</xdr:rowOff>
    </xdr:from>
    <xdr:to>
      <xdr:col>0</xdr:col>
      <xdr:colOff>325008</xdr:colOff>
      <xdr:row>236</xdr:row>
      <xdr:rowOff>174518</xdr:rowOff>
    </xdr:to>
    <xdr:pic>
      <xdr:nvPicPr>
        <xdr:cNvPr id="8" name="Picture 7">
          <a:extLst>
            <a:ext uri="{FF2B5EF4-FFF2-40B4-BE49-F238E27FC236}">
              <a16:creationId xmlns:a16="http://schemas.microsoft.com/office/drawing/2014/main" id="{1AEC8718-70D0-4F06-A3EA-A83FC22988FB}"/>
            </a:ext>
          </a:extLst>
        </xdr:cNvPr>
        <xdr:cNvPicPr>
          <a:picLocks noChangeAspect="1"/>
        </xdr:cNvPicPr>
      </xdr:nvPicPr>
      <xdr:blipFill>
        <a:blip xmlns:r="http://schemas.openxmlformats.org/officeDocument/2006/relationships" r:embed="rId3"/>
        <a:stretch>
          <a:fillRect/>
        </a:stretch>
      </xdr:blipFill>
      <xdr:spPr>
        <a:xfrm>
          <a:off x="142875" y="48329850"/>
          <a:ext cx="170703" cy="231668"/>
        </a:xfrm>
        <a:prstGeom prst="rect">
          <a:avLst/>
        </a:prstGeom>
      </xdr:spPr>
    </xdr:pic>
    <xdr:clientData/>
  </xdr:twoCellAnchor>
  <xdr:twoCellAnchor editAs="oneCell">
    <xdr:from>
      <xdr:col>0</xdr:col>
      <xdr:colOff>139700</xdr:colOff>
      <xdr:row>365</xdr:row>
      <xdr:rowOff>127000</xdr:rowOff>
    </xdr:from>
    <xdr:to>
      <xdr:col>0</xdr:col>
      <xdr:colOff>325008</xdr:colOff>
      <xdr:row>366</xdr:row>
      <xdr:rowOff>114647</xdr:rowOff>
    </xdr:to>
    <xdr:pic>
      <xdr:nvPicPr>
        <xdr:cNvPr id="9" name="Picture 8">
          <a:extLst>
            <a:ext uri="{FF2B5EF4-FFF2-40B4-BE49-F238E27FC236}">
              <a16:creationId xmlns:a16="http://schemas.microsoft.com/office/drawing/2014/main" id="{B5B1CC6D-8C26-4E98-8ED6-08843994F826}"/>
            </a:ext>
          </a:extLst>
        </xdr:cNvPr>
        <xdr:cNvPicPr>
          <a:picLocks noChangeAspect="1"/>
        </xdr:cNvPicPr>
      </xdr:nvPicPr>
      <xdr:blipFill>
        <a:blip xmlns:r="http://schemas.openxmlformats.org/officeDocument/2006/relationships" r:embed="rId3"/>
        <a:stretch>
          <a:fillRect/>
        </a:stretch>
      </xdr:blipFill>
      <xdr:spPr>
        <a:xfrm>
          <a:off x="142875" y="74018775"/>
          <a:ext cx="170703" cy="228947"/>
        </a:xfrm>
        <a:prstGeom prst="rect">
          <a:avLst/>
        </a:prstGeom>
      </xdr:spPr>
    </xdr:pic>
    <xdr:clientData/>
  </xdr:twoCellAnchor>
  <xdr:twoCellAnchor editAs="oneCell">
    <xdr:from>
      <xdr:col>28</xdr:col>
      <xdr:colOff>0</xdr:colOff>
      <xdr:row>365</xdr:row>
      <xdr:rowOff>0</xdr:rowOff>
    </xdr:from>
    <xdr:to>
      <xdr:col>28</xdr:col>
      <xdr:colOff>818333</xdr:colOff>
      <xdr:row>366</xdr:row>
      <xdr:rowOff>54962</xdr:rowOff>
    </xdr:to>
    <xdr:pic>
      <xdr:nvPicPr>
        <xdr:cNvPr id="10" name="Picture 9">
          <a:extLst>
            <a:ext uri="{FF2B5EF4-FFF2-40B4-BE49-F238E27FC236}">
              <a16:creationId xmlns:a16="http://schemas.microsoft.com/office/drawing/2014/main" id="{412B4D23-EB03-47FB-B986-8C6795527428}"/>
            </a:ext>
          </a:extLst>
        </xdr:cNvPr>
        <xdr:cNvPicPr>
          <a:picLocks noChangeAspect="1"/>
        </xdr:cNvPicPr>
      </xdr:nvPicPr>
      <xdr:blipFill>
        <a:blip xmlns:r="http://schemas.openxmlformats.org/officeDocument/2006/relationships" r:embed="rId4"/>
        <a:stretch>
          <a:fillRect/>
        </a:stretch>
      </xdr:blipFill>
      <xdr:spPr>
        <a:xfrm>
          <a:off x="27184350" y="73894950"/>
          <a:ext cx="825953" cy="283562"/>
        </a:xfrm>
        <a:prstGeom prst="rect">
          <a:avLst/>
        </a:prstGeom>
      </xdr:spPr>
    </xdr:pic>
    <xdr:clientData/>
  </xdr:twoCellAnchor>
  <xdr:twoCellAnchor editAs="oneCell">
    <xdr:from>
      <xdr:col>28</xdr:col>
      <xdr:colOff>63500</xdr:colOff>
      <xdr:row>235</xdr:row>
      <xdr:rowOff>88900</xdr:rowOff>
    </xdr:from>
    <xdr:to>
      <xdr:col>28</xdr:col>
      <xdr:colOff>892628</xdr:colOff>
      <xdr:row>236</xdr:row>
      <xdr:rowOff>170078</xdr:rowOff>
    </xdr:to>
    <xdr:pic>
      <xdr:nvPicPr>
        <xdr:cNvPr id="11" name="Picture 10">
          <a:extLst>
            <a:ext uri="{FF2B5EF4-FFF2-40B4-BE49-F238E27FC236}">
              <a16:creationId xmlns:a16="http://schemas.microsoft.com/office/drawing/2014/main" id="{94B28EE4-1A5F-4CB0-BB8B-469B0FA3E8CF}"/>
            </a:ext>
          </a:extLst>
        </xdr:cNvPr>
        <xdr:cNvPicPr>
          <a:picLocks noChangeAspect="1"/>
        </xdr:cNvPicPr>
      </xdr:nvPicPr>
      <xdr:blipFill>
        <a:blip xmlns:r="http://schemas.openxmlformats.org/officeDocument/2006/relationships" r:embed="rId4"/>
        <a:stretch>
          <a:fillRect/>
        </a:stretch>
      </xdr:blipFill>
      <xdr:spPr>
        <a:xfrm>
          <a:off x="27251025" y="48263175"/>
          <a:ext cx="825953" cy="295808"/>
        </a:xfrm>
        <a:prstGeom prst="rect">
          <a:avLst/>
        </a:prstGeom>
      </xdr:spPr>
    </xdr:pic>
    <xdr:clientData/>
  </xdr:twoCellAnchor>
  <xdr:twoCellAnchor editAs="oneCell">
    <xdr:from>
      <xdr:col>28</xdr:col>
      <xdr:colOff>25400</xdr:colOff>
      <xdr:row>132</xdr:row>
      <xdr:rowOff>76200</xdr:rowOff>
    </xdr:from>
    <xdr:to>
      <xdr:col>28</xdr:col>
      <xdr:colOff>854528</xdr:colOff>
      <xdr:row>133</xdr:row>
      <xdr:rowOff>168173</xdr:rowOff>
    </xdr:to>
    <xdr:pic>
      <xdr:nvPicPr>
        <xdr:cNvPr id="12" name="Picture 11">
          <a:extLst>
            <a:ext uri="{FF2B5EF4-FFF2-40B4-BE49-F238E27FC236}">
              <a16:creationId xmlns:a16="http://schemas.microsoft.com/office/drawing/2014/main" id="{253B0F5F-DC70-4D60-9482-40E4B8D034EE}"/>
            </a:ext>
          </a:extLst>
        </xdr:cNvPr>
        <xdr:cNvPicPr>
          <a:picLocks noChangeAspect="1"/>
        </xdr:cNvPicPr>
      </xdr:nvPicPr>
      <xdr:blipFill>
        <a:blip xmlns:r="http://schemas.openxmlformats.org/officeDocument/2006/relationships" r:embed="rId4"/>
        <a:stretch>
          <a:fillRect/>
        </a:stretch>
      </xdr:blipFill>
      <xdr:spPr>
        <a:xfrm>
          <a:off x="27212925" y="27612975"/>
          <a:ext cx="825953" cy="286283"/>
        </a:xfrm>
        <a:prstGeom prst="rect">
          <a:avLst/>
        </a:prstGeom>
      </xdr:spPr>
    </xdr:pic>
    <xdr:clientData/>
  </xdr:twoCellAnchor>
  <xdr:twoCellAnchor editAs="oneCell">
    <xdr:from>
      <xdr:col>28</xdr:col>
      <xdr:colOff>0</xdr:colOff>
      <xdr:row>52</xdr:row>
      <xdr:rowOff>0</xdr:rowOff>
    </xdr:from>
    <xdr:to>
      <xdr:col>28</xdr:col>
      <xdr:colOff>818333</xdr:colOff>
      <xdr:row>53</xdr:row>
      <xdr:rowOff>91973</xdr:rowOff>
    </xdr:to>
    <xdr:pic>
      <xdr:nvPicPr>
        <xdr:cNvPr id="13" name="Picture 12">
          <a:extLst>
            <a:ext uri="{FF2B5EF4-FFF2-40B4-BE49-F238E27FC236}">
              <a16:creationId xmlns:a16="http://schemas.microsoft.com/office/drawing/2014/main" id="{531D015C-6BAF-45CD-BD10-250863FA1698}"/>
            </a:ext>
          </a:extLst>
        </xdr:cNvPr>
        <xdr:cNvPicPr>
          <a:picLocks noChangeAspect="1"/>
        </xdr:cNvPicPr>
      </xdr:nvPicPr>
      <xdr:blipFill>
        <a:blip xmlns:r="http://schemas.openxmlformats.org/officeDocument/2006/relationships" r:embed="rId4"/>
        <a:stretch>
          <a:fillRect/>
        </a:stretch>
      </xdr:blipFill>
      <xdr:spPr>
        <a:xfrm>
          <a:off x="27184350" y="10896600"/>
          <a:ext cx="825953" cy="2862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28</xdr:col>
      <xdr:colOff>1095375</xdr:colOff>
      <xdr:row>365</xdr:row>
      <xdr:rowOff>123825</xdr:rowOff>
    </xdr:from>
    <xdr:to>
      <xdr:col>28</xdr:col>
      <xdr:colOff>1895475</xdr:colOff>
      <xdr:row>367</xdr:row>
      <xdr:rowOff>152400</xdr:rowOff>
    </xdr:to>
    <xdr:pic>
      <xdr:nvPicPr>
        <xdr:cNvPr id="2" name="Picture 1" descr="C:\WINDOWS\TEMP\~0003946.gif">
          <a:extLst>
            <a:ext uri="{FF2B5EF4-FFF2-40B4-BE49-F238E27FC236}">
              <a16:creationId xmlns:a16="http://schemas.microsoft.com/office/drawing/2014/main" id="{7FB339D3-92D0-489F-B2D9-DA9D23765EC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74415650"/>
          <a:ext cx="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4E22388E-3EBE-49C0-AB28-980CB042726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5425" y="483298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EBB1B8D0-AB73-4B2E-901B-364E3F2F725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276955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3B32FFB3-48D3-4FFC-BFF7-821D77B54C3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110553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325008</xdr:colOff>
      <xdr:row>53</xdr:row>
      <xdr:rowOff>136418</xdr:rowOff>
    </xdr:to>
    <xdr:pic>
      <xdr:nvPicPr>
        <xdr:cNvPr id="6" name="Picture 5">
          <a:extLst>
            <a:ext uri="{FF2B5EF4-FFF2-40B4-BE49-F238E27FC236}">
              <a16:creationId xmlns:a16="http://schemas.microsoft.com/office/drawing/2014/main" id="{2E811B23-9AD8-4DFB-B679-B43E20FEADE1}"/>
            </a:ext>
          </a:extLst>
        </xdr:cNvPr>
        <xdr:cNvPicPr>
          <a:picLocks noChangeAspect="1"/>
        </xdr:cNvPicPr>
      </xdr:nvPicPr>
      <xdr:blipFill>
        <a:blip xmlns:r="http://schemas.openxmlformats.org/officeDocument/2006/relationships" r:embed="rId3"/>
        <a:stretch>
          <a:fillRect/>
        </a:stretch>
      </xdr:blipFill>
      <xdr:spPr>
        <a:xfrm>
          <a:off x="142875" y="11010900"/>
          <a:ext cx="182133" cy="222143"/>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210713</xdr:rowOff>
    </xdr:to>
    <xdr:pic>
      <xdr:nvPicPr>
        <xdr:cNvPr id="7" name="Picture 6">
          <a:extLst>
            <a:ext uri="{FF2B5EF4-FFF2-40B4-BE49-F238E27FC236}">
              <a16:creationId xmlns:a16="http://schemas.microsoft.com/office/drawing/2014/main" id="{71E2612A-B51D-4097-A98C-2DE7C8740605}"/>
            </a:ext>
          </a:extLst>
        </xdr:cNvPr>
        <xdr:cNvPicPr>
          <a:picLocks noChangeAspect="1"/>
        </xdr:cNvPicPr>
      </xdr:nvPicPr>
      <xdr:blipFill>
        <a:blip xmlns:r="http://schemas.openxmlformats.org/officeDocument/2006/relationships" r:embed="rId3"/>
        <a:stretch>
          <a:fillRect/>
        </a:stretch>
      </xdr:blipFill>
      <xdr:spPr>
        <a:xfrm>
          <a:off x="161925" y="27717750"/>
          <a:ext cx="171973" cy="229763"/>
        </a:xfrm>
        <a:prstGeom prst="rect">
          <a:avLst/>
        </a:prstGeom>
      </xdr:spPr>
    </xdr:pic>
    <xdr:clientData/>
  </xdr:twoCellAnchor>
  <xdr:twoCellAnchor editAs="oneCell">
    <xdr:from>
      <xdr:col>0</xdr:col>
      <xdr:colOff>139700</xdr:colOff>
      <xdr:row>235</xdr:row>
      <xdr:rowOff>152400</xdr:rowOff>
    </xdr:from>
    <xdr:to>
      <xdr:col>0</xdr:col>
      <xdr:colOff>325008</xdr:colOff>
      <xdr:row>236</xdr:row>
      <xdr:rowOff>174518</xdr:rowOff>
    </xdr:to>
    <xdr:pic>
      <xdr:nvPicPr>
        <xdr:cNvPr id="8" name="Picture 7">
          <a:extLst>
            <a:ext uri="{FF2B5EF4-FFF2-40B4-BE49-F238E27FC236}">
              <a16:creationId xmlns:a16="http://schemas.microsoft.com/office/drawing/2014/main" id="{B72B5F1F-6356-46C9-9CE6-D87F47866B02}"/>
            </a:ext>
          </a:extLst>
        </xdr:cNvPr>
        <xdr:cNvPicPr>
          <a:picLocks noChangeAspect="1"/>
        </xdr:cNvPicPr>
      </xdr:nvPicPr>
      <xdr:blipFill>
        <a:blip xmlns:r="http://schemas.openxmlformats.org/officeDocument/2006/relationships" r:embed="rId3"/>
        <a:stretch>
          <a:fillRect/>
        </a:stretch>
      </xdr:blipFill>
      <xdr:spPr>
        <a:xfrm>
          <a:off x="142875" y="48329850"/>
          <a:ext cx="182133" cy="222143"/>
        </a:xfrm>
        <a:prstGeom prst="rect">
          <a:avLst/>
        </a:prstGeom>
      </xdr:spPr>
    </xdr:pic>
    <xdr:clientData/>
  </xdr:twoCellAnchor>
  <xdr:twoCellAnchor editAs="oneCell">
    <xdr:from>
      <xdr:col>0</xdr:col>
      <xdr:colOff>139700</xdr:colOff>
      <xdr:row>365</xdr:row>
      <xdr:rowOff>127000</xdr:rowOff>
    </xdr:from>
    <xdr:to>
      <xdr:col>0</xdr:col>
      <xdr:colOff>325008</xdr:colOff>
      <xdr:row>366</xdr:row>
      <xdr:rowOff>114647</xdr:rowOff>
    </xdr:to>
    <xdr:pic>
      <xdr:nvPicPr>
        <xdr:cNvPr id="9" name="Picture 8">
          <a:extLst>
            <a:ext uri="{FF2B5EF4-FFF2-40B4-BE49-F238E27FC236}">
              <a16:creationId xmlns:a16="http://schemas.microsoft.com/office/drawing/2014/main" id="{2A3E2A68-B011-477E-A5FD-41DC19EB1852}"/>
            </a:ext>
          </a:extLst>
        </xdr:cNvPr>
        <xdr:cNvPicPr>
          <a:picLocks noChangeAspect="1"/>
        </xdr:cNvPicPr>
      </xdr:nvPicPr>
      <xdr:blipFill>
        <a:blip xmlns:r="http://schemas.openxmlformats.org/officeDocument/2006/relationships" r:embed="rId3"/>
        <a:stretch>
          <a:fillRect/>
        </a:stretch>
      </xdr:blipFill>
      <xdr:spPr>
        <a:xfrm>
          <a:off x="142875" y="74418825"/>
          <a:ext cx="182133" cy="228947"/>
        </a:xfrm>
        <a:prstGeom prst="rect">
          <a:avLst/>
        </a:prstGeom>
      </xdr:spPr>
    </xdr:pic>
    <xdr:clientData/>
  </xdr:twoCellAnchor>
  <xdr:twoCellAnchor editAs="oneCell">
    <xdr:from>
      <xdr:col>28</xdr:col>
      <xdr:colOff>0</xdr:colOff>
      <xdr:row>365</xdr:row>
      <xdr:rowOff>0</xdr:rowOff>
    </xdr:from>
    <xdr:to>
      <xdr:col>28</xdr:col>
      <xdr:colOff>818333</xdr:colOff>
      <xdr:row>366</xdr:row>
      <xdr:rowOff>54962</xdr:rowOff>
    </xdr:to>
    <xdr:pic>
      <xdr:nvPicPr>
        <xdr:cNvPr id="10" name="Picture 9">
          <a:extLst>
            <a:ext uri="{FF2B5EF4-FFF2-40B4-BE49-F238E27FC236}">
              <a16:creationId xmlns:a16="http://schemas.microsoft.com/office/drawing/2014/main" id="{6888DB71-A6D3-4CC6-B9CB-1C0E7B2EFCC2}"/>
            </a:ext>
          </a:extLst>
        </xdr:cNvPr>
        <xdr:cNvPicPr>
          <a:picLocks noChangeAspect="1"/>
        </xdr:cNvPicPr>
      </xdr:nvPicPr>
      <xdr:blipFill>
        <a:blip xmlns:r="http://schemas.openxmlformats.org/officeDocument/2006/relationships" r:embed="rId4"/>
        <a:stretch>
          <a:fillRect/>
        </a:stretch>
      </xdr:blipFill>
      <xdr:spPr>
        <a:xfrm>
          <a:off x="27184350" y="74295000"/>
          <a:ext cx="818333" cy="293087"/>
        </a:xfrm>
        <a:prstGeom prst="rect">
          <a:avLst/>
        </a:prstGeom>
      </xdr:spPr>
    </xdr:pic>
    <xdr:clientData/>
  </xdr:twoCellAnchor>
  <xdr:twoCellAnchor editAs="oneCell">
    <xdr:from>
      <xdr:col>28</xdr:col>
      <xdr:colOff>63500</xdr:colOff>
      <xdr:row>235</xdr:row>
      <xdr:rowOff>88900</xdr:rowOff>
    </xdr:from>
    <xdr:to>
      <xdr:col>28</xdr:col>
      <xdr:colOff>892628</xdr:colOff>
      <xdr:row>236</xdr:row>
      <xdr:rowOff>170078</xdr:rowOff>
    </xdr:to>
    <xdr:pic>
      <xdr:nvPicPr>
        <xdr:cNvPr id="11" name="Picture 10">
          <a:extLst>
            <a:ext uri="{FF2B5EF4-FFF2-40B4-BE49-F238E27FC236}">
              <a16:creationId xmlns:a16="http://schemas.microsoft.com/office/drawing/2014/main" id="{B5F4E2D4-2F70-4C0F-A43B-F4716B2A8440}"/>
            </a:ext>
          </a:extLst>
        </xdr:cNvPr>
        <xdr:cNvPicPr>
          <a:picLocks noChangeAspect="1"/>
        </xdr:cNvPicPr>
      </xdr:nvPicPr>
      <xdr:blipFill>
        <a:blip xmlns:r="http://schemas.openxmlformats.org/officeDocument/2006/relationships" r:embed="rId4"/>
        <a:stretch>
          <a:fillRect/>
        </a:stretch>
      </xdr:blipFill>
      <xdr:spPr>
        <a:xfrm>
          <a:off x="27251025" y="48263175"/>
          <a:ext cx="825953" cy="284378"/>
        </a:xfrm>
        <a:prstGeom prst="rect">
          <a:avLst/>
        </a:prstGeom>
      </xdr:spPr>
    </xdr:pic>
    <xdr:clientData/>
  </xdr:twoCellAnchor>
  <xdr:twoCellAnchor editAs="oneCell">
    <xdr:from>
      <xdr:col>28</xdr:col>
      <xdr:colOff>25400</xdr:colOff>
      <xdr:row>132</xdr:row>
      <xdr:rowOff>76200</xdr:rowOff>
    </xdr:from>
    <xdr:to>
      <xdr:col>28</xdr:col>
      <xdr:colOff>854528</xdr:colOff>
      <xdr:row>133</xdr:row>
      <xdr:rowOff>164998</xdr:rowOff>
    </xdr:to>
    <xdr:pic>
      <xdr:nvPicPr>
        <xdr:cNvPr id="12" name="Picture 11">
          <a:extLst>
            <a:ext uri="{FF2B5EF4-FFF2-40B4-BE49-F238E27FC236}">
              <a16:creationId xmlns:a16="http://schemas.microsoft.com/office/drawing/2014/main" id="{723F4B17-4D97-4E9F-A10C-41F5526881F7}"/>
            </a:ext>
          </a:extLst>
        </xdr:cNvPr>
        <xdr:cNvPicPr>
          <a:picLocks noChangeAspect="1"/>
        </xdr:cNvPicPr>
      </xdr:nvPicPr>
      <xdr:blipFill>
        <a:blip xmlns:r="http://schemas.openxmlformats.org/officeDocument/2006/relationships" r:embed="rId4"/>
        <a:stretch>
          <a:fillRect/>
        </a:stretch>
      </xdr:blipFill>
      <xdr:spPr>
        <a:xfrm>
          <a:off x="27212925" y="27612975"/>
          <a:ext cx="825953" cy="288823"/>
        </a:xfrm>
        <a:prstGeom prst="rect">
          <a:avLst/>
        </a:prstGeom>
      </xdr:spPr>
    </xdr:pic>
    <xdr:clientData/>
  </xdr:twoCellAnchor>
  <xdr:twoCellAnchor editAs="oneCell">
    <xdr:from>
      <xdr:col>28</xdr:col>
      <xdr:colOff>0</xdr:colOff>
      <xdr:row>52</xdr:row>
      <xdr:rowOff>0</xdr:rowOff>
    </xdr:from>
    <xdr:to>
      <xdr:col>28</xdr:col>
      <xdr:colOff>818333</xdr:colOff>
      <xdr:row>53</xdr:row>
      <xdr:rowOff>88798</xdr:rowOff>
    </xdr:to>
    <xdr:pic>
      <xdr:nvPicPr>
        <xdr:cNvPr id="13" name="Picture 12">
          <a:extLst>
            <a:ext uri="{FF2B5EF4-FFF2-40B4-BE49-F238E27FC236}">
              <a16:creationId xmlns:a16="http://schemas.microsoft.com/office/drawing/2014/main" id="{BFB47486-5B0B-4992-A56B-BAD73190F285}"/>
            </a:ext>
          </a:extLst>
        </xdr:cNvPr>
        <xdr:cNvPicPr>
          <a:picLocks noChangeAspect="1"/>
        </xdr:cNvPicPr>
      </xdr:nvPicPr>
      <xdr:blipFill>
        <a:blip xmlns:r="http://schemas.openxmlformats.org/officeDocument/2006/relationships" r:embed="rId4"/>
        <a:stretch>
          <a:fillRect/>
        </a:stretch>
      </xdr:blipFill>
      <xdr:spPr>
        <a:xfrm>
          <a:off x="27184350" y="10896600"/>
          <a:ext cx="818333" cy="2888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28</xdr:col>
      <xdr:colOff>1095375</xdr:colOff>
      <xdr:row>365</xdr:row>
      <xdr:rowOff>123825</xdr:rowOff>
    </xdr:from>
    <xdr:to>
      <xdr:col>28</xdr:col>
      <xdr:colOff>1895475</xdr:colOff>
      <xdr:row>367</xdr:row>
      <xdr:rowOff>152400</xdr:rowOff>
    </xdr:to>
    <xdr:pic>
      <xdr:nvPicPr>
        <xdr:cNvPr id="2" name="Picture 1" descr="C:\WINDOWS\TEMP\~0003946.gif">
          <a:extLst>
            <a:ext uri="{FF2B5EF4-FFF2-40B4-BE49-F238E27FC236}">
              <a16:creationId xmlns:a16="http://schemas.microsoft.com/office/drawing/2014/main" id="{B9CB98A4-DC56-4A67-9FB5-A16368EC07F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33675" y="74406125"/>
          <a:ext cx="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13315895-8791-49E3-8ADA-15F710C0B54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36850" y="483203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F4EB099C-602A-46DD-8F71-6B3DAFEF7F8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33675" y="2768600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4A3A5D0B-AF2B-40CA-8A5C-F6393717926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33675" y="110553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325008</xdr:colOff>
      <xdr:row>53</xdr:row>
      <xdr:rowOff>136418</xdr:rowOff>
    </xdr:to>
    <xdr:pic>
      <xdr:nvPicPr>
        <xdr:cNvPr id="6" name="Picture 5">
          <a:extLst>
            <a:ext uri="{FF2B5EF4-FFF2-40B4-BE49-F238E27FC236}">
              <a16:creationId xmlns:a16="http://schemas.microsoft.com/office/drawing/2014/main" id="{9C860939-2C42-479B-86A2-5C56D57742A0}"/>
            </a:ext>
          </a:extLst>
        </xdr:cNvPr>
        <xdr:cNvPicPr>
          <a:picLocks noChangeAspect="1"/>
        </xdr:cNvPicPr>
      </xdr:nvPicPr>
      <xdr:blipFill>
        <a:blip xmlns:r="http://schemas.openxmlformats.org/officeDocument/2006/relationships" r:embed="rId3"/>
        <a:stretch>
          <a:fillRect/>
        </a:stretch>
      </xdr:blipFill>
      <xdr:spPr>
        <a:xfrm>
          <a:off x="142875" y="11010900"/>
          <a:ext cx="182133" cy="222143"/>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210713</xdr:rowOff>
    </xdr:to>
    <xdr:pic>
      <xdr:nvPicPr>
        <xdr:cNvPr id="7" name="Picture 6">
          <a:extLst>
            <a:ext uri="{FF2B5EF4-FFF2-40B4-BE49-F238E27FC236}">
              <a16:creationId xmlns:a16="http://schemas.microsoft.com/office/drawing/2014/main" id="{356B19AC-FB29-418A-AA60-9B72B4221389}"/>
            </a:ext>
          </a:extLst>
        </xdr:cNvPr>
        <xdr:cNvPicPr>
          <a:picLocks noChangeAspect="1"/>
        </xdr:cNvPicPr>
      </xdr:nvPicPr>
      <xdr:blipFill>
        <a:blip xmlns:r="http://schemas.openxmlformats.org/officeDocument/2006/relationships" r:embed="rId3"/>
        <a:stretch>
          <a:fillRect/>
        </a:stretch>
      </xdr:blipFill>
      <xdr:spPr>
        <a:xfrm>
          <a:off x="161925" y="27708225"/>
          <a:ext cx="171973" cy="229763"/>
        </a:xfrm>
        <a:prstGeom prst="rect">
          <a:avLst/>
        </a:prstGeom>
      </xdr:spPr>
    </xdr:pic>
    <xdr:clientData/>
  </xdr:twoCellAnchor>
  <xdr:twoCellAnchor editAs="oneCell">
    <xdr:from>
      <xdr:col>0</xdr:col>
      <xdr:colOff>139700</xdr:colOff>
      <xdr:row>235</xdr:row>
      <xdr:rowOff>152400</xdr:rowOff>
    </xdr:from>
    <xdr:to>
      <xdr:col>0</xdr:col>
      <xdr:colOff>325008</xdr:colOff>
      <xdr:row>236</xdr:row>
      <xdr:rowOff>174518</xdr:rowOff>
    </xdr:to>
    <xdr:pic>
      <xdr:nvPicPr>
        <xdr:cNvPr id="8" name="Picture 7">
          <a:extLst>
            <a:ext uri="{FF2B5EF4-FFF2-40B4-BE49-F238E27FC236}">
              <a16:creationId xmlns:a16="http://schemas.microsoft.com/office/drawing/2014/main" id="{C3EB1102-DE8B-4AD4-8223-8CD789602EF4}"/>
            </a:ext>
          </a:extLst>
        </xdr:cNvPr>
        <xdr:cNvPicPr>
          <a:picLocks noChangeAspect="1"/>
        </xdr:cNvPicPr>
      </xdr:nvPicPr>
      <xdr:blipFill>
        <a:blip xmlns:r="http://schemas.openxmlformats.org/officeDocument/2006/relationships" r:embed="rId3"/>
        <a:stretch>
          <a:fillRect/>
        </a:stretch>
      </xdr:blipFill>
      <xdr:spPr>
        <a:xfrm>
          <a:off x="142875" y="48320325"/>
          <a:ext cx="182133" cy="222143"/>
        </a:xfrm>
        <a:prstGeom prst="rect">
          <a:avLst/>
        </a:prstGeom>
      </xdr:spPr>
    </xdr:pic>
    <xdr:clientData/>
  </xdr:twoCellAnchor>
  <xdr:twoCellAnchor editAs="oneCell">
    <xdr:from>
      <xdr:col>0</xdr:col>
      <xdr:colOff>139700</xdr:colOff>
      <xdr:row>365</xdr:row>
      <xdr:rowOff>127000</xdr:rowOff>
    </xdr:from>
    <xdr:to>
      <xdr:col>0</xdr:col>
      <xdr:colOff>325008</xdr:colOff>
      <xdr:row>366</xdr:row>
      <xdr:rowOff>114647</xdr:rowOff>
    </xdr:to>
    <xdr:pic>
      <xdr:nvPicPr>
        <xdr:cNvPr id="9" name="Picture 8">
          <a:extLst>
            <a:ext uri="{FF2B5EF4-FFF2-40B4-BE49-F238E27FC236}">
              <a16:creationId xmlns:a16="http://schemas.microsoft.com/office/drawing/2014/main" id="{D76FAB43-96B5-4683-A839-1BDCCAB88DBB}"/>
            </a:ext>
          </a:extLst>
        </xdr:cNvPr>
        <xdr:cNvPicPr>
          <a:picLocks noChangeAspect="1"/>
        </xdr:cNvPicPr>
      </xdr:nvPicPr>
      <xdr:blipFill>
        <a:blip xmlns:r="http://schemas.openxmlformats.org/officeDocument/2006/relationships" r:embed="rId3"/>
        <a:stretch>
          <a:fillRect/>
        </a:stretch>
      </xdr:blipFill>
      <xdr:spPr>
        <a:xfrm>
          <a:off x="142875" y="74409300"/>
          <a:ext cx="182133" cy="228947"/>
        </a:xfrm>
        <a:prstGeom prst="rect">
          <a:avLst/>
        </a:prstGeom>
      </xdr:spPr>
    </xdr:pic>
    <xdr:clientData/>
  </xdr:twoCellAnchor>
  <xdr:twoCellAnchor editAs="oneCell">
    <xdr:from>
      <xdr:col>28</xdr:col>
      <xdr:colOff>0</xdr:colOff>
      <xdr:row>365</xdr:row>
      <xdr:rowOff>0</xdr:rowOff>
    </xdr:from>
    <xdr:to>
      <xdr:col>28</xdr:col>
      <xdr:colOff>818333</xdr:colOff>
      <xdr:row>366</xdr:row>
      <xdr:rowOff>54962</xdr:rowOff>
    </xdr:to>
    <xdr:pic>
      <xdr:nvPicPr>
        <xdr:cNvPr id="10" name="Picture 9">
          <a:extLst>
            <a:ext uri="{FF2B5EF4-FFF2-40B4-BE49-F238E27FC236}">
              <a16:creationId xmlns:a16="http://schemas.microsoft.com/office/drawing/2014/main" id="{F1059141-91F8-44C1-9E63-07BBE4A2526B}"/>
            </a:ext>
          </a:extLst>
        </xdr:cNvPr>
        <xdr:cNvPicPr>
          <a:picLocks noChangeAspect="1"/>
        </xdr:cNvPicPr>
      </xdr:nvPicPr>
      <xdr:blipFill>
        <a:blip xmlns:r="http://schemas.openxmlformats.org/officeDocument/2006/relationships" r:embed="rId4"/>
        <a:stretch>
          <a:fillRect/>
        </a:stretch>
      </xdr:blipFill>
      <xdr:spPr>
        <a:xfrm>
          <a:off x="27165300" y="74285475"/>
          <a:ext cx="818333" cy="293087"/>
        </a:xfrm>
        <a:prstGeom prst="rect">
          <a:avLst/>
        </a:prstGeom>
      </xdr:spPr>
    </xdr:pic>
    <xdr:clientData/>
  </xdr:twoCellAnchor>
  <xdr:twoCellAnchor editAs="oneCell">
    <xdr:from>
      <xdr:col>28</xdr:col>
      <xdr:colOff>63500</xdr:colOff>
      <xdr:row>235</xdr:row>
      <xdr:rowOff>88900</xdr:rowOff>
    </xdr:from>
    <xdr:to>
      <xdr:col>28</xdr:col>
      <xdr:colOff>892628</xdr:colOff>
      <xdr:row>236</xdr:row>
      <xdr:rowOff>170078</xdr:rowOff>
    </xdr:to>
    <xdr:pic>
      <xdr:nvPicPr>
        <xdr:cNvPr id="11" name="Picture 10">
          <a:extLst>
            <a:ext uri="{FF2B5EF4-FFF2-40B4-BE49-F238E27FC236}">
              <a16:creationId xmlns:a16="http://schemas.microsoft.com/office/drawing/2014/main" id="{65F6DB5C-1231-4236-B29A-0329E7AC84EF}"/>
            </a:ext>
          </a:extLst>
        </xdr:cNvPr>
        <xdr:cNvPicPr>
          <a:picLocks noChangeAspect="1"/>
        </xdr:cNvPicPr>
      </xdr:nvPicPr>
      <xdr:blipFill>
        <a:blip xmlns:r="http://schemas.openxmlformats.org/officeDocument/2006/relationships" r:embed="rId4"/>
        <a:stretch>
          <a:fillRect/>
        </a:stretch>
      </xdr:blipFill>
      <xdr:spPr>
        <a:xfrm>
          <a:off x="27231975" y="48253650"/>
          <a:ext cx="825953" cy="284378"/>
        </a:xfrm>
        <a:prstGeom prst="rect">
          <a:avLst/>
        </a:prstGeom>
      </xdr:spPr>
    </xdr:pic>
    <xdr:clientData/>
  </xdr:twoCellAnchor>
  <xdr:twoCellAnchor editAs="oneCell">
    <xdr:from>
      <xdr:col>28</xdr:col>
      <xdr:colOff>25400</xdr:colOff>
      <xdr:row>132</xdr:row>
      <xdr:rowOff>76200</xdr:rowOff>
    </xdr:from>
    <xdr:to>
      <xdr:col>28</xdr:col>
      <xdr:colOff>854528</xdr:colOff>
      <xdr:row>133</xdr:row>
      <xdr:rowOff>164998</xdr:rowOff>
    </xdr:to>
    <xdr:pic>
      <xdr:nvPicPr>
        <xdr:cNvPr id="12" name="Picture 11">
          <a:extLst>
            <a:ext uri="{FF2B5EF4-FFF2-40B4-BE49-F238E27FC236}">
              <a16:creationId xmlns:a16="http://schemas.microsoft.com/office/drawing/2014/main" id="{910AD358-41D6-438F-9EC6-EE8B22F68DCE}"/>
            </a:ext>
          </a:extLst>
        </xdr:cNvPr>
        <xdr:cNvPicPr>
          <a:picLocks noChangeAspect="1"/>
        </xdr:cNvPicPr>
      </xdr:nvPicPr>
      <xdr:blipFill>
        <a:blip xmlns:r="http://schemas.openxmlformats.org/officeDocument/2006/relationships" r:embed="rId4"/>
        <a:stretch>
          <a:fillRect/>
        </a:stretch>
      </xdr:blipFill>
      <xdr:spPr>
        <a:xfrm>
          <a:off x="27193875" y="27603450"/>
          <a:ext cx="825953" cy="285648"/>
        </a:xfrm>
        <a:prstGeom prst="rect">
          <a:avLst/>
        </a:prstGeom>
      </xdr:spPr>
    </xdr:pic>
    <xdr:clientData/>
  </xdr:twoCellAnchor>
  <xdr:twoCellAnchor editAs="oneCell">
    <xdr:from>
      <xdr:col>28</xdr:col>
      <xdr:colOff>0</xdr:colOff>
      <xdr:row>52</xdr:row>
      <xdr:rowOff>0</xdr:rowOff>
    </xdr:from>
    <xdr:to>
      <xdr:col>28</xdr:col>
      <xdr:colOff>818333</xdr:colOff>
      <xdr:row>53</xdr:row>
      <xdr:rowOff>88798</xdr:rowOff>
    </xdr:to>
    <xdr:pic>
      <xdr:nvPicPr>
        <xdr:cNvPr id="13" name="Picture 12">
          <a:extLst>
            <a:ext uri="{FF2B5EF4-FFF2-40B4-BE49-F238E27FC236}">
              <a16:creationId xmlns:a16="http://schemas.microsoft.com/office/drawing/2014/main" id="{E0D18361-7931-43D1-A1F4-E2C890603C8F}"/>
            </a:ext>
          </a:extLst>
        </xdr:cNvPr>
        <xdr:cNvPicPr>
          <a:picLocks noChangeAspect="1"/>
        </xdr:cNvPicPr>
      </xdr:nvPicPr>
      <xdr:blipFill>
        <a:blip xmlns:r="http://schemas.openxmlformats.org/officeDocument/2006/relationships" r:embed="rId4"/>
        <a:stretch>
          <a:fillRect/>
        </a:stretch>
      </xdr:blipFill>
      <xdr:spPr>
        <a:xfrm>
          <a:off x="27165300" y="10896600"/>
          <a:ext cx="818333" cy="2856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28</xdr:col>
      <xdr:colOff>1095375</xdr:colOff>
      <xdr:row>365</xdr:row>
      <xdr:rowOff>123825</xdr:rowOff>
    </xdr:from>
    <xdr:to>
      <xdr:col>28</xdr:col>
      <xdr:colOff>1895475</xdr:colOff>
      <xdr:row>367</xdr:row>
      <xdr:rowOff>152400</xdr:rowOff>
    </xdr:to>
    <xdr:pic>
      <xdr:nvPicPr>
        <xdr:cNvPr id="2" name="Picture 1" descr="C:\WINDOWS\TEMP\~0003946.gif">
          <a:extLst>
            <a:ext uri="{FF2B5EF4-FFF2-40B4-BE49-F238E27FC236}">
              <a16:creationId xmlns:a16="http://schemas.microsoft.com/office/drawing/2014/main" id="{F922AE1C-F43B-4664-B776-38F7722E839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24150" y="74415650"/>
          <a:ext cx="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9EDD209A-013F-40F4-A544-7D5604125E4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27325" y="483298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C01D70CA-881D-4C40-842D-73464512F08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24150" y="276955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F175CAD7-DF90-4586-91BF-B47707E6448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24150" y="110553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325008</xdr:colOff>
      <xdr:row>53</xdr:row>
      <xdr:rowOff>136418</xdr:rowOff>
    </xdr:to>
    <xdr:pic>
      <xdr:nvPicPr>
        <xdr:cNvPr id="6" name="Picture 5">
          <a:extLst>
            <a:ext uri="{FF2B5EF4-FFF2-40B4-BE49-F238E27FC236}">
              <a16:creationId xmlns:a16="http://schemas.microsoft.com/office/drawing/2014/main" id="{399D3F6E-5F5D-47AF-BE46-B775FDEB934D}"/>
            </a:ext>
          </a:extLst>
        </xdr:cNvPr>
        <xdr:cNvPicPr>
          <a:picLocks noChangeAspect="1"/>
        </xdr:cNvPicPr>
      </xdr:nvPicPr>
      <xdr:blipFill>
        <a:blip xmlns:r="http://schemas.openxmlformats.org/officeDocument/2006/relationships" r:embed="rId3"/>
        <a:stretch>
          <a:fillRect/>
        </a:stretch>
      </xdr:blipFill>
      <xdr:spPr>
        <a:xfrm>
          <a:off x="142875" y="11010900"/>
          <a:ext cx="182133" cy="222143"/>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210713</xdr:rowOff>
    </xdr:to>
    <xdr:pic>
      <xdr:nvPicPr>
        <xdr:cNvPr id="7" name="Picture 6">
          <a:extLst>
            <a:ext uri="{FF2B5EF4-FFF2-40B4-BE49-F238E27FC236}">
              <a16:creationId xmlns:a16="http://schemas.microsoft.com/office/drawing/2014/main" id="{F893B6CD-54A6-45F5-9565-B02FD73D88FB}"/>
            </a:ext>
          </a:extLst>
        </xdr:cNvPr>
        <xdr:cNvPicPr>
          <a:picLocks noChangeAspect="1"/>
        </xdr:cNvPicPr>
      </xdr:nvPicPr>
      <xdr:blipFill>
        <a:blip xmlns:r="http://schemas.openxmlformats.org/officeDocument/2006/relationships" r:embed="rId3"/>
        <a:stretch>
          <a:fillRect/>
        </a:stretch>
      </xdr:blipFill>
      <xdr:spPr>
        <a:xfrm>
          <a:off x="161925" y="27717750"/>
          <a:ext cx="171973" cy="229763"/>
        </a:xfrm>
        <a:prstGeom prst="rect">
          <a:avLst/>
        </a:prstGeom>
      </xdr:spPr>
    </xdr:pic>
    <xdr:clientData/>
  </xdr:twoCellAnchor>
  <xdr:twoCellAnchor editAs="oneCell">
    <xdr:from>
      <xdr:col>0</xdr:col>
      <xdr:colOff>139700</xdr:colOff>
      <xdr:row>235</xdr:row>
      <xdr:rowOff>152400</xdr:rowOff>
    </xdr:from>
    <xdr:to>
      <xdr:col>0</xdr:col>
      <xdr:colOff>325008</xdr:colOff>
      <xdr:row>236</xdr:row>
      <xdr:rowOff>174518</xdr:rowOff>
    </xdr:to>
    <xdr:pic>
      <xdr:nvPicPr>
        <xdr:cNvPr id="8" name="Picture 7">
          <a:extLst>
            <a:ext uri="{FF2B5EF4-FFF2-40B4-BE49-F238E27FC236}">
              <a16:creationId xmlns:a16="http://schemas.microsoft.com/office/drawing/2014/main" id="{181BF278-DF2E-4304-AD11-F7529FBDA9DB}"/>
            </a:ext>
          </a:extLst>
        </xdr:cNvPr>
        <xdr:cNvPicPr>
          <a:picLocks noChangeAspect="1"/>
        </xdr:cNvPicPr>
      </xdr:nvPicPr>
      <xdr:blipFill>
        <a:blip xmlns:r="http://schemas.openxmlformats.org/officeDocument/2006/relationships" r:embed="rId3"/>
        <a:stretch>
          <a:fillRect/>
        </a:stretch>
      </xdr:blipFill>
      <xdr:spPr>
        <a:xfrm>
          <a:off x="142875" y="48329850"/>
          <a:ext cx="182133" cy="222143"/>
        </a:xfrm>
        <a:prstGeom prst="rect">
          <a:avLst/>
        </a:prstGeom>
      </xdr:spPr>
    </xdr:pic>
    <xdr:clientData/>
  </xdr:twoCellAnchor>
  <xdr:twoCellAnchor editAs="oneCell">
    <xdr:from>
      <xdr:col>0</xdr:col>
      <xdr:colOff>139700</xdr:colOff>
      <xdr:row>365</xdr:row>
      <xdr:rowOff>127000</xdr:rowOff>
    </xdr:from>
    <xdr:to>
      <xdr:col>0</xdr:col>
      <xdr:colOff>325008</xdr:colOff>
      <xdr:row>366</xdr:row>
      <xdr:rowOff>114647</xdr:rowOff>
    </xdr:to>
    <xdr:pic>
      <xdr:nvPicPr>
        <xdr:cNvPr id="9" name="Picture 8">
          <a:extLst>
            <a:ext uri="{FF2B5EF4-FFF2-40B4-BE49-F238E27FC236}">
              <a16:creationId xmlns:a16="http://schemas.microsoft.com/office/drawing/2014/main" id="{783D26FD-5927-4267-ACEE-B9E0A1B38E72}"/>
            </a:ext>
          </a:extLst>
        </xdr:cNvPr>
        <xdr:cNvPicPr>
          <a:picLocks noChangeAspect="1"/>
        </xdr:cNvPicPr>
      </xdr:nvPicPr>
      <xdr:blipFill>
        <a:blip xmlns:r="http://schemas.openxmlformats.org/officeDocument/2006/relationships" r:embed="rId3"/>
        <a:stretch>
          <a:fillRect/>
        </a:stretch>
      </xdr:blipFill>
      <xdr:spPr>
        <a:xfrm>
          <a:off x="142875" y="74418825"/>
          <a:ext cx="182133" cy="228947"/>
        </a:xfrm>
        <a:prstGeom prst="rect">
          <a:avLst/>
        </a:prstGeom>
      </xdr:spPr>
    </xdr:pic>
    <xdr:clientData/>
  </xdr:twoCellAnchor>
  <xdr:twoCellAnchor editAs="oneCell">
    <xdr:from>
      <xdr:col>28</xdr:col>
      <xdr:colOff>0</xdr:colOff>
      <xdr:row>365</xdr:row>
      <xdr:rowOff>0</xdr:rowOff>
    </xdr:from>
    <xdr:to>
      <xdr:col>28</xdr:col>
      <xdr:colOff>818333</xdr:colOff>
      <xdr:row>366</xdr:row>
      <xdr:rowOff>54962</xdr:rowOff>
    </xdr:to>
    <xdr:pic>
      <xdr:nvPicPr>
        <xdr:cNvPr id="10" name="Picture 9">
          <a:extLst>
            <a:ext uri="{FF2B5EF4-FFF2-40B4-BE49-F238E27FC236}">
              <a16:creationId xmlns:a16="http://schemas.microsoft.com/office/drawing/2014/main" id="{1E2477C8-BE1A-4610-A6DB-708B1EEC3AB1}"/>
            </a:ext>
          </a:extLst>
        </xdr:cNvPr>
        <xdr:cNvPicPr>
          <a:picLocks noChangeAspect="1"/>
        </xdr:cNvPicPr>
      </xdr:nvPicPr>
      <xdr:blipFill>
        <a:blip xmlns:r="http://schemas.openxmlformats.org/officeDocument/2006/relationships" r:embed="rId4"/>
        <a:stretch>
          <a:fillRect/>
        </a:stretch>
      </xdr:blipFill>
      <xdr:spPr>
        <a:xfrm>
          <a:off x="27146250" y="74295000"/>
          <a:ext cx="818333" cy="293087"/>
        </a:xfrm>
        <a:prstGeom prst="rect">
          <a:avLst/>
        </a:prstGeom>
      </xdr:spPr>
    </xdr:pic>
    <xdr:clientData/>
  </xdr:twoCellAnchor>
  <xdr:twoCellAnchor editAs="oneCell">
    <xdr:from>
      <xdr:col>28</xdr:col>
      <xdr:colOff>63500</xdr:colOff>
      <xdr:row>235</xdr:row>
      <xdr:rowOff>88900</xdr:rowOff>
    </xdr:from>
    <xdr:to>
      <xdr:col>28</xdr:col>
      <xdr:colOff>892628</xdr:colOff>
      <xdr:row>236</xdr:row>
      <xdr:rowOff>170078</xdr:rowOff>
    </xdr:to>
    <xdr:pic>
      <xdr:nvPicPr>
        <xdr:cNvPr id="11" name="Picture 10">
          <a:extLst>
            <a:ext uri="{FF2B5EF4-FFF2-40B4-BE49-F238E27FC236}">
              <a16:creationId xmlns:a16="http://schemas.microsoft.com/office/drawing/2014/main" id="{945B9CD4-DD0F-4506-BDCE-C316EDB86F22}"/>
            </a:ext>
          </a:extLst>
        </xdr:cNvPr>
        <xdr:cNvPicPr>
          <a:picLocks noChangeAspect="1"/>
        </xdr:cNvPicPr>
      </xdr:nvPicPr>
      <xdr:blipFill>
        <a:blip xmlns:r="http://schemas.openxmlformats.org/officeDocument/2006/relationships" r:embed="rId4"/>
        <a:stretch>
          <a:fillRect/>
        </a:stretch>
      </xdr:blipFill>
      <xdr:spPr>
        <a:xfrm>
          <a:off x="27212925" y="48263175"/>
          <a:ext cx="825953" cy="284378"/>
        </a:xfrm>
        <a:prstGeom prst="rect">
          <a:avLst/>
        </a:prstGeom>
      </xdr:spPr>
    </xdr:pic>
    <xdr:clientData/>
  </xdr:twoCellAnchor>
  <xdr:twoCellAnchor editAs="oneCell">
    <xdr:from>
      <xdr:col>28</xdr:col>
      <xdr:colOff>25400</xdr:colOff>
      <xdr:row>132</xdr:row>
      <xdr:rowOff>76200</xdr:rowOff>
    </xdr:from>
    <xdr:to>
      <xdr:col>28</xdr:col>
      <xdr:colOff>854528</xdr:colOff>
      <xdr:row>133</xdr:row>
      <xdr:rowOff>164998</xdr:rowOff>
    </xdr:to>
    <xdr:pic>
      <xdr:nvPicPr>
        <xdr:cNvPr id="12" name="Picture 11">
          <a:extLst>
            <a:ext uri="{FF2B5EF4-FFF2-40B4-BE49-F238E27FC236}">
              <a16:creationId xmlns:a16="http://schemas.microsoft.com/office/drawing/2014/main" id="{E3FB61CA-D85F-402E-B860-D8514D260EE9}"/>
            </a:ext>
          </a:extLst>
        </xdr:cNvPr>
        <xdr:cNvPicPr>
          <a:picLocks noChangeAspect="1"/>
        </xdr:cNvPicPr>
      </xdr:nvPicPr>
      <xdr:blipFill>
        <a:blip xmlns:r="http://schemas.openxmlformats.org/officeDocument/2006/relationships" r:embed="rId4"/>
        <a:stretch>
          <a:fillRect/>
        </a:stretch>
      </xdr:blipFill>
      <xdr:spPr>
        <a:xfrm>
          <a:off x="27174825" y="27612975"/>
          <a:ext cx="825953" cy="285648"/>
        </a:xfrm>
        <a:prstGeom prst="rect">
          <a:avLst/>
        </a:prstGeom>
      </xdr:spPr>
    </xdr:pic>
    <xdr:clientData/>
  </xdr:twoCellAnchor>
  <xdr:twoCellAnchor editAs="oneCell">
    <xdr:from>
      <xdr:col>28</xdr:col>
      <xdr:colOff>0</xdr:colOff>
      <xdr:row>52</xdr:row>
      <xdr:rowOff>0</xdr:rowOff>
    </xdr:from>
    <xdr:to>
      <xdr:col>28</xdr:col>
      <xdr:colOff>818333</xdr:colOff>
      <xdr:row>53</xdr:row>
      <xdr:rowOff>88798</xdr:rowOff>
    </xdr:to>
    <xdr:pic>
      <xdr:nvPicPr>
        <xdr:cNvPr id="13" name="Picture 12">
          <a:extLst>
            <a:ext uri="{FF2B5EF4-FFF2-40B4-BE49-F238E27FC236}">
              <a16:creationId xmlns:a16="http://schemas.microsoft.com/office/drawing/2014/main" id="{8269DAD9-B7DC-4DE1-A811-CE25B277F6F8}"/>
            </a:ext>
          </a:extLst>
        </xdr:cNvPr>
        <xdr:cNvPicPr>
          <a:picLocks noChangeAspect="1"/>
        </xdr:cNvPicPr>
      </xdr:nvPicPr>
      <xdr:blipFill>
        <a:blip xmlns:r="http://schemas.openxmlformats.org/officeDocument/2006/relationships" r:embed="rId4"/>
        <a:stretch>
          <a:fillRect/>
        </a:stretch>
      </xdr:blipFill>
      <xdr:spPr>
        <a:xfrm>
          <a:off x="27146250" y="10896600"/>
          <a:ext cx="818333" cy="2856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28</xdr:col>
      <xdr:colOff>1095375</xdr:colOff>
      <xdr:row>365</xdr:row>
      <xdr:rowOff>123825</xdr:rowOff>
    </xdr:from>
    <xdr:to>
      <xdr:col>28</xdr:col>
      <xdr:colOff>1895475</xdr:colOff>
      <xdr:row>367</xdr:row>
      <xdr:rowOff>152400</xdr:rowOff>
    </xdr:to>
    <xdr:pic>
      <xdr:nvPicPr>
        <xdr:cNvPr id="2" name="Picture 1" descr="C:\WINDOWS\TEMP\~0003946.gif">
          <a:extLst>
            <a:ext uri="{FF2B5EF4-FFF2-40B4-BE49-F238E27FC236}">
              <a16:creationId xmlns:a16="http://schemas.microsoft.com/office/drawing/2014/main" id="{A8937281-D8EA-4275-930D-2288C83F194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24150" y="74415650"/>
          <a:ext cx="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3F43AE8D-9E72-4F4A-B695-34EAD3F13AB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27325" y="483298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ADB3B123-59C7-4AD0-88C8-DBEDDB8ADE0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24150" y="276955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1D5DB85E-F71C-4EAC-A2DE-3F3C87E2B25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24150" y="110553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321198</xdr:colOff>
      <xdr:row>53</xdr:row>
      <xdr:rowOff>132608</xdr:rowOff>
    </xdr:to>
    <xdr:pic>
      <xdr:nvPicPr>
        <xdr:cNvPr id="6" name="Picture 5">
          <a:extLst>
            <a:ext uri="{FF2B5EF4-FFF2-40B4-BE49-F238E27FC236}">
              <a16:creationId xmlns:a16="http://schemas.microsoft.com/office/drawing/2014/main" id="{E80B594C-1161-4DCD-BCA6-A396ECE8C565}"/>
            </a:ext>
          </a:extLst>
        </xdr:cNvPr>
        <xdr:cNvPicPr>
          <a:picLocks noChangeAspect="1"/>
        </xdr:cNvPicPr>
      </xdr:nvPicPr>
      <xdr:blipFill>
        <a:blip xmlns:r="http://schemas.openxmlformats.org/officeDocument/2006/relationships" r:embed="rId3"/>
        <a:stretch>
          <a:fillRect/>
        </a:stretch>
      </xdr:blipFill>
      <xdr:spPr>
        <a:xfrm>
          <a:off x="142875" y="11010900"/>
          <a:ext cx="182133" cy="222143"/>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206903</xdr:rowOff>
    </xdr:to>
    <xdr:pic>
      <xdr:nvPicPr>
        <xdr:cNvPr id="7" name="Picture 6">
          <a:extLst>
            <a:ext uri="{FF2B5EF4-FFF2-40B4-BE49-F238E27FC236}">
              <a16:creationId xmlns:a16="http://schemas.microsoft.com/office/drawing/2014/main" id="{F81D18E0-FB76-42E4-A73A-F38BC4272761}"/>
            </a:ext>
          </a:extLst>
        </xdr:cNvPr>
        <xdr:cNvPicPr>
          <a:picLocks noChangeAspect="1"/>
        </xdr:cNvPicPr>
      </xdr:nvPicPr>
      <xdr:blipFill>
        <a:blip xmlns:r="http://schemas.openxmlformats.org/officeDocument/2006/relationships" r:embed="rId3"/>
        <a:stretch>
          <a:fillRect/>
        </a:stretch>
      </xdr:blipFill>
      <xdr:spPr>
        <a:xfrm>
          <a:off x="161925" y="27717750"/>
          <a:ext cx="171973" cy="229763"/>
        </a:xfrm>
        <a:prstGeom prst="rect">
          <a:avLst/>
        </a:prstGeom>
      </xdr:spPr>
    </xdr:pic>
    <xdr:clientData/>
  </xdr:twoCellAnchor>
  <xdr:twoCellAnchor editAs="oneCell">
    <xdr:from>
      <xdr:col>0</xdr:col>
      <xdr:colOff>139700</xdr:colOff>
      <xdr:row>235</xdr:row>
      <xdr:rowOff>152400</xdr:rowOff>
    </xdr:from>
    <xdr:to>
      <xdr:col>0</xdr:col>
      <xdr:colOff>321198</xdr:colOff>
      <xdr:row>236</xdr:row>
      <xdr:rowOff>170708</xdr:rowOff>
    </xdr:to>
    <xdr:pic>
      <xdr:nvPicPr>
        <xdr:cNvPr id="8" name="Picture 7">
          <a:extLst>
            <a:ext uri="{FF2B5EF4-FFF2-40B4-BE49-F238E27FC236}">
              <a16:creationId xmlns:a16="http://schemas.microsoft.com/office/drawing/2014/main" id="{6A20BDB0-5790-4514-B5C1-182DD2CBBA18}"/>
            </a:ext>
          </a:extLst>
        </xdr:cNvPr>
        <xdr:cNvPicPr>
          <a:picLocks noChangeAspect="1"/>
        </xdr:cNvPicPr>
      </xdr:nvPicPr>
      <xdr:blipFill>
        <a:blip xmlns:r="http://schemas.openxmlformats.org/officeDocument/2006/relationships" r:embed="rId3"/>
        <a:stretch>
          <a:fillRect/>
        </a:stretch>
      </xdr:blipFill>
      <xdr:spPr>
        <a:xfrm>
          <a:off x="142875" y="48329850"/>
          <a:ext cx="182133" cy="222143"/>
        </a:xfrm>
        <a:prstGeom prst="rect">
          <a:avLst/>
        </a:prstGeom>
      </xdr:spPr>
    </xdr:pic>
    <xdr:clientData/>
  </xdr:twoCellAnchor>
  <xdr:twoCellAnchor editAs="oneCell">
    <xdr:from>
      <xdr:col>0</xdr:col>
      <xdr:colOff>139700</xdr:colOff>
      <xdr:row>365</xdr:row>
      <xdr:rowOff>127000</xdr:rowOff>
    </xdr:from>
    <xdr:to>
      <xdr:col>0</xdr:col>
      <xdr:colOff>321198</xdr:colOff>
      <xdr:row>366</xdr:row>
      <xdr:rowOff>114647</xdr:rowOff>
    </xdr:to>
    <xdr:pic>
      <xdr:nvPicPr>
        <xdr:cNvPr id="9" name="Picture 8">
          <a:extLst>
            <a:ext uri="{FF2B5EF4-FFF2-40B4-BE49-F238E27FC236}">
              <a16:creationId xmlns:a16="http://schemas.microsoft.com/office/drawing/2014/main" id="{643A5D23-DE7A-4F6F-A568-B4BDB17E4DA3}"/>
            </a:ext>
          </a:extLst>
        </xdr:cNvPr>
        <xdr:cNvPicPr>
          <a:picLocks noChangeAspect="1"/>
        </xdr:cNvPicPr>
      </xdr:nvPicPr>
      <xdr:blipFill>
        <a:blip xmlns:r="http://schemas.openxmlformats.org/officeDocument/2006/relationships" r:embed="rId3"/>
        <a:stretch>
          <a:fillRect/>
        </a:stretch>
      </xdr:blipFill>
      <xdr:spPr>
        <a:xfrm>
          <a:off x="142875" y="74418825"/>
          <a:ext cx="182133" cy="228947"/>
        </a:xfrm>
        <a:prstGeom prst="rect">
          <a:avLst/>
        </a:prstGeom>
      </xdr:spPr>
    </xdr:pic>
    <xdr:clientData/>
  </xdr:twoCellAnchor>
  <xdr:twoCellAnchor editAs="oneCell">
    <xdr:from>
      <xdr:col>28</xdr:col>
      <xdr:colOff>0</xdr:colOff>
      <xdr:row>365</xdr:row>
      <xdr:rowOff>0</xdr:rowOff>
    </xdr:from>
    <xdr:to>
      <xdr:col>28</xdr:col>
      <xdr:colOff>822143</xdr:colOff>
      <xdr:row>366</xdr:row>
      <xdr:rowOff>58772</xdr:rowOff>
    </xdr:to>
    <xdr:pic>
      <xdr:nvPicPr>
        <xdr:cNvPr id="10" name="Picture 9">
          <a:extLst>
            <a:ext uri="{FF2B5EF4-FFF2-40B4-BE49-F238E27FC236}">
              <a16:creationId xmlns:a16="http://schemas.microsoft.com/office/drawing/2014/main" id="{43ED7F5A-6167-4D4D-8A29-B795EAD2553C}"/>
            </a:ext>
          </a:extLst>
        </xdr:cNvPr>
        <xdr:cNvPicPr>
          <a:picLocks noChangeAspect="1"/>
        </xdr:cNvPicPr>
      </xdr:nvPicPr>
      <xdr:blipFill>
        <a:blip xmlns:r="http://schemas.openxmlformats.org/officeDocument/2006/relationships" r:embed="rId4"/>
        <a:stretch>
          <a:fillRect/>
        </a:stretch>
      </xdr:blipFill>
      <xdr:spPr>
        <a:xfrm>
          <a:off x="27146250" y="74295000"/>
          <a:ext cx="818333" cy="293087"/>
        </a:xfrm>
        <a:prstGeom prst="rect">
          <a:avLst/>
        </a:prstGeom>
      </xdr:spPr>
    </xdr:pic>
    <xdr:clientData/>
  </xdr:twoCellAnchor>
  <xdr:twoCellAnchor editAs="oneCell">
    <xdr:from>
      <xdr:col>28</xdr:col>
      <xdr:colOff>63500</xdr:colOff>
      <xdr:row>235</xdr:row>
      <xdr:rowOff>88900</xdr:rowOff>
    </xdr:from>
    <xdr:to>
      <xdr:col>28</xdr:col>
      <xdr:colOff>896438</xdr:colOff>
      <xdr:row>236</xdr:row>
      <xdr:rowOff>173888</xdr:rowOff>
    </xdr:to>
    <xdr:pic>
      <xdr:nvPicPr>
        <xdr:cNvPr id="11" name="Picture 10">
          <a:extLst>
            <a:ext uri="{FF2B5EF4-FFF2-40B4-BE49-F238E27FC236}">
              <a16:creationId xmlns:a16="http://schemas.microsoft.com/office/drawing/2014/main" id="{868F4E2B-D9A2-4E16-B496-5E79B5A9C3E8}"/>
            </a:ext>
          </a:extLst>
        </xdr:cNvPr>
        <xdr:cNvPicPr>
          <a:picLocks noChangeAspect="1"/>
        </xdr:cNvPicPr>
      </xdr:nvPicPr>
      <xdr:blipFill>
        <a:blip xmlns:r="http://schemas.openxmlformats.org/officeDocument/2006/relationships" r:embed="rId4"/>
        <a:stretch>
          <a:fillRect/>
        </a:stretch>
      </xdr:blipFill>
      <xdr:spPr>
        <a:xfrm>
          <a:off x="27212925" y="48263175"/>
          <a:ext cx="825953" cy="284378"/>
        </a:xfrm>
        <a:prstGeom prst="rect">
          <a:avLst/>
        </a:prstGeom>
      </xdr:spPr>
    </xdr:pic>
    <xdr:clientData/>
  </xdr:twoCellAnchor>
  <xdr:twoCellAnchor editAs="oneCell">
    <xdr:from>
      <xdr:col>28</xdr:col>
      <xdr:colOff>25400</xdr:colOff>
      <xdr:row>132</xdr:row>
      <xdr:rowOff>76200</xdr:rowOff>
    </xdr:from>
    <xdr:to>
      <xdr:col>28</xdr:col>
      <xdr:colOff>858338</xdr:colOff>
      <xdr:row>133</xdr:row>
      <xdr:rowOff>169443</xdr:rowOff>
    </xdr:to>
    <xdr:pic>
      <xdr:nvPicPr>
        <xdr:cNvPr id="12" name="Picture 11">
          <a:extLst>
            <a:ext uri="{FF2B5EF4-FFF2-40B4-BE49-F238E27FC236}">
              <a16:creationId xmlns:a16="http://schemas.microsoft.com/office/drawing/2014/main" id="{3F2553D1-CC5A-4BD5-8D19-016302478B2D}"/>
            </a:ext>
          </a:extLst>
        </xdr:cNvPr>
        <xdr:cNvPicPr>
          <a:picLocks noChangeAspect="1"/>
        </xdr:cNvPicPr>
      </xdr:nvPicPr>
      <xdr:blipFill>
        <a:blip xmlns:r="http://schemas.openxmlformats.org/officeDocument/2006/relationships" r:embed="rId4"/>
        <a:stretch>
          <a:fillRect/>
        </a:stretch>
      </xdr:blipFill>
      <xdr:spPr>
        <a:xfrm>
          <a:off x="27174825" y="27612975"/>
          <a:ext cx="825953" cy="285648"/>
        </a:xfrm>
        <a:prstGeom prst="rect">
          <a:avLst/>
        </a:prstGeom>
      </xdr:spPr>
    </xdr:pic>
    <xdr:clientData/>
  </xdr:twoCellAnchor>
  <xdr:twoCellAnchor editAs="oneCell">
    <xdr:from>
      <xdr:col>28</xdr:col>
      <xdr:colOff>0</xdr:colOff>
      <xdr:row>52</xdr:row>
      <xdr:rowOff>0</xdr:rowOff>
    </xdr:from>
    <xdr:to>
      <xdr:col>28</xdr:col>
      <xdr:colOff>822143</xdr:colOff>
      <xdr:row>53</xdr:row>
      <xdr:rowOff>93243</xdr:rowOff>
    </xdr:to>
    <xdr:pic>
      <xdr:nvPicPr>
        <xdr:cNvPr id="13" name="Picture 12">
          <a:extLst>
            <a:ext uri="{FF2B5EF4-FFF2-40B4-BE49-F238E27FC236}">
              <a16:creationId xmlns:a16="http://schemas.microsoft.com/office/drawing/2014/main" id="{308F46EA-DD20-43AE-BCCF-9FEE1C723CD1}"/>
            </a:ext>
          </a:extLst>
        </xdr:cNvPr>
        <xdr:cNvPicPr>
          <a:picLocks noChangeAspect="1"/>
        </xdr:cNvPicPr>
      </xdr:nvPicPr>
      <xdr:blipFill>
        <a:blip xmlns:r="http://schemas.openxmlformats.org/officeDocument/2006/relationships" r:embed="rId4"/>
        <a:stretch>
          <a:fillRect/>
        </a:stretch>
      </xdr:blipFill>
      <xdr:spPr>
        <a:xfrm>
          <a:off x="27146250" y="10896600"/>
          <a:ext cx="818333" cy="2856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28</xdr:col>
      <xdr:colOff>1095375</xdr:colOff>
      <xdr:row>348</xdr:row>
      <xdr:rowOff>123825</xdr:rowOff>
    </xdr:from>
    <xdr:to>
      <xdr:col>28</xdr:col>
      <xdr:colOff>1895475</xdr:colOff>
      <xdr:row>350</xdr:row>
      <xdr:rowOff>152400</xdr:rowOff>
    </xdr:to>
    <xdr:pic>
      <xdr:nvPicPr>
        <xdr:cNvPr id="2" name="Picture 1" descr="C:\WINDOWS\TEMP\~0003946.gif">
          <a:extLst>
            <a:ext uri="{FF2B5EF4-FFF2-40B4-BE49-F238E27FC236}">
              <a16:creationId xmlns:a16="http://schemas.microsoft.com/office/drawing/2014/main" id="{64F9225F-F395-4629-ACBB-33741A69C10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7336472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235</xdr:row>
      <xdr:rowOff>152400</xdr:rowOff>
    </xdr:from>
    <xdr:to>
      <xdr:col>28</xdr:col>
      <xdr:colOff>1924050</xdr:colOff>
      <xdr:row>236</xdr:row>
      <xdr:rowOff>180975</xdr:rowOff>
    </xdr:to>
    <xdr:pic>
      <xdr:nvPicPr>
        <xdr:cNvPr id="3" name="Picture 2" descr="C:\WINDOWS\TEMP\~0003946.gif">
          <a:extLst>
            <a:ext uri="{FF2B5EF4-FFF2-40B4-BE49-F238E27FC236}">
              <a16:creationId xmlns:a16="http://schemas.microsoft.com/office/drawing/2014/main" id="{E81FAF8B-308A-4ADF-A7A1-369441B5EAE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7950" y="476567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132</xdr:row>
      <xdr:rowOff>161925</xdr:rowOff>
    </xdr:from>
    <xdr:to>
      <xdr:col>28</xdr:col>
      <xdr:colOff>1952625</xdr:colOff>
      <xdr:row>133</xdr:row>
      <xdr:rowOff>190500</xdr:rowOff>
    </xdr:to>
    <xdr:pic>
      <xdr:nvPicPr>
        <xdr:cNvPr id="4" name="Picture 3" descr="C:\WINDOWS\TEMP\~0003946.gif">
          <a:extLst>
            <a:ext uri="{FF2B5EF4-FFF2-40B4-BE49-F238E27FC236}">
              <a16:creationId xmlns:a16="http://schemas.microsoft.com/office/drawing/2014/main" id="{E36EB1FE-386F-4F25-B13E-92978B93649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273018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52</xdr:row>
      <xdr:rowOff>161925</xdr:rowOff>
    </xdr:from>
    <xdr:to>
      <xdr:col>28</xdr:col>
      <xdr:colOff>1952625</xdr:colOff>
      <xdr:row>53</xdr:row>
      <xdr:rowOff>190500</xdr:rowOff>
    </xdr:to>
    <xdr:pic>
      <xdr:nvPicPr>
        <xdr:cNvPr id="5" name="Picture 4" descr="C:\WINDOWS\TEMP\~0003946.gif">
          <a:extLst>
            <a:ext uri="{FF2B5EF4-FFF2-40B4-BE49-F238E27FC236}">
              <a16:creationId xmlns:a16="http://schemas.microsoft.com/office/drawing/2014/main" id="{8C8DAACA-271F-4496-B635-6D0F6E77BD8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4775" y="1090612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52</xdr:row>
      <xdr:rowOff>114300</xdr:rowOff>
    </xdr:from>
    <xdr:to>
      <xdr:col>0</xdr:col>
      <xdr:colOff>321198</xdr:colOff>
      <xdr:row>53</xdr:row>
      <xdr:rowOff>132608</xdr:rowOff>
    </xdr:to>
    <xdr:pic>
      <xdr:nvPicPr>
        <xdr:cNvPr id="6" name="Picture 5">
          <a:extLst>
            <a:ext uri="{FF2B5EF4-FFF2-40B4-BE49-F238E27FC236}">
              <a16:creationId xmlns:a16="http://schemas.microsoft.com/office/drawing/2014/main" id="{1785C830-1B13-43D5-9F0E-506C5878A77A}"/>
            </a:ext>
          </a:extLst>
        </xdr:cNvPr>
        <xdr:cNvPicPr>
          <a:picLocks noChangeAspect="1"/>
        </xdr:cNvPicPr>
      </xdr:nvPicPr>
      <xdr:blipFill>
        <a:blip xmlns:r="http://schemas.openxmlformats.org/officeDocument/2006/relationships" r:embed="rId3"/>
        <a:stretch>
          <a:fillRect/>
        </a:stretch>
      </xdr:blipFill>
      <xdr:spPr>
        <a:xfrm>
          <a:off x="139700" y="10858500"/>
          <a:ext cx="181498" cy="215158"/>
        </a:xfrm>
        <a:prstGeom prst="rect">
          <a:avLst/>
        </a:prstGeom>
      </xdr:spPr>
    </xdr:pic>
    <xdr:clientData/>
  </xdr:twoCellAnchor>
  <xdr:twoCellAnchor editAs="oneCell">
    <xdr:from>
      <xdr:col>0</xdr:col>
      <xdr:colOff>165100</xdr:colOff>
      <xdr:row>132</xdr:row>
      <xdr:rowOff>177800</xdr:rowOff>
    </xdr:from>
    <xdr:to>
      <xdr:col>1</xdr:col>
      <xdr:colOff>523</xdr:colOff>
      <xdr:row>133</xdr:row>
      <xdr:rowOff>206903</xdr:rowOff>
    </xdr:to>
    <xdr:pic>
      <xdr:nvPicPr>
        <xdr:cNvPr id="7" name="Picture 6">
          <a:extLst>
            <a:ext uri="{FF2B5EF4-FFF2-40B4-BE49-F238E27FC236}">
              <a16:creationId xmlns:a16="http://schemas.microsoft.com/office/drawing/2014/main" id="{C1C12ABA-BD2E-4321-A807-EA520405EC2A}"/>
            </a:ext>
          </a:extLst>
        </xdr:cNvPr>
        <xdr:cNvPicPr>
          <a:picLocks noChangeAspect="1"/>
        </xdr:cNvPicPr>
      </xdr:nvPicPr>
      <xdr:blipFill>
        <a:blip xmlns:r="http://schemas.openxmlformats.org/officeDocument/2006/relationships" r:embed="rId3"/>
        <a:stretch>
          <a:fillRect/>
        </a:stretch>
      </xdr:blipFill>
      <xdr:spPr>
        <a:xfrm>
          <a:off x="165100" y="27317700"/>
          <a:ext cx="165623" cy="225953"/>
        </a:xfrm>
        <a:prstGeom prst="rect">
          <a:avLst/>
        </a:prstGeom>
      </xdr:spPr>
    </xdr:pic>
    <xdr:clientData/>
  </xdr:twoCellAnchor>
  <xdr:twoCellAnchor editAs="oneCell">
    <xdr:from>
      <xdr:col>0</xdr:col>
      <xdr:colOff>139700</xdr:colOff>
      <xdr:row>235</xdr:row>
      <xdr:rowOff>152400</xdr:rowOff>
    </xdr:from>
    <xdr:to>
      <xdr:col>0</xdr:col>
      <xdr:colOff>321198</xdr:colOff>
      <xdr:row>236</xdr:row>
      <xdr:rowOff>170708</xdr:rowOff>
    </xdr:to>
    <xdr:pic>
      <xdr:nvPicPr>
        <xdr:cNvPr id="8" name="Picture 7">
          <a:extLst>
            <a:ext uri="{FF2B5EF4-FFF2-40B4-BE49-F238E27FC236}">
              <a16:creationId xmlns:a16="http://schemas.microsoft.com/office/drawing/2014/main" id="{ED71893D-1007-48C6-A98F-0321299186CE}"/>
            </a:ext>
          </a:extLst>
        </xdr:cNvPr>
        <xdr:cNvPicPr>
          <a:picLocks noChangeAspect="1"/>
        </xdr:cNvPicPr>
      </xdr:nvPicPr>
      <xdr:blipFill>
        <a:blip xmlns:r="http://schemas.openxmlformats.org/officeDocument/2006/relationships" r:embed="rId3"/>
        <a:stretch>
          <a:fillRect/>
        </a:stretch>
      </xdr:blipFill>
      <xdr:spPr>
        <a:xfrm>
          <a:off x="139700" y="47656750"/>
          <a:ext cx="181498" cy="215158"/>
        </a:xfrm>
        <a:prstGeom prst="rect">
          <a:avLst/>
        </a:prstGeom>
      </xdr:spPr>
    </xdr:pic>
    <xdr:clientData/>
  </xdr:twoCellAnchor>
  <xdr:twoCellAnchor editAs="oneCell">
    <xdr:from>
      <xdr:col>0</xdr:col>
      <xdr:colOff>139700</xdr:colOff>
      <xdr:row>348</xdr:row>
      <xdr:rowOff>127000</xdr:rowOff>
    </xdr:from>
    <xdr:to>
      <xdr:col>0</xdr:col>
      <xdr:colOff>321198</xdr:colOff>
      <xdr:row>349</xdr:row>
      <xdr:rowOff>114646</xdr:rowOff>
    </xdr:to>
    <xdr:pic>
      <xdr:nvPicPr>
        <xdr:cNvPr id="9" name="Picture 8">
          <a:extLst>
            <a:ext uri="{FF2B5EF4-FFF2-40B4-BE49-F238E27FC236}">
              <a16:creationId xmlns:a16="http://schemas.microsoft.com/office/drawing/2014/main" id="{22C053BA-9AA5-4B0B-9290-F5A40F887D48}"/>
            </a:ext>
          </a:extLst>
        </xdr:cNvPr>
        <xdr:cNvPicPr>
          <a:picLocks noChangeAspect="1"/>
        </xdr:cNvPicPr>
      </xdr:nvPicPr>
      <xdr:blipFill>
        <a:blip xmlns:r="http://schemas.openxmlformats.org/officeDocument/2006/relationships" r:embed="rId3"/>
        <a:stretch>
          <a:fillRect/>
        </a:stretch>
      </xdr:blipFill>
      <xdr:spPr>
        <a:xfrm>
          <a:off x="139700" y="73367900"/>
          <a:ext cx="181498" cy="222597"/>
        </a:xfrm>
        <a:prstGeom prst="rect">
          <a:avLst/>
        </a:prstGeom>
      </xdr:spPr>
    </xdr:pic>
    <xdr:clientData/>
  </xdr:twoCellAnchor>
  <xdr:twoCellAnchor editAs="oneCell">
    <xdr:from>
      <xdr:col>28</xdr:col>
      <xdr:colOff>0</xdr:colOff>
      <xdr:row>348</xdr:row>
      <xdr:rowOff>0</xdr:rowOff>
    </xdr:from>
    <xdr:to>
      <xdr:col>28</xdr:col>
      <xdr:colOff>822143</xdr:colOff>
      <xdr:row>349</xdr:row>
      <xdr:rowOff>58771</xdr:rowOff>
    </xdr:to>
    <xdr:pic>
      <xdr:nvPicPr>
        <xdr:cNvPr id="10" name="Picture 9">
          <a:extLst>
            <a:ext uri="{FF2B5EF4-FFF2-40B4-BE49-F238E27FC236}">
              <a16:creationId xmlns:a16="http://schemas.microsoft.com/office/drawing/2014/main" id="{3930B523-B52C-4CF2-929F-13A4E7B563FC}"/>
            </a:ext>
          </a:extLst>
        </xdr:cNvPr>
        <xdr:cNvPicPr>
          <a:picLocks noChangeAspect="1"/>
        </xdr:cNvPicPr>
      </xdr:nvPicPr>
      <xdr:blipFill>
        <a:blip xmlns:r="http://schemas.openxmlformats.org/officeDocument/2006/relationships" r:embed="rId4"/>
        <a:stretch>
          <a:fillRect/>
        </a:stretch>
      </xdr:blipFill>
      <xdr:spPr>
        <a:xfrm>
          <a:off x="27070050" y="73240900"/>
          <a:ext cx="822143" cy="293722"/>
        </a:xfrm>
        <a:prstGeom prst="rect">
          <a:avLst/>
        </a:prstGeom>
      </xdr:spPr>
    </xdr:pic>
    <xdr:clientData/>
  </xdr:twoCellAnchor>
  <xdr:twoCellAnchor editAs="oneCell">
    <xdr:from>
      <xdr:col>28</xdr:col>
      <xdr:colOff>63500</xdr:colOff>
      <xdr:row>235</xdr:row>
      <xdr:rowOff>88900</xdr:rowOff>
    </xdr:from>
    <xdr:to>
      <xdr:col>28</xdr:col>
      <xdr:colOff>896438</xdr:colOff>
      <xdr:row>236</xdr:row>
      <xdr:rowOff>173888</xdr:rowOff>
    </xdr:to>
    <xdr:pic>
      <xdr:nvPicPr>
        <xdr:cNvPr id="11" name="Picture 10">
          <a:extLst>
            <a:ext uri="{FF2B5EF4-FFF2-40B4-BE49-F238E27FC236}">
              <a16:creationId xmlns:a16="http://schemas.microsoft.com/office/drawing/2014/main" id="{63555CFD-6685-4BE8-88DE-343412412597}"/>
            </a:ext>
          </a:extLst>
        </xdr:cNvPr>
        <xdr:cNvPicPr>
          <a:picLocks noChangeAspect="1"/>
        </xdr:cNvPicPr>
      </xdr:nvPicPr>
      <xdr:blipFill>
        <a:blip xmlns:r="http://schemas.openxmlformats.org/officeDocument/2006/relationships" r:embed="rId4"/>
        <a:stretch>
          <a:fillRect/>
        </a:stretch>
      </xdr:blipFill>
      <xdr:spPr>
        <a:xfrm>
          <a:off x="27133550" y="47593250"/>
          <a:ext cx="832938" cy="281838"/>
        </a:xfrm>
        <a:prstGeom prst="rect">
          <a:avLst/>
        </a:prstGeom>
      </xdr:spPr>
    </xdr:pic>
    <xdr:clientData/>
  </xdr:twoCellAnchor>
  <xdr:twoCellAnchor editAs="oneCell">
    <xdr:from>
      <xdr:col>28</xdr:col>
      <xdr:colOff>25400</xdr:colOff>
      <xdr:row>132</xdr:row>
      <xdr:rowOff>76200</xdr:rowOff>
    </xdr:from>
    <xdr:to>
      <xdr:col>28</xdr:col>
      <xdr:colOff>858338</xdr:colOff>
      <xdr:row>133</xdr:row>
      <xdr:rowOff>169443</xdr:rowOff>
    </xdr:to>
    <xdr:pic>
      <xdr:nvPicPr>
        <xdr:cNvPr id="12" name="Picture 11">
          <a:extLst>
            <a:ext uri="{FF2B5EF4-FFF2-40B4-BE49-F238E27FC236}">
              <a16:creationId xmlns:a16="http://schemas.microsoft.com/office/drawing/2014/main" id="{7000489C-C196-4D35-BD6F-FBFC4A3BEBD4}"/>
            </a:ext>
          </a:extLst>
        </xdr:cNvPr>
        <xdr:cNvPicPr>
          <a:picLocks noChangeAspect="1"/>
        </xdr:cNvPicPr>
      </xdr:nvPicPr>
      <xdr:blipFill>
        <a:blip xmlns:r="http://schemas.openxmlformats.org/officeDocument/2006/relationships" r:embed="rId4"/>
        <a:stretch>
          <a:fillRect/>
        </a:stretch>
      </xdr:blipFill>
      <xdr:spPr>
        <a:xfrm>
          <a:off x="27095450" y="27216100"/>
          <a:ext cx="832938" cy="290093"/>
        </a:xfrm>
        <a:prstGeom prst="rect">
          <a:avLst/>
        </a:prstGeom>
      </xdr:spPr>
    </xdr:pic>
    <xdr:clientData/>
  </xdr:twoCellAnchor>
  <xdr:twoCellAnchor editAs="oneCell">
    <xdr:from>
      <xdr:col>28</xdr:col>
      <xdr:colOff>0</xdr:colOff>
      <xdr:row>52</xdr:row>
      <xdr:rowOff>0</xdr:rowOff>
    </xdr:from>
    <xdr:to>
      <xdr:col>28</xdr:col>
      <xdr:colOff>822143</xdr:colOff>
      <xdr:row>53</xdr:row>
      <xdr:rowOff>93243</xdr:rowOff>
    </xdr:to>
    <xdr:pic>
      <xdr:nvPicPr>
        <xdr:cNvPr id="13" name="Picture 12">
          <a:extLst>
            <a:ext uri="{FF2B5EF4-FFF2-40B4-BE49-F238E27FC236}">
              <a16:creationId xmlns:a16="http://schemas.microsoft.com/office/drawing/2014/main" id="{8F962093-5B77-47A6-BCF4-6785A6A38B5E}"/>
            </a:ext>
          </a:extLst>
        </xdr:cNvPr>
        <xdr:cNvPicPr>
          <a:picLocks noChangeAspect="1"/>
        </xdr:cNvPicPr>
      </xdr:nvPicPr>
      <xdr:blipFill>
        <a:blip xmlns:r="http://schemas.openxmlformats.org/officeDocument/2006/relationships" r:embed="rId4"/>
        <a:stretch>
          <a:fillRect/>
        </a:stretch>
      </xdr:blipFill>
      <xdr:spPr>
        <a:xfrm>
          <a:off x="27070050" y="10744200"/>
          <a:ext cx="822143" cy="2900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0.xml"/><Relationship Id="rId5" Type="http://schemas.openxmlformats.org/officeDocument/2006/relationships/printerSettings" Target="../printerSettings/printerSettings10.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1.xml"/><Relationship Id="rId5" Type="http://schemas.openxmlformats.org/officeDocument/2006/relationships/printerSettings" Target="../printerSettings/printerSettings11.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2.xml"/><Relationship Id="rId5" Type="http://schemas.openxmlformats.org/officeDocument/2006/relationships/printerSettings" Target="../printerSettings/printerSettings12.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4.xml"/><Relationship Id="rId5" Type="http://schemas.openxmlformats.org/officeDocument/2006/relationships/printerSettings" Target="../printerSettings/printerSettings14.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5.xml"/><Relationship Id="rId5" Type="http://schemas.openxmlformats.org/officeDocument/2006/relationships/printerSettings" Target="../printerSettings/printerSettings15.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6.xml"/><Relationship Id="rId5" Type="http://schemas.openxmlformats.org/officeDocument/2006/relationships/printerSettings" Target="../printerSettings/printerSettings16.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7.xml"/><Relationship Id="rId5" Type="http://schemas.openxmlformats.org/officeDocument/2006/relationships/printerSettings" Target="../printerSettings/printerSettings17.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8.xml"/><Relationship Id="rId5" Type="http://schemas.openxmlformats.org/officeDocument/2006/relationships/printerSettings" Target="../printerSettings/printerSettings18.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9.xml"/><Relationship Id="rId5" Type="http://schemas.openxmlformats.org/officeDocument/2006/relationships/printerSettings" Target="../printerSettings/printerSettings19.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paragon-group.co.uk/" TargetMode="External"/><Relationship Id="rId1" Type="http://schemas.openxmlformats.org/officeDocument/2006/relationships/hyperlink" Target="http://www.paragon-group.co.uk/"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7.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89CB31"/>
  </sheetPr>
  <dimension ref="A1:JB342"/>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0.25140000000000001</v>
      </c>
      <c r="Z17" s="29" t="s">
        <v>258</v>
      </c>
      <c r="AA17" s="29">
        <v>0.74860000000000004</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43795</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268</v>
      </c>
      <c r="K26" s="229"/>
      <c r="L26" s="229" t="s">
        <v>271</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215</v>
      </c>
      <c r="I27" s="229"/>
      <c r="J27" s="229" t="s">
        <v>269</v>
      </c>
      <c r="K27" s="229"/>
      <c r="L27" s="229" t="s">
        <v>270</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v>0</v>
      </c>
      <c r="E30" s="53"/>
      <c r="F30" s="54">
        <v>0</v>
      </c>
      <c r="G30" s="54"/>
      <c r="H30" s="54">
        <v>0</v>
      </c>
      <c r="I30" s="54"/>
      <c r="J30" s="54">
        <v>0</v>
      </c>
      <c r="K30" s="54"/>
      <c r="L30" s="54">
        <v>0</v>
      </c>
      <c r="M30" s="50"/>
      <c r="N30" s="54">
        <v>0</v>
      </c>
      <c r="O30" s="54"/>
      <c r="P30" s="54">
        <v>0</v>
      </c>
      <c r="Q30" s="54"/>
      <c r="R30" s="54">
        <v>0</v>
      </c>
      <c r="S30" s="54"/>
      <c r="T30" s="54" t="s">
        <v>83</v>
      </c>
      <c r="U30" s="54"/>
      <c r="V30" s="54" t="s">
        <v>83</v>
      </c>
      <c r="W30" s="54"/>
      <c r="X30" s="54" t="s">
        <v>83</v>
      </c>
      <c r="Y30" s="54" t="s">
        <v>83</v>
      </c>
      <c r="Z30" s="54"/>
      <c r="AA30" s="49"/>
      <c r="AB30" s="50">
        <f>SUM(D30:N30)</f>
        <v>0</v>
      </c>
      <c r="AC30" s="51"/>
      <c r="AD30" s="22"/>
    </row>
    <row r="31" spans="1:33" s="23" customFormat="1" x14ac:dyDescent="0.3">
      <c r="A31" s="47"/>
      <c r="B31" s="44" t="s">
        <v>92</v>
      </c>
      <c r="C31" s="49"/>
      <c r="D31" s="57">
        <f>D29*D32</f>
        <v>321689.74764999998</v>
      </c>
      <c r="E31" s="57"/>
      <c r="F31" s="57">
        <f>F29</f>
        <v>151540</v>
      </c>
      <c r="G31" s="57"/>
      <c r="H31" s="57">
        <f>H29</f>
        <v>24741</v>
      </c>
      <c r="I31" s="57"/>
      <c r="J31" s="57">
        <f>J29</f>
        <v>18555</v>
      </c>
      <c r="K31" s="57"/>
      <c r="L31" s="57">
        <f>L29</f>
        <v>20102</v>
      </c>
      <c r="M31" s="57"/>
      <c r="N31" s="57">
        <f>N29</f>
        <v>20105</v>
      </c>
      <c r="O31" s="57"/>
      <c r="P31" s="57">
        <f>P29*P32</f>
        <v>8976.4193099999993</v>
      </c>
      <c r="Q31" s="57"/>
      <c r="R31" s="57">
        <v>9156</v>
      </c>
      <c r="S31" s="57"/>
      <c r="T31" s="57" t="s">
        <v>83</v>
      </c>
      <c r="U31" s="57"/>
      <c r="V31" s="57" t="s">
        <v>83</v>
      </c>
      <c r="W31" s="57"/>
      <c r="X31" s="57" t="s">
        <v>83</v>
      </c>
      <c r="Y31" s="57" t="s">
        <v>83</v>
      </c>
      <c r="Z31" s="57"/>
      <c r="AA31" s="49"/>
      <c r="AB31" s="56">
        <f>SUM(D31:N31)</f>
        <v>556732.74765000003</v>
      </c>
      <c r="AC31" s="51"/>
      <c r="AD31" s="22"/>
      <c r="AE31" s="235"/>
    </row>
    <row r="32" spans="1:33" s="65" customFormat="1" x14ac:dyDescent="0.3">
      <c r="A32" s="58"/>
      <c r="B32" s="166" t="s">
        <v>88</v>
      </c>
      <c r="C32" s="61"/>
      <c r="D32" s="60">
        <v>0.83884999999999998</v>
      </c>
      <c r="E32" s="60"/>
      <c r="F32" s="60">
        <v>1</v>
      </c>
      <c r="G32" s="60"/>
      <c r="H32" s="60">
        <v>1</v>
      </c>
      <c r="I32" s="60"/>
      <c r="J32" s="60">
        <v>1</v>
      </c>
      <c r="K32" s="60"/>
      <c r="L32" s="60">
        <v>1</v>
      </c>
      <c r="M32" s="60"/>
      <c r="N32" s="60">
        <v>1</v>
      </c>
      <c r="O32" s="60"/>
      <c r="P32" s="60">
        <v>0.88202999999999998</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225">
        <v>1</v>
      </c>
      <c r="E33" s="225"/>
      <c r="F33" s="225">
        <v>1</v>
      </c>
      <c r="G33" s="225"/>
      <c r="H33" s="225">
        <v>1</v>
      </c>
      <c r="I33" s="225"/>
      <c r="J33" s="225">
        <v>1</v>
      </c>
      <c r="K33" s="225"/>
      <c r="L33" s="225">
        <v>1</v>
      </c>
      <c r="M33" s="225"/>
      <c r="N33" s="225">
        <v>1</v>
      </c>
      <c r="O33" s="225"/>
      <c r="P33" s="225">
        <v>1</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1.7608200000000001E-2</v>
      </c>
      <c r="E35" s="241"/>
      <c r="F35" s="241">
        <v>1.9108199999999999E-2</v>
      </c>
      <c r="G35" s="241"/>
      <c r="H35" s="241">
        <v>2.6108200000000002E-2</v>
      </c>
      <c r="I35" s="241"/>
      <c r="J35" s="241">
        <v>2.9608200000000001E-2</v>
      </c>
      <c r="K35" s="241"/>
      <c r="L35" s="241">
        <v>3.3108199999999997E-2</v>
      </c>
      <c r="M35" s="241"/>
      <c r="N35" s="241">
        <v>4.3108199999999999E-2</v>
      </c>
      <c r="O35" s="241"/>
      <c r="P35" s="241">
        <v>4.7108200000000003E-2</v>
      </c>
      <c r="Q35" s="241"/>
      <c r="R35" s="241">
        <v>4.7108200000000003E-2</v>
      </c>
      <c r="S35" s="68"/>
      <c r="T35" s="68" t="s">
        <v>83</v>
      </c>
      <c r="U35" s="68"/>
      <c r="V35" s="68" t="s">
        <v>83</v>
      </c>
      <c r="W35" s="68"/>
      <c r="X35" s="68" t="s">
        <v>83</v>
      </c>
      <c r="Y35" s="68" t="s">
        <v>83</v>
      </c>
      <c r="Z35" s="68"/>
      <c r="AA35" s="40"/>
      <c r="AB35" s="67">
        <f>SUMPRODUCT(D35:N35,D29:N29)/AB29</f>
        <v>2.0008281159907649E-2</v>
      </c>
      <c r="AC35" s="43"/>
      <c r="AD35" s="22"/>
    </row>
    <row r="36" spans="1:30" s="23" customFormat="1" x14ac:dyDescent="0.3">
      <c r="A36" s="47"/>
      <c r="B36" s="40" t="s">
        <v>10</v>
      </c>
      <c r="C36" s="69"/>
      <c r="D36" s="68">
        <v>0</v>
      </c>
      <c r="E36" s="68"/>
      <c r="F36" s="68">
        <v>0</v>
      </c>
      <c r="G36" s="68"/>
      <c r="H36" s="68">
        <v>0</v>
      </c>
      <c r="I36" s="68"/>
      <c r="J36" s="68">
        <v>0</v>
      </c>
      <c r="K36" s="68"/>
      <c r="L36" s="68">
        <v>0</v>
      </c>
      <c r="M36" s="68"/>
      <c r="N36" s="68">
        <v>0</v>
      </c>
      <c r="O36" s="68"/>
      <c r="P36" s="68">
        <v>0</v>
      </c>
      <c r="Q36" s="68"/>
      <c r="R36" s="68">
        <v>0</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0.17645340432351411</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43784</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c r="Y48" s="40"/>
      <c r="Z48" s="76"/>
      <c r="AA48" s="77"/>
      <c r="AB48" s="76"/>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135</v>
      </c>
      <c r="Y49" s="40"/>
      <c r="Z49" s="76">
        <v>43649</v>
      </c>
      <c r="AA49" s="77"/>
      <c r="AB49" s="76">
        <v>43783</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43783</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265</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618144</v>
      </c>
      <c r="S58" s="238"/>
      <c r="T58" s="237">
        <f>287+508</f>
        <v>795</v>
      </c>
      <c r="U58" s="238"/>
      <c r="V58" s="238">
        <v>61008</v>
      </c>
      <c r="W58" s="238"/>
      <c r="X58" s="238">
        <v>5</v>
      </c>
      <c r="Y58" s="238"/>
      <c r="Z58" s="238">
        <v>0</v>
      </c>
      <c r="AA58" s="238"/>
      <c r="AB58" s="237">
        <f>P58-T58-V58+X58-Z58</f>
        <v>556346</v>
      </c>
      <c r="AC58" s="43"/>
      <c r="AD58" s="22"/>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618144</v>
      </c>
      <c r="S61" s="238"/>
      <c r="T61" s="238">
        <f>T58+T59</f>
        <v>795</v>
      </c>
      <c r="U61" s="238"/>
      <c r="V61" s="238">
        <f>SUM(V58:V60)</f>
        <v>61008</v>
      </c>
      <c r="W61" s="238"/>
      <c r="X61" s="238">
        <f>SUM(X58:X60)</f>
        <v>5</v>
      </c>
      <c r="Y61" s="238"/>
      <c r="Z61" s="238">
        <f>SUM(Z58:Z60)</f>
        <v>0</v>
      </c>
      <c r="AA61" s="238"/>
      <c r="AB61" s="238">
        <f>SUM(AB58:AB60)</f>
        <v>556346</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0</v>
      </c>
      <c r="S64" s="238"/>
      <c r="T64" s="238">
        <v>0</v>
      </c>
      <c r="U64" s="238"/>
      <c r="V64" s="238">
        <v>4</v>
      </c>
      <c r="W64" s="238"/>
      <c r="X64" s="238"/>
      <c r="Y64" s="238"/>
      <c r="Z64" s="238"/>
      <c r="AA64" s="238"/>
      <c r="AB64" s="238">
        <f>R64+V64</f>
        <v>4</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388</v>
      </c>
      <c r="S65" s="238"/>
      <c r="T65" s="238"/>
      <c r="U65" s="238"/>
      <c r="V65" s="238"/>
      <c r="W65" s="238"/>
      <c r="X65" s="238">
        <v>-5</v>
      </c>
      <c r="Y65" s="238"/>
      <c r="Z65" s="238"/>
      <c r="AA65" s="238"/>
      <c r="AB65" s="238">
        <f>+R65+X65</f>
        <v>383</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618532</v>
      </c>
      <c r="S67" s="238"/>
      <c r="T67" s="238"/>
      <c r="U67" s="238"/>
      <c r="V67" s="238"/>
      <c r="W67" s="238"/>
      <c r="X67" s="238"/>
      <c r="Y67" s="238"/>
      <c r="Z67" s="238"/>
      <c r="AA67" s="238"/>
      <c r="AB67" s="238">
        <f>SUM(AB61:AB66)</f>
        <v>556733</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43769</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v>0</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5</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f>-Z72</f>
        <v>-5</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f>
        <v>61803</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7915+3621-1353-825</f>
        <v>9358</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335+41</f>
        <v>376</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46</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0</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45</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61803</v>
      </c>
      <c r="AA84" s="40"/>
      <c r="AB84" s="97">
        <f>SUM(AB71:AB83)</f>
        <v>9825</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61803</v>
      </c>
      <c r="AA87" s="40"/>
      <c r="AB87" s="97">
        <f>AB84+AB85+AB86</f>
        <v>9825</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-2103</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f>-3</f>
        <v>-3</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-417-32-10</f>
        <v>-459</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-38</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-2497</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-1071</v>
      </c>
      <c r="AC94" s="114"/>
      <c r="AD94" s="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-239</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-203</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-246</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-1</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0</v>
      </c>
      <c r="AA101" s="112"/>
      <c r="AB101" s="98">
        <v>0</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-750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-30</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-320</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-177</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-1201</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-165</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-322</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0"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0</v>
      </c>
      <c r="AC113" s="114"/>
      <c r="AD113" s="5"/>
    </row>
    <row r="114" spans="1:30"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0</v>
      </c>
      <c r="AC114" s="114"/>
      <c r="AD114" s="5"/>
    </row>
    <row r="115" spans="1:30"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0</v>
      </c>
      <c r="AC115" s="114"/>
      <c r="AD115" s="5"/>
    </row>
    <row r="116" spans="1:30"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0"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0"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0"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0"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-61799</v>
      </c>
      <c r="AA123" s="97"/>
      <c r="AB123" s="98"/>
      <c r="AC123" s="43"/>
      <c r="AD123" s="22"/>
    </row>
    <row r="124" spans="1:30"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0"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-61799</v>
      </c>
      <c r="AA130" s="97"/>
      <c r="AB130" s="97">
        <f>SUM(AB88:AB128)</f>
        <v>-9825</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4</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OCTOBER 2019</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SUM(D29:H29)*0.015</f>
        <v>8396.5499999999993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0"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0</v>
      </c>
      <c r="AC145" s="43"/>
      <c r="AD145" s="22"/>
    </row>
    <row r="146" spans="1:30"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8396.5499999999993</v>
      </c>
      <c r="AC146" s="43"/>
      <c r="AD146" s="22"/>
    </row>
    <row r="147" spans="1:30"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0"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0"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0"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SUM(J29:L29)*0.015</f>
        <v>579.85500000000002</v>
      </c>
      <c r="AC150" s="43"/>
      <c r="AD150" s="22"/>
    </row>
    <row r="151" spans="1:30"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0"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0"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0"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0"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0"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0"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0"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0"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row>
    <row r="160" spans="1:30"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249</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v>388</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-5</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383</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0</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0</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0</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v>0</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701</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45</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202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656</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v>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v>701</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750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AB202-AB204+AB205</f>
        <v>950</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v>0</v>
      </c>
      <c r="Z211" s="98">
        <v>0</v>
      </c>
      <c r="AA211" s="40"/>
      <c r="AB211" s="98">
        <f>Y211+Z211</f>
        <v>0</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v>5</v>
      </c>
      <c r="AA212" s="40"/>
      <c r="AB212" s="98">
        <f>Y212+Z212</f>
        <v>5</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259</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421485</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426343</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-4858</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7.3000000000000001E-3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2.024103139013453</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2.02</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15.288702928870293</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15.29</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16.822660098522167</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16.82</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13.056910569105691</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13.06</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9.2687500000000007</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9.27</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OCTOBER 2019</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43769</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0"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f>+AB35</f>
        <v>2.0008281159907649E-2</v>
      </c>
      <c r="AA241" s="40"/>
      <c r="AB241" s="40"/>
      <c r="AC241" s="43"/>
      <c r="AD241" s="22"/>
    </row>
    <row r="242" spans="1:30"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0"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3.9277582316728357E-2</v>
      </c>
      <c r="AA243" s="40"/>
      <c r="AB243" s="40"/>
      <c r="AC243" s="43"/>
      <c r="AD243" s="22"/>
    </row>
    <row r="244" spans="1:30"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2.0008281159907649E-2</v>
      </c>
      <c r="AA244" s="40"/>
      <c r="AB244" s="40"/>
      <c r="AC244" s="43"/>
      <c r="AD244" s="22"/>
    </row>
    <row r="245" spans="1:30"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1.9269301156820708E-2</v>
      </c>
      <c r="AA245" s="40"/>
      <c r="AB245" s="40"/>
      <c r="AC245" s="43"/>
      <c r="AD245" s="22"/>
    </row>
    <row r="246" spans="1:30"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(+AB87+AB89)/R67</f>
        <v>1.2484398543648509E-2</v>
      </c>
      <c r="AA246" s="40"/>
      <c r="AB246" s="40"/>
      <c r="AC246" s="43"/>
      <c r="AD246" s="22"/>
    </row>
    <row r="247" spans="1:30"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0"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0"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0"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0"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0"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0"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0"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0"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18.04</v>
      </c>
      <c r="AA255" s="40" t="s">
        <v>76</v>
      </c>
      <c r="AB255" s="40"/>
      <c r="AC255" s="43"/>
      <c r="AD255" s="22"/>
    </row>
    <row r="256" spans="1:30"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9.9918840092347694E-2</v>
      </c>
      <c r="AA256" s="40"/>
      <c r="AB256" s="40"/>
      <c r="AC256" s="43"/>
      <c r="AD256" s="22"/>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0.24790000000000001</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0</v>
      </c>
      <c r="Z260" s="157">
        <v>0</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0</v>
      </c>
      <c r="Z261" s="162">
        <f>+Z313</f>
        <v>0</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+X325</f>
        <v>0</v>
      </c>
      <c r="Z262" s="162">
        <f>+Z325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0</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+Z266</f>
        <v>0</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0</v>
      </c>
      <c r="Z273" s="162">
        <v>0</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0</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182"/>
      <c r="Q277" s="182"/>
      <c r="R277" s="182"/>
      <c r="S277" s="182"/>
      <c r="T277" s="182"/>
      <c r="U277" s="182"/>
      <c r="V277" s="182"/>
      <c r="W277" s="59"/>
      <c r="X277" s="183" t="s">
        <v>167</v>
      </c>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+X292+X304+X316</f>
        <v>3248</v>
      </c>
      <c r="Y280" s="192">
        <f>X280/$X$289</f>
        <v>0.99969221298861188</v>
      </c>
      <c r="Z280" s="107">
        <f>+Z292+Z304+Z316</f>
        <v>556052</v>
      </c>
      <c r="AA280" s="192">
        <f t="shared" ref="AA280:AA287" si="0">Z280/$Z$289</f>
        <v>0.99947155187599079</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+X293+X305+X317</f>
        <v>0</v>
      </c>
      <c r="Y281" s="196">
        <f t="shared" ref="Y281:Y287" si="1">X281/$X$289</f>
        <v>0</v>
      </c>
      <c r="Z281" s="197">
        <f>+Z293+Z305+Z317</f>
        <v>0</v>
      </c>
      <c r="AA281" s="198">
        <f t="shared" si="0"/>
        <v>0</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ref="X282:X286" si="2">+X294+X306+X318</f>
        <v>0</v>
      </c>
      <c r="Y282" s="200">
        <f t="shared" si="1"/>
        <v>0</v>
      </c>
      <c r="Z282" s="131">
        <f t="shared" ref="Z282:Z286" si="3">+Z294+Z306+Z318</f>
        <v>0</v>
      </c>
      <c r="AA282" s="198">
        <f t="shared" si="0"/>
        <v>0</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2"/>
        <v>1</v>
      </c>
      <c r="Y283" s="200">
        <f t="shared" si="1"/>
        <v>3.0778701138811941E-4</v>
      </c>
      <c r="Z283" s="131">
        <f t="shared" si="3"/>
        <v>294</v>
      </c>
      <c r="AA283" s="198">
        <f t="shared" si="0"/>
        <v>5.2844812400915976E-4</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2"/>
        <v>0</v>
      </c>
      <c r="Y284" s="200">
        <f t="shared" si="1"/>
        <v>0</v>
      </c>
      <c r="Z284" s="131">
        <f t="shared" si="3"/>
        <v>0</v>
      </c>
      <c r="AA284" s="198">
        <f t="shared" si="0"/>
        <v>0</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+X297+X309+X321</f>
        <v>0</v>
      </c>
      <c r="Y285" s="200">
        <f t="shared" si="1"/>
        <v>0</v>
      </c>
      <c r="Z285" s="131">
        <f t="shared" si="3"/>
        <v>0</v>
      </c>
      <c r="AA285" s="198">
        <f t="shared" si="0"/>
        <v>0</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2"/>
        <v>0</v>
      </c>
      <c r="Y286" s="202">
        <f t="shared" si="1"/>
        <v>0</v>
      </c>
      <c r="Z286" s="203">
        <f t="shared" si="3"/>
        <v>0</v>
      </c>
      <c r="AA286" s="198">
        <f t="shared" si="0"/>
        <v>0</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+X299+X311+X323</f>
        <v>0</v>
      </c>
      <c r="Y287" s="198">
        <f t="shared" si="1"/>
        <v>0</v>
      </c>
      <c r="Z287" s="107">
        <f>+Z299+Z311+Z323</f>
        <v>0</v>
      </c>
      <c r="AA287" s="198">
        <f t="shared" si="0"/>
        <v>0</v>
      </c>
      <c r="AB287" s="163"/>
      <c r="AC287" s="175"/>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3249</v>
      </c>
      <c r="Y289" s="198">
        <f>SUM(Y280:Y288)</f>
        <v>1</v>
      </c>
      <c r="Z289" s="98">
        <f>SUM(Z280:Z288)</f>
        <v>556346</v>
      </c>
      <c r="AA289" s="198">
        <f>SUM(AA280:AA288)</f>
        <v>1</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3248</v>
      </c>
      <c r="Y292" s="192">
        <f>X292/$X$301</f>
        <v>0.99969221298861188</v>
      </c>
      <c r="Z292" s="107">
        <v>556052</v>
      </c>
      <c r="AA292" s="192">
        <f>Z292/$Z$301</f>
        <v>0.99947155187599079</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0</v>
      </c>
      <c r="Y293" s="198">
        <f t="shared" ref="Y293:Y299" si="4">X293/$X$301</f>
        <v>0</v>
      </c>
      <c r="Z293" s="98">
        <v>0</v>
      </c>
      <c r="AA293" s="198">
        <f t="shared" ref="AA293:AA299" si="5">Z293/$Z$301</f>
        <v>0</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4"/>
        <v>0</v>
      </c>
      <c r="Z294" s="98">
        <v>0</v>
      </c>
      <c r="AA294" s="198">
        <f t="shared" si="5"/>
        <v>0</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1</v>
      </c>
      <c r="Y295" s="198">
        <f t="shared" si="4"/>
        <v>3.0778701138811941E-4</v>
      </c>
      <c r="Z295" s="98">
        <v>294</v>
      </c>
      <c r="AA295" s="198">
        <f t="shared" si="5"/>
        <v>5.2844812400915976E-4</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4"/>
        <v>0</v>
      </c>
      <c r="Z296" s="98">
        <v>0</v>
      </c>
      <c r="AA296" s="198">
        <f t="shared" si="5"/>
        <v>0</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0</v>
      </c>
      <c r="Y297" s="198">
        <f t="shared" si="4"/>
        <v>0</v>
      </c>
      <c r="Z297" s="98">
        <v>0</v>
      </c>
      <c r="AA297" s="198">
        <f t="shared" si="5"/>
        <v>0</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0</v>
      </c>
      <c r="Y298" s="198">
        <f>X298/$X$301</f>
        <v>0</v>
      </c>
      <c r="Z298" s="98">
        <v>0</v>
      </c>
      <c r="AA298" s="198">
        <f t="shared" si="5"/>
        <v>0</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0</v>
      </c>
      <c r="Y299" s="198">
        <f t="shared" si="4"/>
        <v>0</v>
      </c>
      <c r="Z299" s="98">
        <v>0</v>
      </c>
      <c r="AA299" s="198">
        <f t="shared" si="5"/>
        <v>0</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3249</v>
      </c>
      <c r="Y301" s="198">
        <f>SUM(Y292:Y300)</f>
        <v>1</v>
      </c>
      <c r="Z301" s="98">
        <f>SUM(Z292:Z300)</f>
        <v>556346</v>
      </c>
      <c r="AA301" s="198">
        <f>SUM(AA292:AA300)</f>
        <v>1</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v>0</v>
      </c>
      <c r="Z310" s="98">
        <v>0</v>
      </c>
      <c r="AA310" s="198">
        <v>0</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0</v>
      </c>
      <c r="Y313" s="198">
        <f>SUM(Y304:Y312)</f>
        <v>0</v>
      </c>
      <c r="Z313" s="98">
        <f>SUM(Z304:Z312)</f>
        <v>0</v>
      </c>
      <c r="AA313" s="198">
        <f>SUM(AA304:AA312)</f>
        <v>0</v>
      </c>
      <c r="AB313" s="40"/>
      <c r="AC313" s="43"/>
      <c r="AD313" s="22"/>
    </row>
    <row r="314" spans="1:30" x14ac:dyDescent="0.3">
      <c r="A314" s="7"/>
      <c r="B314" s="99"/>
      <c r="C314" s="99"/>
      <c r="D314" s="205"/>
      <c r="E314" s="205"/>
      <c r="F314" s="205"/>
      <c r="G314" s="205"/>
      <c r="H314" s="205"/>
      <c r="I314" s="205"/>
      <c r="J314" s="205"/>
      <c r="K314" s="205"/>
      <c r="L314" s="205"/>
      <c r="M314" s="205"/>
      <c r="N314" s="205"/>
      <c r="O314" s="205"/>
      <c r="P314" s="205"/>
      <c r="Q314" s="205"/>
      <c r="R314" s="205"/>
      <c r="S314" s="205"/>
      <c r="T314" s="205"/>
      <c r="U314" s="205"/>
      <c r="V314" s="205"/>
      <c r="W314" s="205"/>
      <c r="X314" s="100"/>
      <c r="Y314" s="206"/>
      <c r="Z314" s="207"/>
      <c r="AA314" s="206"/>
      <c r="AB314" s="99"/>
      <c r="AC314" s="10"/>
      <c r="AD314" s="5"/>
    </row>
    <row r="315" spans="1:30" x14ac:dyDescent="0.3">
      <c r="A315" s="33"/>
      <c r="B315" s="102" t="s">
        <v>106</v>
      </c>
      <c r="C315" s="34"/>
      <c r="D315" s="208"/>
      <c r="E315" s="208"/>
      <c r="F315" s="208"/>
      <c r="G315" s="208"/>
      <c r="H315" s="208"/>
      <c r="I315" s="208"/>
      <c r="J315" s="208"/>
      <c r="K315" s="208"/>
      <c r="L315" s="208"/>
      <c r="M315" s="208"/>
      <c r="N315" s="208"/>
      <c r="O315" s="208"/>
      <c r="P315" s="208"/>
      <c r="Q315" s="208"/>
      <c r="R315" s="208"/>
      <c r="S315" s="208"/>
      <c r="T315" s="208"/>
      <c r="U315" s="208"/>
      <c r="V315" s="208"/>
      <c r="W315" s="208"/>
      <c r="X315" s="154" t="s">
        <v>69</v>
      </c>
      <c r="Y315" s="103" t="s">
        <v>70</v>
      </c>
      <c r="Z315" s="154" t="s">
        <v>75</v>
      </c>
      <c r="AA315" s="103" t="s">
        <v>70</v>
      </c>
      <c r="AB315" s="34"/>
      <c r="AC315" s="36"/>
      <c r="AD315" s="5"/>
    </row>
    <row r="316" spans="1:30" s="23" customFormat="1" x14ac:dyDescent="0.3">
      <c r="A316" s="18"/>
      <c r="B316" s="106" t="s">
        <v>59</v>
      </c>
      <c r="C316" s="37"/>
      <c r="D316" s="209"/>
      <c r="E316" s="209"/>
      <c r="F316" s="209"/>
      <c r="G316" s="209"/>
      <c r="H316" s="209"/>
      <c r="I316" s="209"/>
      <c r="J316" s="209"/>
      <c r="K316" s="209"/>
      <c r="L316" s="209"/>
      <c r="M316" s="209"/>
      <c r="N316" s="209"/>
      <c r="O316" s="209"/>
      <c r="P316" s="209"/>
      <c r="Q316" s="209"/>
      <c r="R316" s="209"/>
      <c r="S316" s="209"/>
      <c r="T316" s="209"/>
      <c r="U316" s="209"/>
      <c r="V316" s="209"/>
      <c r="W316" s="209"/>
      <c r="X316" s="106">
        <v>0</v>
      </c>
      <c r="Y316" s="192">
        <v>0</v>
      </c>
      <c r="Z316" s="107">
        <v>0</v>
      </c>
      <c r="AA316" s="192">
        <v>0</v>
      </c>
      <c r="AB316" s="37"/>
      <c r="AC316" s="21"/>
      <c r="AD316" s="22"/>
    </row>
    <row r="317" spans="1:30" s="23" customFormat="1" x14ac:dyDescent="0.3">
      <c r="A317" s="47"/>
      <c r="B317" s="97" t="s">
        <v>60</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97">
        <v>0</v>
      </c>
      <c r="Y317" s="198">
        <v>0</v>
      </c>
      <c r="Z317" s="98">
        <v>0</v>
      </c>
      <c r="AA317" s="198">
        <v>0</v>
      </c>
      <c r="AB317" s="40"/>
      <c r="AC317" s="43"/>
      <c r="AD317" s="22"/>
    </row>
    <row r="318" spans="1:30" s="23" customFormat="1" x14ac:dyDescent="0.3">
      <c r="A318" s="47"/>
      <c r="B318" s="97" t="s">
        <v>61</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97">
        <v>0</v>
      </c>
      <c r="Y318" s="198">
        <v>0</v>
      </c>
      <c r="Z318" s="98">
        <v>0</v>
      </c>
      <c r="AA318" s="198">
        <v>0</v>
      </c>
      <c r="AB318" s="40"/>
      <c r="AC318" s="43"/>
      <c r="AD318" s="22"/>
    </row>
    <row r="319" spans="1:30" s="23" customFormat="1" x14ac:dyDescent="0.3">
      <c r="A319" s="47"/>
      <c r="B319" s="97" t="s">
        <v>100</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97">
        <v>0</v>
      </c>
      <c r="Y319" s="198">
        <v>0</v>
      </c>
      <c r="Z319" s="98">
        <v>0</v>
      </c>
      <c r="AA319" s="198">
        <v>0</v>
      </c>
      <c r="AB319" s="40"/>
      <c r="AC319" s="43"/>
      <c r="AD319" s="22"/>
    </row>
    <row r="320" spans="1:30" s="23" customFormat="1" x14ac:dyDescent="0.3">
      <c r="A320" s="47"/>
      <c r="B320" s="97" t="s">
        <v>101</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97">
        <v>0</v>
      </c>
      <c r="Y320" s="198">
        <v>0</v>
      </c>
      <c r="Z320" s="98">
        <v>0</v>
      </c>
      <c r="AA320" s="198">
        <v>0</v>
      </c>
      <c r="AB320" s="40"/>
      <c r="AC320" s="43"/>
      <c r="AD320" s="22"/>
    </row>
    <row r="321" spans="1:30" s="23" customFormat="1" x14ac:dyDescent="0.3">
      <c r="A321" s="47"/>
      <c r="B321" s="97" t="s">
        <v>102</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97">
        <v>0</v>
      </c>
      <c r="Y321" s="198">
        <v>0</v>
      </c>
      <c r="Z321" s="98">
        <v>0</v>
      </c>
      <c r="AA321" s="198">
        <v>0</v>
      </c>
      <c r="AB321" s="40"/>
      <c r="AC321" s="43"/>
      <c r="AD321" s="22"/>
    </row>
    <row r="322" spans="1:30" s="23" customFormat="1" x14ac:dyDescent="0.3">
      <c r="A322" s="47"/>
      <c r="B322" s="97" t="s">
        <v>103</v>
      </c>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97">
        <v>0</v>
      </c>
      <c r="Y322" s="198">
        <v>0</v>
      </c>
      <c r="Z322" s="98">
        <v>0</v>
      </c>
      <c r="AA322" s="198">
        <v>0</v>
      </c>
      <c r="AB322" s="40"/>
      <c r="AC322" s="43"/>
      <c r="AD322" s="22"/>
    </row>
    <row r="323" spans="1:30" s="23" customFormat="1" x14ac:dyDescent="0.3">
      <c r="A323" s="47"/>
      <c r="B323" s="97" t="s">
        <v>104</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97">
        <v>0</v>
      </c>
      <c r="Y323" s="198">
        <v>0</v>
      </c>
      <c r="Z323" s="98">
        <v>0</v>
      </c>
      <c r="AA323" s="198">
        <v>0</v>
      </c>
      <c r="AB323" s="40"/>
      <c r="AC323" s="43"/>
      <c r="AD323" s="22"/>
    </row>
    <row r="324" spans="1:30" s="23" customFormat="1" x14ac:dyDescent="0.3">
      <c r="A324" s="47"/>
      <c r="B324" s="97"/>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97"/>
      <c r="Y324" s="198"/>
      <c r="Z324" s="98"/>
      <c r="AA324" s="198"/>
      <c r="AB324" s="40"/>
      <c r="AC324" s="43"/>
      <c r="AD324" s="22"/>
    </row>
    <row r="325" spans="1:30" s="23" customFormat="1" x14ac:dyDescent="0.3">
      <c r="A325" s="47"/>
      <c r="B325" s="40" t="s">
        <v>80</v>
      </c>
      <c r="C325" s="40"/>
      <c r="D325" s="204"/>
      <c r="E325" s="204"/>
      <c r="F325" s="204"/>
      <c r="G325" s="204"/>
      <c r="H325" s="204"/>
      <c r="I325" s="204"/>
      <c r="J325" s="204"/>
      <c r="K325" s="204"/>
      <c r="L325" s="204"/>
      <c r="M325" s="204"/>
      <c r="N325" s="204"/>
      <c r="O325" s="204"/>
      <c r="P325" s="204"/>
      <c r="Q325" s="204"/>
      <c r="R325" s="204"/>
      <c r="S325" s="204"/>
      <c r="T325" s="204"/>
      <c r="U325" s="204"/>
      <c r="V325" s="204"/>
      <c r="W325" s="204"/>
      <c r="X325" s="97">
        <f>SUM(X316:X323)</f>
        <v>0</v>
      </c>
      <c r="Y325" s="198">
        <f>SUM(Y316:Y323)</f>
        <v>0</v>
      </c>
      <c r="Z325" s="98">
        <f>SUM(Z316:Z323)</f>
        <v>0</v>
      </c>
      <c r="AA325" s="198">
        <f>SUM(AA316:AA323)</f>
        <v>0</v>
      </c>
      <c r="AB325" s="40"/>
      <c r="AC325" s="43"/>
      <c r="AD325" s="22"/>
    </row>
    <row r="326" spans="1:30" s="23" customFormat="1" x14ac:dyDescent="0.3">
      <c r="A326" s="47"/>
      <c r="B326" s="40"/>
      <c r="C326" s="40"/>
      <c r="D326" s="204"/>
      <c r="E326" s="204"/>
      <c r="F326" s="204"/>
      <c r="G326" s="204"/>
      <c r="H326" s="204"/>
      <c r="I326" s="204"/>
      <c r="J326" s="204"/>
      <c r="K326" s="204"/>
      <c r="L326" s="204"/>
      <c r="M326" s="204"/>
      <c r="N326" s="204"/>
      <c r="O326" s="204"/>
      <c r="P326" s="204"/>
      <c r="Q326" s="204"/>
      <c r="R326" s="204"/>
      <c r="S326" s="204"/>
      <c r="T326" s="204"/>
      <c r="U326" s="204"/>
      <c r="V326" s="204"/>
      <c r="W326" s="204"/>
      <c r="X326" s="97"/>
      <c r="Y326" s="198"/>
      <c r="Z326" s="98"/>
      <c r="AA326" s="198"/>
      <c r="AB326" s="40"/>
      <c r="AC326" s="43"/>
      <c r="AD326" s="22"/>
    </row>
    <row r="327" spans="1:30" s="23" customFormat="1" x14ac:dyDescent="0.3">
      <c r="A327" s="47"/>
      <c r="B327" s="44" t="s">
        <v>139</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210">
        <f>X325+X313+X301</f>
        <v>3249</v>
      </c>
      <c r="Y327" s="198"/>
      <c r="Z327" s="211">
        <f>+Z325+Z313+Z301</f>
        <v>556346</v>
      </c>
      <c r="AA327" s="198"/>
      <c r="AB327" s="40"/>
      <c r="AC327" s="43"/>
      <c r="AD327" s="22"/>
    </row>
    <row r="328" spans="1:30" s="23" customFormat="1" x14ac:dyDescent="0.3">
      <c r="A328" s="47"/>
      <c r="B328" s="44" t="s">
        <v>304</v>
      </c>
      <c r="C328" s="44"/>
      <c r="D328" s="212"/>
      <c r="E328" s="212"/>
      <c r="F328" s="212"/>
      <c r="G328" s="212"/>
      <c r="H328" s="212"/>
      <c r="I328" s="212"/>
      <c r="J328" s="212"/>
      <c r="K328" s="212"/>
      <c r="L328" s="212"/>
      <c r="M328" s="212"/>
      <c r="N328" s="212"/>
      <c r="O328" s="212"/>
      <c r="P328" s="212"/>
      <c r="Q328" s="212"/>
      <c r="R328" s="212"/>
      <c r="S328" s="212"/>
      <c r="T328" s="212"/>
      <c r="U328" s="212"/>
      <c r="V328" s="212"/>
      <c r="W328" s="212"/>
      <c r="X328" s="210"/>
      <c r="Y328" s="213"/>
      <c r="Z328" s="211">
        <f>+AB65+AB64</f>
        <v>387</v>
      </c>
      <c r="AA328" s="198"/>
      <c r="AB328" s="40"/>
      <c r="AC328" s="43"/>
      <c r="AD328" s="22"/>
    </row>
    <row r="329" spans="1:30" s="23" customFormat="1" x14ac:dyDescent="0.3">
      <c r="A329" s="47"/>
      <c r="B329" s="44" t="s">
        <v>107</v>
      </c>
      <c r="C329" s="44"/>
      <c r="D329" s="212"/>
      <c r="E329" s="212"/>
      <c r="F329" s="212"/>
      <c r="G329" s="212"/>
      <c r="H329" s="212"/>
      <c r="I329" s="212"/>
      <c r="J329" s="212"/>
      <c r="K329" s="212"/>
      <c r="L329" s="212"/>
      <c r="M329" s="212"/>
      <c r="N329" s="212"/>
      <c r="O329" s="212"/>
      <c r="P329" s="212"/>
      <c r="Q329" s="212"/>
      <c r="R329" s="212"/>
      <c r="S329" s="212"/>
      <c r="T329" s="212"/>
      <c r="U329" s="212"/>
      <c r="V329" s="212"/>
      <c r="W329" s="212"/>
      <c r="X329" s="210"/>
      <c r="Y329" s="213"/>
      <c r="Z329" s="211">
        <f>+Z327+Z328</f>
        <v>556733</v>
      </c>
      <c r="AA329" s="198"/>
      <c r="AB329" s="40"/>
      <c r="AC329" s="43"/>
      <c r="AD329" s="22"/>
    </row>
    <row r="330" spans="1:30" s="23" customFormat="1" x14ac:dyDescent="0.3">
      <c r="A330" s="47"/>
      <c r="B330" s="44" t="s">
        <v>237</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210"/>
      <c r="Y330" s="198"/>
      <c r="Z330" s="211">
        <f>+AB67</f>
        <v>556733</v>
      </c>
      <c r="AA330" s="198"/>
      <c r="AB330" s="40"/>
      <c r="AC330" s="43"/>
      <c r="AD330" s="22"/>
    </row>
    <row r="331" spans="1:30" s="23" customFormat="1" x14ac:dyDescent="0.3">
      <c r="A331" s="47"/>
      <c r="B331" s="44"/>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210"/>
      <c r="Y331" s="198"/>
      <c r="Z331" s="211"/>
      <c r="AA331" s="198"/>
      <c r="AB331" s="40"/>
      <c r="AC331" s="43"/>
      <c r="AD331" s="22"/>
    </row>
    <row r="332" spans="1:30" s="23" customFormat="1" x14ac:dyDescent="0.3">
      <c r="A332" s="47"/>
      <c r="B332" s="44" t="s">
        <v>305</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210"/>
      <c r="Y332" s="198"/>
      <c r="Z332" s="236">
        <f>(D31*0.05+F31+H31+J31+L31+N31)/AB31</f>
        <v>0.45107367662944764</v>
      </c>
      <c r="AA332" s="198"/>
      <c r="AB332" s="40"/>
      <c r="AC332" s="43"/>
      <c r="AD332" s="22"/>
    </row>
    <row r="333" spans="1:30" s="23" customFormat="1" x14ac:dyDescent="0.3">
      <c r="A333" s="18"/>
      <c r="B333" s="20"/>
      <c r="C333" s="20"/>
      <c r="D333" s="214"/>
      <c r="E333" s="214"/>
      <c r="F333" s="214"/>
      <c r="G333" s="214"/>
      <c r="H333" s="214"/>
      <c r="I333" s="214"/>
      <c r="J333" s="214"/>
      <c r="K333" s="214"/>
      <c r="L333" s="214"/>
      <c r="M333" s="214"/>
      <c r="N333" s="214"/>
      <c r="O333" s="214"/>
      <c r="P333" s="214"/>
      <c r="Q333" s="214"/>
      <c r="R333" s="214"/>
      <c r="S333" s="214"/>
      <c r="T333" s="214"/>
      <c r="U333" s="214"/>
      <c r="V333" s="214"/>
      <c r="W333" s="214"/>
      <c r="X333" s="214"/>
      <c r="Y333" s="214"/>
      <c r="Z333" s="215"/>
      <c r="AA333" s="214"/>
      <c r="AB333" s="20"/>
      <c r="AC333" s="21"/>
      <c r="AD333" s="22"/>
    </row>
    <row r="334" spans="1:30" s="23" customFormat="1" x14ac:dyDescent="0.3">
      <c r="A334" s="18"/>
      <c r="B334" s="19" t="s">
        <v>62</v>
      </c>
      <c r="C334" s="20"/>
      <c r="D334" s="216" t="s">
        <v>66</v>
      </c>
      <c r="E334" s="19"/>
      <c r="F334" s="19" t="s">
        <v>67</v>
      </c>
      <c r="G334" s="20"/>
      <c r="H334" s="19"/>
      <c r="I334" s="20"/>
      <c r="J334" s="20"/>
      <c r="K334" s="20"/>
      <c r="L334" s="20"/>
      <c r="M334" s="20"/>
      <c r="N334" s="20"/>
      <c r="O334" s="20"/>
      <c r="P334" s="20"/>
      <c r="Q334" s="20"/>
      <c r="R334" s="20"/>
      <c r="S334" s="20"/>
      <c r="T334" s="20"/>
      <c r="U334" s="20"/>
      <c r="V334" s="20"/>
      <c r="W334" s="20"/>
      <c r="X334" s="20"/>
      <c r="Y334" s="20"/>
      <c r="Z334" s="20"/>
      <c r="AA334" s="20"/>
      <c r="AB334" s="20"/>
      <c r="AC334" s="21"/>
      <c r="AD334" s="22"/>
    </row>
    <row r="335" spans="1:30" s="23" customFormat="1" x14ac:dyDescent="0.3">
      <c r="A335" s="18"/>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1"/>
      <c r="AD335" s="22"/>
    </row>
    <row r="336" spans="1:30" s="23" customFormat="1" x14ac:dyDescent="0.3">
      <c r="A336" s="18"/>
      <c r="B336" s="19" t="s">
        <v>152</v>
      </c>
      <c r="C336" s="19"/>
      <c r="D336" s="217" t="s">
        <v>122</v>
      </c>
      <c r="E336" s="19"/>
      <c r="F336" s="19" t="s">
        <v>168</v>
      </c>
      <c r="G336" s="19"/>
      <c r="H336" s="19"/>
      <c r="I336" s="20"/>
      <c r="J336" s="20"/>
      <c r="K336" s="20"/>
      <c r="L336" s="20"/>
      <c r="M336" s="20"/>
      <c r="N336" s="20"/>
      <c r="O336" s="20"/>
      <c r="P336" s="20"/>
      <c r="Q336" s="20"/>
      <c r="R336" s="20"/>
      <c r="S336" s="20"/>
      <c r="T336" s="20"/>
      <c r="U336" s="20"/>
      <c r="V336" s="20"/>
      <c r="W336" s="20"/>
      <c r="X336" s="20"/>
      <c r="Y336" s="20"/>
      <c r="Z336" s="20"/>
      <c r="AA336" s="20"/>
      <c r="AB336" s="20"/>
      <c r="AC336" s="21"/>
      <c r="AD336" s="22"/>
    </row>
    <row r="337" spans="1:30" s="23" customFormat="1" x14ac:dyDescent="0.3">
      <c r="A337" s="18"/>
      <c r="B337" s="19" t="s">
        <v>153</v>
      </c>
      <c r="C337" s="19"/>
      <c r="D337" s="217" t="s">
        <v>98</v>
      </c>
      <c r="E337" s="19"/>
      <c r="F337" s="19" t="s">
        <v>169</v>
      </c>
      <c r="G337" s="19"/>
      <c r="H337" s="19"/>
      <c r="I337" s="20"/>
      <c r="J337" s="20"/>
      <c r="K337" s="20"/>
      <c r="L337" s="20"/>
      <c r="M337" s="20"/>
      <c r="N337" s="20"/>
      <c r="O337" s="20"/>
      <c r="P337" s="20"/>
      <c r="Q337" s="20"/>
      <c r="R337" s="20"/>
      <c r="S337" s="20"/>
      <c r="T337" s="20"/>
      <c r="U337" s="20"/>
      <c r="V337" s="20"/>
      <c r="W337" s="20"/>
      <c r="X337" s="20"/>
      <c r="Y337" s="20"/>
      <c r="Z337" s="20"/>
      <c r="AA337" s="20"/>
      <c r="AB337" s="20"/>
      <c r="AC337" s="21"/>
      <c r="AD337" s="22"/>
    </row>
    <row r="338" spans="1:30" x14ac:dyDescent="0.3">
      <c r="A338" s="218"/>
      <c r="B338" s="219"/>
      <c r="C338" s="219"/>
      <c r="D338" s="220"/>
      <c r="E338" s="220"/>
      <c r="F338" s="220"/>
      <c r="G338" s="220"/>
      <c r="H338" s="220"/>
      <c r="I338" s="220"/>
      <c r="J338" s="220"/>
      <c r="K338" s="220"/>
      <c r="L338" s="220"/>
      <c r="M338" s="220"/>
      <c r="N338" s="220"/>
      <c r="O338" s="220"/>
      <c r="P338" s="220"/>
      <c r="Q338" s="220"/>
      <c r="R338" s="220"/>
      <c r="S338" s="220"/>
      <c r="T338" s="220"/>
      <c r="U338" s="220"/>
      <c r="V338" s="220"/>
      <c r="W338" s="220"/>
      <c r="X338" s="220"/>
      <c r="Y338" s="220"/>
      <c r="Z338" s="220"/>
      <c r="AA338" s="220"/>
      <c r="AB338" s="220"/>
      <c r="AC338" s="221"/>
      <c r="AD338" s="5"/>
    </row>
    <row r="339" spans="1:30" x14ac:dyDescent="0.3">
      <c r="A339" s="218"/>
      <c r="B339" s="219"/>
      <c r="C339" s="219"/>
      <c r="D339" s="220"/>
      <c r="E339" s="220"/>
      <c r="F339" s="220"/>
      <c r="G339" s="220"/>
      <c r="H339" s="220"/>
      <c r="I339" s="220"/>
      <c r="J339" s="220"/>
      <c r="K339" s="220"/>
      <c r="L339" s="220"/>
      <c r="M339" s="220"/>
      <c r="N339" s="220"/>
      <c r="O339" s="220"/>
      <c r="P339" s="220"/>
      <c r="Q339" s="220"/>
      <c r="R339" s="220"/>
      <c r="S339" s="220"/>
      <c r="T339" s="220"/>
      <c r="U339" s="220"/>
      <c r="V339" s="220"/>
      <c r="W339" s="220"/>
      <c r="X339" s="220"/>
      <c r="Y339" s="220"/>
      <c r="Z339" s="220"/>
      <c r="AA339" s="220"/>
      <c r="AB339" s="220"/>
      <c r="AC339" s="221"/>
      <c r="AD339" s="5"/>
    </row>
    <row r="340" spans="1:30" ht="18.600000000000001" thickBot="1" x14ac:dyDescent="0.4">
      <c r="A340" s="218"/>
      <c r="B340" s="222" t="str">
        <f>B237</f>
        <v>PM26 INVESTOR REPORT QUARTER ENDING OCTOBER 2019</v>
      </c>
      <c r="C340" s="219"/>
      <c r="D340" s="220"/>
      <c r="E340" s="220"/>
      <c r="F340" s="220"/>
      <c r="G340" s="220"/>
      <c r="H340" s="220"/>
      <c r="I340" s="220"/>
      <c r="J340" s="220"/>
      <c r="K340" s="220"/>
      <c r="L340" s="220"/>
      <c r="M340" s="220"/>
      <c r="N340" s="220"/>
      <c r="O340" s="220"/>
      <c r="P340" s="220"/>
      <c r="Q340" s="220"/>
      <c r="R340" s="220"/>
      <c r="S340" s="220"/>
      <c r="T340" s="220"/>
      <c r="U340" s="220"/>
      <c r="V340" s="220"/>
      <c r="W340" s="220"/>
      <c r="X340" s="220"/>
      <c r="Y340" s="220"/>
      <c r="Z340" s="220"/>
      <c r="AA340" s="220"/>
      <c r="AB340" s="220"/>
      <c r="AC340" s="223"/>
      <c r="AD340" s="5"/>
    </row>
    <row r="341" spans="1:30" x14ac:dyDescent="0.3">
      <c r="A341" s="224"/>
      <c r="B341" s="224"/>
      <c r="C341" s="224"/>
      <c r="D341" s="224"/>
      <c r="E341" s="224"/>
      <c r="F341" s="224"/>
      <c r="G341" s="224"/>
      <c r="H341" s="224"/>
      <c r="I341" s="224"/>
      <c r="J341" s="224"/>
      <c r="K341" s="224"/>
      <c r="L341" s="224"/>
      <c r="M341" s="224"/>
      <c r="N341" s="224"/>
      <c r="O341" s="224"/>
      <c r="P341" s="224"/>
      <c r="Q341" s="224"/>
      <c r="R341" s="224"/>
      <c r="S341" s="224"/>
      <c r="T341" s="224"/>
      <c r="U341" s="224"/>
      <c r="V341" s="224"/>
      <c r="W341" s="224"/>
      <c r="X341" s="224"/>
      <c r="Y341" s="224"/>
      <c r="Z341" s="224"/>
      <c r="AA341" s="224"/>
      <c r="AB341" s="224"/>
      <c r="AC341" s="224"/>
    </row>
    <row r="342" spans="1:30" x14ac:dyDescent="0.3">
      <c r="B342" s="6" t="s">
        <v>307</v>
      </c>
    </row>
  </sheetData>
  <hyperlinks>
    <hyperlink ref="X277" r:id="rId1" display="http://www.paragon-group.co.uk" xr:uid="{00000000-0004-0000-0000-000000000000}"/>
    <hyperlink ref="K9" r:id="rId2" display="http://www.paragon-group.co.uk" xr:uid="{00000000-0004-0000-0000-000001000000}"/>
  </hyperlinks>
  <printOptions horizontalCentered="1" verticalCentered="1"/>
  <pageMargins left="0.19685039370078741" right="0.19685039370078741" top="0.27559055118110237" bottom="0.27559055118110237" header="0" footer="0"/>
  <pageSetup scale="33" orientation="landscape" r:id="rId3"/>
  <headerFooter alignWithMargins="0"/>
  <rowBreaks count="3" manualBreakCount="3">
    <brk id="54" max="18" man="1"/>
    <brk id="134" max="18" man="1"/>
    <brk id="237" max="18" man="1"/>
  </rowBreaks>
  <colBreaks count="1" manualBreakCount="1">
    <brk id="29" max="299" man="1"/>
  </col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82966-EF16-49C2-A844-881BA67903EB}">
  <sheetPr>
    <tabColor rgb="FF2D2926"/>
  </sheetPr>
  <dimension ref="A1:JB357"/>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0.24654040449948858</v>
      </c>
      <c r="Z17" s="29" t="s">
        <v>258</v>
      </c>
      <c r="AA17" s="29">
        <v>0.75345959550051145</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44610</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214</v>
      </c>
      <c r="I27" s="229"/>
      <c r="J27" s="229" t="s">
        <v>215</v>
      </c>
      <c r="K27" s="229"/>
      <c r="L27" s="229" t="s">
        <v>365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176558.33559999999</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6052.9742900000001</v>
      </c>
      <c r="Q30" s="54"/>
      <c r="R30" s="54">
        <v>0</v>
      </c>
      <c r="S30" s="54"/>
      <c r="T30" s="54" t="s">
        <v>83</v>
      </c>
      <c r="U30" s="54"/>
      <c r="V30" s="54" t="s">
        <v>83</v>
      </c>
      <c r="W30" s="54"/>
      <c r="X30" s="54" t="s">
        <v>83</v>
      </c>
      <c r="Y30" s="54" t="s">
        <v>83</v>
      </c>
      <c r="Z30" s="54"/>
      <c r="AA30" s="49"/>
      <c r="AB30" s="50">
        <f>SUM(D30:N30)</f>
        <v>411601.33559999999</v>
      </c>
      <c r="AC30" s="51"/>
      <c r="AD30" s="22"/>
    </row>
    <row r="31" spans="1:33" s="23" customFormat="1" x14ac:dyDescent="0.3">
      <c r="A31" s="47"/>
      <c r="B31" s="44" t="s">
        <v>92</v>
      </c>
      <c r="C31" s="49"/>
      <c r="D31" s="57">
        <f>D29*D32</f>
        <v>166902.08257999999</v>
      </c>
      <c r="E31" s="57"/>
      <c r="F31" s="57">
        <f>F29</f>
        <v>151540</v>
      </c>
      <c r="G31" s="57"/>
      <c r="H31" s="57">
        <f>H29</f>
        <v>24741</v>
      </c>
      <c r="I31" s="57"/>
      <c r="J31" s="57">
        <f>J29</f>
        <v>18555</v>
      </c>
      <c r="K31" s="57"/>
      <c r="L31" s="57">
        <f>L29</f>
        <v>20102</v>
      </c>
      <c r="M31" s="57"/>
      <c r="N31" s="57">
        <f>N29</f>
        <v>20105</v>
      </c>
      <c r="O31" s="57"/>
      <c r="P31" s="57">
        <f>P29*P32</f>
        <v>5872.5360799999999</v>
      </c>
      <c r="Q31" s="57"/>
      <c r="R31" s="57">
        <v>0</v>
      </c>
      <c r="S31" s="57"/>
      <c r="T31" s="57" t="s">
        <v>83</v>
      </c>
      <c r="U31" s="57"/>
      <c r="V31" s="57" t="s">
        <v>83</v>
      </c>
      <c r="W31" s="57"/>
      <c r="X31" s="57" t="s">
        <v>83</v>
      </c>
      <c r="Y31" s="57" t="s">
        <v>83</v>
      </c>
      <c r="Z31" s="57"/>
      <c r="AA31" s="49"/>
      <c r="AB31" s="56">
        <f>SUM(D31:N31)</f>
        <v>401945.08257999999</v>
      </c>
      <c r="AC31" s="51"/>
      <c r="AD31" s="22"/>
      <c r="AE31" s="235"/>
    </row>
    <row r="32" spans="1:33" s="65" customFormat="1" x14ac:dyDescent="0.3">
      <c r="A32" s="58"/>
      <c r="B32" s="166" t="s">
        <v>88</v>
      </c>
      <c r="C32" s="61"/>
      <c r="D32" s="60">
        <v>0.43522</v>
      </c>
      <c r="E32" s="60"/>
      <c r="F32" s="60">
        <v>1</v>
      </c>
      <c r="G32" s="60"/>
      <c r="H32" s="60">
        <v>1</v>
      </c>
      <c r="I32" s="60"/>
      <c r="J32" s="60">
        <v>1</v>
      </c>
      <c r="K32" s="60"/>
      <c r="L32" s="60">
        <v>1</v>
      </c>
      <c r="M32" s="60"/>
      <c r="N32" s="60">
        <v>1</v>
      </c>
      <c r="O32" s="60"/>
      <c r="P32" s="60">
        <v>0.57704</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0.46039999999999998</v>
      </c>
      <c r="E33" s="60"/>
      <c r="F33" s="60">
        <v>1</v>
      </c>
      <c r="G33" s="60"/>
      <c r="H33" s="60">
        <v>1</v>
      </c>
      <c r="I33" s="60"/>
      <c r="J33" s="60">
        <v>1</v>
      </c>
      <c r="K33" s="60"/>
      <c r="L33" s="60">
        <v>1</v>
      </c>
      <c r="M33" s="60"/>
      <c r="N33" s="60">
        <v>1</v>
      </c>
      <c r="O33" s="60"/>
      <c r="P33" s="60">
        <v>0.59477000000000002</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1.19656E-2</v>
      </c>
      <c r="E35" s="241"/>
      <c r="F35" s="241">
        <v>1.3465599999999999E-2</v>
      </c>
      <c r="G35" s="241"/>
      <c r="H35" s="241">
        <v>2.04656E-2</v>
      </c>
      <c r="I35" s="241"/>
      <c r="J35" s="241">
        <v>2.39656E-2</v>
      </c>
      <c r="K35" s="241"/>
      <c r="L35" s="241">
        <v>2.74656E-2</v>
      </c>
      <c r="M35" s="241"/>
      <c r="N35" s="241">
        <v>3.7465600000000002E-2</v>
      </c>
      <c r="O35" s="241"/>
      <c r="P35" s="241">
        <v>4.1465599999999998E-2</v>
      </c>
      <c r="Q35" s="241"/>
      <c r="R35" s="241">
        <v>4.1465599999999998E-2</v>
      </c>
      <c r="S35" s="68"/>
      <c r="T35" s="68" t="s">
        <v>83</v>
      </c>
      <c r="U35" s="68"/>
      <c r="V35" s="68" t="s">
        <v>83</v>
      </c>
      <c r="W35" s="68"/>
      <c r="X35" s="68" t="s">
        <v>83</v>
      </c>
      <c r="Y35" s="68" t="s">
        <v>83</v>
      </c>
      <c r="Z35" s="68"/>
      <c r="AA35" s="40"/>
      <c r="AB35" s="67">
        <f>SUMPRODUCT(D35:N35,D30:N30)/AB30</f>
        <v>1.557231084275267E-2</v>
      </c>
      <c r="AC35" s="43"/>
      <c r="AD35" s="22"/>
    </row>
    <row r="36" spans="1:30" s="23" customFormat="1" x14ac:dyDescent="0.3">
      <c r="A36" s="47"/>
      <c r="B36" s="40" t="s">
        <v>10</v>
      </c>
      <c r="C36" s="69"/>
      <c r="D36" s="241">
        <v>1.10002E-2</v>
      </c>
      <c r="E36" s="241"/>
      <c r="F36" s="241">
        <v>1.25002E-2</v>
      </c>
      <c r="G36" s="241"/>
      <c r="H36" s="241">
        <v>1.9500199999999999E-2</v>
      </c>
      <c r="I36" s="241"/>
      <c r="J36" s="241">
        <v>2.3000199999999998E-2</v>
      </c>
      <c r="K36" s="241"/>
      <c r="L36" s="241">
        <v>2.6500200000000002E-2</v>
      </c>
      <c r="M36" s="241"/>
      <c r="N36" s="241">
        <v>3.6500199999999997E-2</v>
      </c>
      <c r="O36" s="241"/>
      <c r="P36" s="241">
        <v>4.05002E-2</v>
      </c>
      <c r="Q36" s="241"/>
      <c r="R36" s="241">
        <v>4.05002E-2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0.26222350803468986</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44607</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91</v>
      </c>
      <c r="Y48" s="40"/>
      <c r="Z48" s="76">
        <v>44424</v>
      </c>
      <c r="AA48" s="77"/>
      <c r="AB48" s="76">
        <v>44514</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92</v>
      </c>
      <c r="Y49" s="40"/>
      <c r="Z49" s="76">
        <v>44515</v>
      </c>
      <c r="AA49" s="77"/>
      <c r="AB49" s="76">
        <v>44606</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44606</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366</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411601</v>
      </c>
      <c r="S58" s="238"/>
      <c r="T58" s="237">
        <f>154+184</f>
        <v>338</v>
      </c>
      <c r="U58" s="237"/>
      <c r="V58" s="237">
        <f>9321</f>
        <v>9321</v>
      </c>
      <c r="W58" s="238"/>
      <c r="X58" s="238">
        <v>0</v>
      </c>
      <c r="Y58" s="238"/>
      <c r="Z58" s="238">
        <v>0</v>
      </c>
      <c r="AA58" s="238"/>
      <c r="AB58" s="237">
        <f>R58-T58-V58+X58-Z58</f>
        <v>401942</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411601</v>
      </c>
      <c r="S61" s="238"/>
      <c r="T61" s="238">
        <f>T58+T59</f>
        <v>338</v>
      </c>
      <c r="U61" s="238"/>
      <c r="V61" s="238">
        <f>SUM(V58:V60)</f>
        <v>9321</v>
      </c>
      <c r="W61" s="238"/>
      <c r="X61" s="238">
        <f>SUM(X58:X60)</f>
        <v>0</v>
      </c>
      <c r="Y61" s="238"/>
      <c r="Z61" s="238">
        <f>SUM(Z58:Z60)</f>
        <v>0</v>
      </c>
      <c r="AA61" s="238"/>
      <c r="AB61" s="238">
        <f>SUM(AB58:AB60)</f>
        <v>401942</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0</v>
      </c>
      <c r="S64" s="238"/>
      <c r="T64" s="238">
        <v>0</v>
      </c>
      <c r="U64" s="238"/>
      <c r="V64" s="238">
        <v>3</v>
      </c>
      <c r="W64" s="238"/>
      <c r="X64" s="238"/>
      <c r="Y64" s="238"/>
      <c r="Z64" s="238"/>
      <c r="AA64" s="238"/>
      <c r="AB64" s="238">
        <f>R64+V64</f>
        <v>3</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411601</v>
      </c>
      <c r="S67" s="238"/>
      <c r="T67" s="238"/>
      <c r="U67" s="238"/>
      <c r="V67" s="238"/>
      <c r="W67" s="238"/>
      <c r="X67" s="238"/>
      <c r="Y67" s="238"/>
      <c r="Z67" s="238"/>
      <c r="AA67" s="238"/>
      <c r="AB67" s="238">
        <f>SUM(AB61:AB66)</f>
        <v>401945</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44592</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0</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f>
        <v>9659</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3144+1323-297-280</f>
        <v>3890</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80+15</f>
        <v>95</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2</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180</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1299</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9659</v>
      </c>
      <c r="AA84" s="40"/>
      <c r="AB84" s="97">
        <f>SUM(AB71:AB83)</f>
        <v>5466</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9659</v>
      </c>
      <c r="AA87" s="40"/>
      <c r="AB87" s="97">
        <f>AB84+AB85+AB86</f>
        <v>5466</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-208-7-7</f>
        <v>-222</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-410</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-533</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-513</v>
      </c>
      <c r="AC94" s="114"/>
      <c r="AD94" s="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-128</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-112</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-139</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0</v>
      </c>
      <c r="AA101" s="112"/>
      <c r="AB101" s="98">
        <v>0</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-2150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-190</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-63</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-180</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-11-89</f>
        <v>-100</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-700</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-9656</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-9656</v>
      </c>
      <c r="AA130" s="97"/>
      <c r="AB130" s="97">
        <f>SUM(AB88:AB128)</f>
        <v>-5466</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3</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JANUARY 2022</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+'October 21'!AB146</f>
        <v>5473.5499999999993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-180</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5293.5499999999993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+'October 21'!AB159</f>
        <v>579.85500000000002</v>
      </c>
      <c r="AC150" s="43"/>
      <c r="AD150" s="22"/>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+'October 21'!AB165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+'October 21'!AB173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0</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0</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0</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+'October 21'!AB182</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+'October 21'!AB190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+'October 21'!AB198</f>
        <v>762</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1696</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1299</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356</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1159</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+'October 21'!AB206</f>
        <v>2043</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v>1696</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2150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AB203-AB204+AB205</f>
        <v>2497</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+'October 21'!Y213</f>
        <v>0</v>
      </c>
      <c r="Z211" s="98">
        <f>+'October 21'!Z213</f>
        <v>5</v>
      </c>
      <c r="AA211" s="40"/>
      <c r="AB211" s="98">
        <f>Y211+Z211</f>
        <v>5</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259</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346576</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353321</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-6745</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6.3E-3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4.6195028680688335</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3.51</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29.578125</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26.92</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32.660714285714285</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29.71</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25.510791366906474</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23.23</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17.931578947368422</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16.420000000000002</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JANUARY 2022</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44592</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1"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2.0008281159907649E-2</v>
      </c>
      <c r="AA241" s="40"/>
      <c r="AB241" s="40"/>
      <c r="AC241" s="43"/>
      <c r="AD241" s="22"/>
    </row>
    <row r="242" spans="1:31"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1"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3.8210000000000001E-2</v>
      </c>
      <c r="AA243" s="40"/>
      <c r="AB243" s="40"/>
      <c r="AC243" s="43"/>
      <c r="AD243" s="22"/>
    </row>
    <row r="244" spans="1:31"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1.557231084275267E-2</v>
      </c>
      <c r="AA244" s="40"/>
      <c r="AB244" s="40"/>
      <c r="AC244" s="43"/>
      <c r="AD244" s="22"/>
    </row>
    <row r="245" spans="1:31"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2.2637689157247329E-2</v>
      </c>
      <c r="AA245" s="40"/>
      <c r="AB245" s="40"/>
      <c r="AC245" s="43"/>
      <c r="AD245" s="22"/>
    </row>
    <row r="246" spans="1:31"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(+AB87+AB89)/R67</f>
        <v>1.3279851117951609E-2</v>
      </c>
      <c r="AA246" s="40"/>
      <c r="AB246" s="40"/>
      <c r="AC246" s="43"/>
      <c r="AD246" s="22"/>
    </row>
    <row r="247" spans="1:31"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1"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1"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1"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1"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1"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1"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1"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1"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16.13</v>
      </c>
      <c r="AA255" s="40" t="s">
        <v>76</v>
      </c>
      <c r="AB255" s="40"/>
      <c r="AC255" s="43"/>
      <c r="AD255" s="22"/>
    </row>
    <row r="256" spans="1:31"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2.3466901198004864E-2</v>
      </c>
      <c r="AA256" s="40"/>
      <c r="AB256" s="40"/>
      <c r="AC256" s="43"/>
      <c r="AD256" s="22"/>
      <c r="AE256" s="271"/>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0.15160000000000001</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0</v>
      </c>
      <c r="Z260" s="157">
        <v>0</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0</v>
      </c>
      <c r="Z261" s="162">
        <f>+Z313</f>
        <v>0</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+X335</f>
        <v>0</v>
      </c>
      <c r="Z262" s="162">
        <f>+Z335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0</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'October 21'!Z267+Z266</f>
        <v>14</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0</v>
      </c>
      <c r="Z273" s="162">
        <v>0</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0</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261" t="s">
        <v>167</v>
      </c>
      <c r="Q277" s="182"/>
      <c r="R277" s="182"/>
      <c r="S277" s="182"/>
      <c r="T277" s="182"/>
      <c r="U277" s="182"/>
      <c r="V277" s="182"/>
      <c r="W277" s="59"/>
      <c r="X277" s="183"/>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 t="shared" ref="X280:X287" si="1">+X292+X304+X326</f>
        <v>2215</v>
      </c>
      <c r="Y280" s="192">
        <f>X280/$X$289</f>
        <v>0.99505840071877805</v>
      </c>
      <c r="Z280" s="107">
        <f t="shared" ref="Z280:Z287" si="2">+Z292+Z304+Z326</f>
        <v>399650</v>
      </c>
      <c r="AA280" s="192">
        <f t="shared" ref="AA280:AA287" si="3">Z280/$Z$289</f>
        <v>0.99429768474058444</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 t="shared" si="1"/>
        <v>4</v>
      </c>
      <c r="Y281" s="196">
        <f t="shared" ref="Y281:Y287" si="4">X281/$X$289</f>
        <v>1.7969451931716084E-3</v>
      </c>
      <c r="Z281" s="197">
        <f t="shared" si="2"/>
        <v>569</v>
      </c>
      <c r="AA281" s="198">
        <f t="shared" si="3"/>
        <v>1.4156271302824786E-3</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1"/>
        <v>0</v>
      </c>
      <c r="Y282" s="200">
        <f t="shared" si="4"/>
        <v>0</v>
      </c>
      <c r="Z282" s="131">
        <f t="shared" si="2"/>
        <v>0</v>
      </c>
      <c r="AA282" s="198">
        <f t="shared" si="3"/>
        <v>0</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1</v>
      </c>
      <c r="Y283" s="200">
        <f t="shared" si="4"/>
        <v>4.4923629829290209E-4</v>
      </c>
      <c r="Z283" s="131">
        <f t="shared" si="2"/>
        <v>100</v>
      </c>
      <c r="AA283" s="198">
        <f t="shared" si="3"/>
        <v>2.487921142851456E-4</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1</v>
      </c>
      <c r="Y284" s="200">
        <f t="shared" si="4"/>
        <v>4.4923629829290209E-4</v>
      </c>
      <c r="Z284" s="131">
        <f t="shared" si="2"/>
        <v>275</v>
      </c>
      <c r="AA284" s="198">
        <f t="shared" si="3"/>
        <v>6.8417831428415048E-4</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0</v>
      </c>
      <c r="Y285" s="200">
        <f t="shared" si="4"/>
        <v>0</v>
      </c>
      <c r="Z285" s="131">
        <f t="shared" si="2"/>
        <v>0</v>
      </c>
      <c r="AA285" s="198">
        <f t="shared" si="3"/>
        <v>0</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1"/>
        <v>4</v>
      </c>
      <c r="Y286" s="202">
        <f t="shared" si="4"/>
        <v>1.7969451931716084E-3</v>
      </c>
      <c r="Z286" s="203">
        <f t="shared" si="2"/>
        <v>1069</v>
      </c>
      <c r="AA286" s="198">
        <f t="shared" si="3"/>
        <v>2.6595877017082064E-3</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 t="shared" si="1"/>
        <v>1</v>
      </c>
      <c r="Y287" s="198">
        <f t="shared" si="4"/>
        <v>4.4923629829290209E-4</v>
      </c>
      <c r="Z287" s="107">
        <f t="shared" si="2"/>
        <v>279</v>
      </c>
      <c r="AA287" s="198">
        <f t="shared" si="3"/>
        <v>6.9412999885555624E-4</v>
      </c>
      <c r="AB287" s="163"/>
      <c r="AC287" s="175"/>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2226</v>
      </c>
      <c r="Y289" s="198">
        <f>SUM(Y280:Y288)</f>
        <v>0.99999999999999989</v>
      </c>
      <c r="Z289" s="98">
        <f>SUM(Z280:Z288)</f>
        <v>401942</v>
      </c>
      <c r="AA289" s="198">
        <f>SUM(AA280:AA288)</f>
        <v>0.99999999999999989</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2215</v>
      </c>
      <c r="Y292" s="192">
        <f>X292/$X$301</f>
        <v>0.99505840071877805</v>
      </c>
      <c r="Z292" s="107">
        <v>399650</v>
      </c>
      <c r="AA292" s="192">
        <f>Z292/$Z$301</f>
        <v>0.99429768474058444</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4</v>
      </c>
      <c r="Y293" s="198">
        <f t="shared" ref="Y293:Y299" si="5">X293/$X$301</f>
        <v>1.7969451931716084E-3</v>
      </c>
      <c r="Z293" s="98">
        <v>569</v>
      </c>
      <c r="AA293" s="198">
        <f t="shared" ref="AA293:AA299" si="6">Z293/$Z$301</f>
        <v>1.4156271302824786E-3</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5"/>
        <v>0</v>
      </c>
      <c r="Z294" s="98">
        <v>0</v>
      </c>
      <c r="AA294" s="198">
        <f t="shared" si="6"/>
        <v>0</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1</v>
      </c>
      <c r="Y295" s="198">
        <f t="shared" si="5"/>
        <v>4.4923629829290209E-4</v>
      </c>
      <c r="Z295" s="98">
        <v>100</v>
      </c>
      <c r="AA295" s="198">
        <f t="shared" si="6"/>
        <v>2.487921142851456E-4</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1</v>
      </c>
      <c r="Y296" s="198">
        <f t="shared" si="5"/>
        <v>4.4923629829290209E-4</v>
      </c>
      <c r="Z296" s="98">
        <v>275</v>
      </c>
      <c r="AA296" s="198">
        <f t="shared" si="6"/>
        <v>6.8417831428415048E-4</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0</v>
      </c>
      <c r="Y297" s="198">
        <f t="shared" si="5"/>
        <v>0</v>
      </c>
      <c r="Z297" s="98">
        <v>0</v>
      </c>
      <c r="AA297" s="198">
        <f t="shared" si="6"/>
        <v>0</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4</v>
      </c>
      <c r="Y298" s="198">
        <f>X298/$X$301</f>
        <v>1.7969451931716084E-3</v>
      </c>
      <c r="Z298" s="98">
        <v>1069</v>
      </c>
      <c r="AA298" s="198">
        <f t="shared" si="6"/>
        <v>2.6595877017082064E-3</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1</v>
      </c>
      <c r="Y299" s="198">
        <f t="shared" si="5"/>
        <v>4.4923629829290209E-4</v>
      </c>
      <c r="Z299" s="98">
        <v>279</v>
      </c>
      <c r="AA299" s="198">
        <f t="shared" si="6"/>
        <v>6.9412999885555624E-4</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2226</v>
      </c>
      <c r="Y301" s="198">
        <f>SUM(Y292:Y300)</f>
        <v>0.99999999999999989</v>
      </c>
      <c r="Z301" s="98">
        <f>SUM(Z292:Z300)</f>
        <v>401942</v>
      </c>
      <c r="AA301" s="198">
        <f>SUM(AA292:AA300)</f>
        <v>0.99999999999999989</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v>0</v>
      </c>
      <c r="Z310" s="98">
        <v>0</v>
      </c>
      <c r="AA310" s="198">
        <v>0</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0</v>
      </c>
      <c r="Y313" s="198">
        <f>SUM(Y304:Y312)</f>
        <v>0</v>
      </c>
      <c r="Z313" s="98">
        <f>SUM(Z304:Z312)</f>
        <v>0</v>
      </c>
      <c r="AA313" s="198">
        <f>SUM(AA304:AA312)</f>
        <v>0</v>
      </c>
      <c r="AB313" s="40"/>
      <c r="AC313" s="43"/>
      <c r="AD313" s="22"/>
    </row>
    <row r="314" spans="1:30" s="23" customFormat="1" x14ac:dyDescent="0.3">
      <c r="A314" s="47"/>
      <c r="B314" s="40"/>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c r="Y314" s="198"/>
      <c r="Z314" s="98"/>
      <c r="AA314" s="198"/>
      <c r="AB314" s="40"/>
      <c r="AC314" s="43"/>
      <c r="AD314" s="22"/>
    </row>
    <row r="315" spans="1:30" s="23" customFormat="1" x14ac:dyDescent="0.3">
      <c r="A315" s="242"/>
      <c r="B315" s="243" t="s">
        <v>330</v>
      </c>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62" t="s">
        <v>69</v>
      </c>
      <c r="Y315" s="263" t="s">
        <v>70</v>
      </c>
      <c r="Z315" s="262" t="s">
        <v>75</v>
      </c>
      <c r="AA315" s="263" t="s">
        <v>70</v>
      </c>
      <c r="AB315" s="243"/>
      <c r="AC315" s="243"/>
      <c r="AD315" s="22"/>
    </row>
    <row r="316" spans="1:30" s="23" customFormat="1" x14ac:dyDescent="0.3">
      <c r="A316" s="273"/>
      <c r="B316" s="274" t="s">
        <v>326</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6">
        <v>0</v>
      </c>
      <c r="Y316" s="277">
        <v>0</v>
      </c>
      <c r="Z316" s="278">
        <v>0</v>
      </c>
      <c r="AA316" s="277">
        <v>0</v>
      </c>
      <c r="AB316" s="40"/>
      <c r="AC316" s="43"/>
      <c r="AD316" s="22"/>
    </row>
    <row r="317" spans="1:30" s="23" customFormat="1" x14ac:dyDescent="0.3">
      <c r="A317" s="273"/>
      <c r="B317" s="274" t="s">
        <v>327</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6">
        <v>0</v>
      </c>
      <c r="Y317" s="277">
        <v>0</v>
      </c>
      <c r="Z317" s="278">
        <v>0</v>
      </c>
      <c r="AA317" s="277">
        <v>0</v>
      </c>
      <c r="AB317" s="40"/>
      <c r="AC317" s="43"/>
      <c r="AD317" s="22"/>
    </row>
    <row r="318" spans="1:30" s="23" customFormat="1" x14ac:dyDescent="0.3">
      <c r="A318" s="273"/>
      <c r="B318" s="274" t="s">
        <v>328</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6">
        <v>0</v>
      </c>
      <c r="Y318" s="277">
        <v>0</v>
      </c>
      <c r="Z318" s="278">
        <v>0</v>
      </c>
      <c r="AA318" s="277">
        <v>0</v>
      </c>
      <c r="AB318" s="40"/>
      <c r="AC318" s="43"/>
      <c r="AD318" s="22"/>
    </row>
    <row r="319" spans="1:30" s="23" customFormat="1" x14ac:dyDescent="0.3">
      <c r="A319" s="273"/>
      <c r="B319" s="274" t="s">
        <v>329</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6">
        <v>0</v>
      </c>
      <c r="Y319" s="277">
        <v>0</v>
      </c>
      <c r="Z319" s="278">
        <v>0</v>
      </c>
      <c r="AA319" s="277">
        <v>0</v>
      </c>
      <c r="AB319" s="40"/>
      <c r="AC319" s="43"/>
      <c r="AD319" s="22"/>
    </row>
    <row r="320" spans="1:30" s="23" customFormat="1" x14ac:dyDescent="0.3">
      <c r="A320" s="273"/>
      <c r="B320" s="274" t="s">
        <v>334</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6">
        <v>0</v>
      </c>
      <c r="Y320" s="277">
        <v>0</v>
      </c>
      <c r="Z320" s="278">
        <v>0</v>
      </c>
      <c r="AA320" s="277">
        <v>0</v>
      </c>
      <c r="AB320" s="40"/>
      <c r="AC320" s="43"/>
      <c r="AD320" s="22"/>
    </row>
    <row r="321" spans="1:30" s="23" customFormat="1" x14ac:dyDescent="0.3">
      <c r="A321" s="273"/>
      <c r="B321" s="275" t="s">
        <v>331</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276">
        <v>0</v>
      </c>
      <c r="Y321" s="277">
        <v>0</v>
      </c>
      <c r="Z321" s="278">
        <v>0</v>
      </c>
      <c r="AA321" s="277">
        <v>0</v>
      </c>
      <c r="AB321" s="40"/>
      <c r="AC321" s="43"/>
      <c r="AD321" s="22"/>
    </row>
    <row r="322" spans="1:30" s="23" customFormat="1" x14ac:dyDescent="0.3">
      <c r="A322" s="273"/>
      <c r="B322" s="274"/>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276"/>
      <c r="Y322" s="277"/>
      <c r="Z322" s="278"/>
      <c r="AA322" s="277"/>
      <c r="AB322" s="40"/>
      <c r="AC322" s="43"/>
      <c r="AD322" s="22"/>
    </row>
    <row r="323" spans="1:30" s="23" customFormat="1" x14ac:dyDescent="0.3">
      <c r="A323" s="273"/>
      <c r="B323" s="274" t="s">
        <v>80</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f>SUM(X316:X322)</f>
        <v>0</v>
      </c>
      <c r="Y323" s="277">
        <f>SUM(Y316:Y321)</f>
        <v>0</v>
      </c>
      <c r="Z323" s="278">
        <f>SUM(Z316:Z321)</f>
        <v>0</v>
      </c>
      <c r="AA323" s="277">
        <f>SUM(AA316:AA322)</f>
        <v>0</v>
      </c>
      <c r="AB323" s="40"/>
      <c r="AC323" s="43"/>
      <c r="AD323" s="22"/>
    </row>
    <row r="324" spans="1:30" x14ac:dyDescent="0.3">
      <c r="A324" s="7"/>
      <c r="B324" s="99"/>
      <c r="C324" s="99"/>
      <c r="D324" s="205"/>
      <c r="E324" s="205"/>
      <c r="F324" s="205"/>
      <c r="G324" s="205"/>
      <c r="H324" s="205"/>
      <c r="I324" s="205"/>
      <c r="J324" s="205"/>
      <c r="K324" s="205"/>
      <c r="L324" s="205"/>
      <c r="M324" s="205"/>
      <c r="N324" s="205"/>
      <c r="O324" s="205"/>
      <c r="P324" s="205"/>
      <c r="Q324" s="205"/>
      <c r="R324" s="205"/>
      <c r="S324" s="205"/>
      <c r="T324" s="205"/>
      <c r="U324" s="205"/>
      <c r="V324" s="205"/>
      <c r="W324" s="205"/>
      <c r="X324" s="100"/>
      <c r="Y324" s="206"/>
      <c r="Z324" s="207"/>
      <c r="AA324" s="206"/>
      <c r="AB324" s="99"/>
      <c r="AC324" s="10"/>
      <c r="AD324" s="5"/>
    </row>
    <row r="325" spans="1:30" x14ac:dyDescent="0.3">
      <c r="A325" s="33"/>
      <c r="B325" s="102" t="s">
        <v>106</v>
      </c>
      <c r="C325" s="34"/>
      <c r="D325" s="208"/>
      <c r="E325" s="208"/>
      <c r="F325" s="208"/>
      <c r="G325" s="208"/>
      <c r="H325" s="208"/>
      <c r="I325" s="208"/>
      <c r="J325" s="208"/>
      <c r="K325" s="208"/>
      <c r="L325" s="208"/>
      <c r="M325" s="208"/>
      <c r="N325" s="208"/>
      <c r="O325" s="208"/>
      <c r="P325" s="208"/>
      <c r="Q325" s="208"/>
      <c r="R325" s="208"/>
      <c r="S325" s="208"/>
      <c r="T325" s="208"/>
      <c r="U325" s="208"/>
      <c r="V325" s="208"/>
      <c r="W325" s="208"/>
      <c r="X325" s="154" t="s">
        <v>69</v>
      </c>
      <c r="Y325" s="103" t="s">
        <v>70</v>
      </c>
      <c r="Z325" s="154" t="s">
        <v>75</v>
      </c>
      <c r="AA325" s="103" t="s">
        <v>70</v>
      </c>
      <c r="AB325" s="34"/>
      <c r="AC325" s="36"/>
      <c r="AD325" s="5"/>
    </row>
    <row r="326" spans="1:30" s="23" customFormat="1" x14ac:dyDescent="0.3">
      <c r="A326" s="18"/>
      <c r="B326" s="106" t="s">
        <v>59</v>
      </c>
      <c r="C326" s="37"/>
      <c r="D326" s="209"/>
      <c r="E326" s="209"/>
      <c r="F326" s="209"/>
      <c r="G326" s="209"/>
      <c r="H326" s="209"/>
      <c r="I326" s="209"/>
      <c r="J326" s="209"/>
      <c r="K326" s="209"/>
      <c r="L326" s="209"/>
      <c r="M326" s="209"/>
      <c r="N326" s="209"/>
      <c r="O326" s="209"/>
      <c r="P326" s="209"/>
      <c r="Q326" s="209"/>
      <c r="R326" s="209"/>
      <c r="S326" s="209"/>
      <c r="T326" s="209"/>
      <c r="U326" s="209"/>
      <c r="V326" s="209"/>
      <c r="W326" s="209"/>
      <c r="X326" s="106">
        <v>0</v>
      </c>
      <c r="Y326" s="192">
        <v>0</v>
      </c>
      <c r="Z326" s="107">
        <v>0</v>
      </c>
      <c r="AA326" s="192">
        <v>0</v>
      </c>
      <c r="AB326" s="37"/>
      <c r="AC326" s="21"/>
      <c r="AD326" s="22"/>
    </row>
    <row r="327" spans="1:30" s="23" customFormat="1" x14ac:dyDescent="0.3">
      <c r="A327" s="47"/>
      <c r="B327" s="97" t="s">
        <v>60</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61</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100</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101</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102</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103</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104</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c r="Y334" s="198"/>
      <c r="Z334" s="98"/>
      <c r="AA334" s="198"/>
      <c r="AB334" s="40"/>
      <c r="AC334" s="43"/>
      <c r="AD334" s="22"/>
    </row>
    <row r="335" spans="1:30" s="23" customFormat="1" x14ac:dyDescent="0.3">
      <c r="A335" s="47"/>
      <c r="B335" s="40" t="s">
        <v>80</v>
      </c>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f>SUM(X326:X333)</f>
        <v>0</v>
      </c>
      <c r="Y335" s="198">
        <f>SUM(Y326:Y333)</f>
        <v>0</v>
      </c>
      <c r="Z335" s="98">
        <f>SUM(Z326:Z333)</f>
        <v>0</v>
      </c>
      <c r="AA335" s="198">
        <f>SUM(AA326:AA333)</f>
        <v>0</v>
      </c>
      <c r="AB335" s="40"/>
      <c r="AC335" s="43"/>
      <c r="AD335" s="22"/>
    </row>
    <row r="336" spans="1:30" s="23" customFormat="1" x14ac:dyDescent="0.3">
      <c r="A336" s="47"/>
      <c r="B336" s="40"/>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c r="Y336" s="198"/>
      <c r="Z336" s="98"/>
      <c r="AA336" s="198"/>
      <c r="AB336" s="40"/>
      <c r="AC336" s="43"/>
      <c r="AD336" s="22"/>
    </row>
    <row r="337" spans="1:30" s="23" customFormat="1" x14ac:dyDescent="0.3">
      <c r="A337" s="47"/>
      <c r="B337" s="44" t="s">
        <v>139</v>
      </c>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210">
        <f>X335+X313+X301</f>
        <v>2226</v>
      </c>
      <c r="Y337" s="198"/>
      <c r="Z337" s="211">
        <f>+Z335+Z313+Z301</f>
        <v>401942</v>
      </c>
      <c r="AA337" s="198"/>
      <c r="AB337" s="40"/>
      <c r="AC337" s="43"/>
      <c r="AD337" s="22"/>
    </row>
    <row r="338" spans="1:30" s="23" customFormat="1" x14ac:dyDescent="0.3">
      <c r="A338" s="47"/>
      <c r="B338" s="44" t="s">
        <v>304</v>
      </c>
      <c r="C338" s="44"/>
      <c r="D338" s="212"/>
      <c r="E338" s="212"/>
      <c r="F338" s="212"/>
      <c r="G338" s="212"/>
      <c r="H338" s="212"/>
      <c r="I338" s="212"/>
      <c r="J338" s="212"/>
      <c r="K338" s="212"/>
      <c r="L338" s="212"/>
      <c r="M338" s="212"/>
      <c r="N338" s="212"/>
      <c r="O338" s="212"/>
      <c r="P338" s="212"/>
      <c r="Q338" s="212"/>
      <c r="R338" s="212"/>
      <c r="S338" s="212"/>
      <c r="T338" s="212"/>
      <c r="U338" s="212"/>
      <c r="V338" s="212"/>
      <c r="W338" s="212"/>
      <c r="X338" s="210"/>
      <c r="Y338" s="213"/>
      <c r="Z338" s="211">
        <f>+AB65+AB64</f>
        <v>3</v>
      </c>
      <c r="AA338" s="198"/>
      <c r="AB338" s="40"/>
      <c r="AC338" s="43"/>
      <c r="AD338" s="22"/>
    </row>
    <row r="339" spans="1:30" s="23" customFormat="1" x14ac:dyDescent="0.3">
      <c r="A339" s="47"/>
      <c r="B339" s="44" t="s">
        <v>107</v>
      </c>
      <c r="C339" s="44"/>
      <c r="D339" s="212"/>
      <c r="E339" s="212"/>
      <c r="F339" s="212"/>
      <c r="G339" s="212"/>
      <c r="H339" s="212"/>
      <c r="I339" s="212"/>
      <c r="J339" s="212"/>
      <c r="K339" s="212"/>
      <c r="L339" s="212"/>
      <c r="M339" s="212"/>
      <c r="N339" s="212"/>
      <c r="O339" s="212"/>
      <c r="P339" s="212"/>
      <c r="Q339" s="212"/>
      <c r="R339" s="212"/>
      <c r="S339" s="212"/>
      <c r="T339" s="212"/>
      <c r="U339" s="212"/>
      <c r="V339" s="212"/>
      <c r="W339" s="212"/>
      <c r="X339" s="210"/>
      <c r="Y339" s="213"/>
      <c r="Z339" s="211">
        <f>+Z337+Z338</f>
        <v>401945</v>
      </c>
      <c r="AA339" s="198"/>
      <c r="AB339" s="40"/>
      <c r="AC339" s="43"/>
      <c r="AD339" s="22"/>
    </row>
    <row r="340" spans="1:30" s="23" customFormat="1" x14ac:dyDescent="0.3">
      <c r="A340" s="47"/>
      <c r="B340" s="44" t="s">
        <v>237</v>
      </c>
      <c r="C340" s="40"/>
      <c r="D340" s="204"/>
      <c r="E340" s="204"/>
      <c r="F340" s="204"/>
      <c r="G340" s="204"/>
      <c r="H340" s="204"/>
      <c r="I340" s="204"/>
      <c r="J340" s="204"/>
      <c r="K340" s="204"/>
      <c r="L340" s="204"/>
      <c r="M340" s="204"/>
      <c r="N340" s="204"/>
      <c r="O340" s="204"/>
      <c r="P340" s="204"/>
      <c r="Q340" s="204"/>
      <c r="R340" s="204"/>
      <c r="S340" s="204"/>
      <c r="T340" s="204"/>
      <c r="U340" s="204"/>
      <c r="V340" s="204"/>
      <c r="W340" s="204"/>
      <c r="X340" s="210"/>
      <c r="Y340" s="198"/>
      <c r="Z340" s="211">
        <f>+AB67</f>
        <v>401945</v>
      </c>
      <c r="AA340" s="198"/>
      <c r="AB340" s="40"/>
      <c r="AC340" s="43"/>
      <c r="AD340" s="22"/>
    </row>
    <row r="341" spans="1:30" s="23" customFormat="1" x14ac:dyDescent="0.3">
      <c r="A341" s="47"/>
      <c r="B341" s="44"/>
      <c r="C341" s="40"/>
      <c r="D341" s="204"/>
      <c r="E341" s="204"/>
      <c r="F341" s="204"/>
      <c r="G341" s="204"/>
      <c r="H341" s="204"/>
      <c r="I341" s="204"/>
      <c r="J341" s="204"/>
      <c r="K341" s="204"/>
      <c r="L341" s="204"/>
      <c r="M341" s="204"/>
      <c r="N341" s="204"/>
      <c r="O341" s="204"/>
      <c r="P341" s="204"/>
      <c r="Q341" s="204"/>
      <c r="R341" s="204"/>
      <c r="S341" s="204"/>
      <c r="T341" s="204"/>
      <c r="U341" s="204"/>
      <c r="V341" s="204"/>
      <c r="W341" s="204"/>
      <c r="X341" s="210"/>
      <c r="Y341" s="198"/>
      <c r="Z341" s="211"/>
      <c r="AA341" s="198"/>
      <c r="AB341" s="40"/>
      <c r="AC341" s="43"/>
      <c r="AD341" s="22"/>
    </row>
    <row r="342" spans="1:30" s="23" customFormat="1" x14ac:dyDescent="0.3">
      <c r="A342" s="47"/>
      <c r="B342" s="44" t="s">
        <v>305</v>
      </c>
      <c r="C342" s="40"/>
      <c r="D342" s="204"/>
      <c r="E342" s="204"/>
      <c r="F342" s="204"/>
      <c r="G342" s="204"/>
      <c r="H342" s="204"/>
      <c r="I342" s="204"/>
      <c r="J342" s="204"/>
      <c r="K342" s="204"/>
      <c r="L342" s="204"/>
      <c r="M342" s="204"/>
      <c r="N342" s="204"/>
      <c r="O342" s="204"/>
      <c r="P342" s="204"/>
      <c r="Q342" s="204"/>
      <c r="R342" s="204"/>
      <c r="S342" s="204"/>
      <c r="T342" s="204"/>
      <c r="U342" s="204"/>
      <c r="V342" s="204"/>
      <c r="W342" s="204"/>
      <c r="X342" s="210"/>
      <c r="Y342" s="198"/>
      <c r="Z342" s="236">
        <f>(D31*0.05+F31+H31+J31+L31+N31)/AB31</f>
        <v>0.60552576627320209</v>
      </c>
      <c r="AA342" s="198"/>
      <c r="AB342" s="40"/>
      <c r="AC342" s="43"/>
      <c r="AD342" s="22"/>
    </row>
    <row r="343" spans="1:30" s="23" customFormat="1" x14ac:dyDescent="0.3">
      <c r="A343" s="18"/>
      <c r="B343" s="20"/>
      <c r="C343" s="20"/>
      <c r="D343" s="214"/>
      <c r="E343" s="214"/>
      <c r="F343" s="214"/>
      <c r="G343" s="214"/>
      <c r="H343" s="214"/>
      <c r="I343" s="214"/>
      <c r="J343" s="214"/>
      <c r="K343" s="214"/>
      <c r="L343" s="214"/>
      <c r="M343" s="214"/>
      <c r="N343" s="214"/>
      <c r="O343" s="214"/>
      <c r="P343" s="214"/>
      <c r="Q343" s="214"/>
      <c r="R343" s="214"/>
      <c r="S343" s="214"/>
      <c r="T343" s="214"/>
      <c r="U343" s="214"/>
      <c r="V343" s="214"/>
      <c r="W343" s="214"/>
      <c r="X343" s="214"/>
      <c r="Y343" s="214"/>
      <c r="Z343" s="215"/>
      <c r="AA343" s="214"/>
      <c r="AB343" s="20"/>
      <c r="AC343" s="21"/>
      <c r="AD343" s="22"/>
    </row>
    <row r="344" spans="1:30" s="23" customFormat="1" x14ac:dyDescent="0.3">
      <c r="A344" s="18"/>
      <c r="B344" s="19" t="s">
        <v>62</v>
      </c>
      <c r="C344" s="20"/>
      <c r="D344" s="216" t="s">
        <v>66</v>
      </c>
      <c r="E344" s="19"/>
      <c r="F344" s="19" t="s">
        <v>67</v>
      </c>
      <c r="G344" s="20"/>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s="23" customFormat="1" x14ac:dyDescent="0.3">
      <c r="A345" s="18"/>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s="23" customFormat="1" x14ac:dyDescent="0.3">
      <c r="A346" s="18"/>
      <c r="B346" s="19" t="s">
        <v>152</v>
      </c>
      <c r="C346" s="19"/>
      <c r="D346" s="217" t="s">
        <v>122</v>
      </c>
      <c r="E346" s="19"/>
      <c r="F346" s="19" t="s">
        <v>168</v>
      </c>
      <c r="G346" s="19"/>
      <c r="H346" s="19"/>
      <c r="I346" s="20"/>
      <c r="J346" s="20"/>
      <c r="K346" s="20"/>
      <c r="L346" s="20"/>
      <c r="M346" s="20"/>
      <c r="N346" s="20"/>
      <c r="O346" s="20"/>
      <c r="P346" s="20"/>
      <c r="Q346" s="20"/>
      <c r="R346" s="20"/>
      <c r="S346" s="20"/>
      <c r="T346" s="20"/>
      <c r="U346" s="20"/>
      <c r="V346" s="20"/>
      <c r="W346" s="20"/>
      <c r="X346" s="20"/>
      <c r="Y346" s="20"/>
      <c r="Z346" s="20"/>
      <c r="AA346" s="20"/>
      <c r="AB346" s="20"/>
      <c r="AC346" s="21"/>
      <c r="AD346" s="22"/>
    </row>
    <row r="347" spans="1:30" s="23" customFormat="1" x14ac:dyDescent="0.3">
      <c r="A347" s="18"/>
      <c r="B347" s="19" t="s">
        <v>153</v>
      </c>
      <c r="C347" s="19"/>
      <c r="D347" s="217" t="s">
        <v>98</v>
      </c>
      <c r="E347" s="19"/>
      <c r="F347" s="19" t="s">
        <v>169</v>
      </c>
      <c r="G347" s="19"/>
      <c r="H347" s="19"/>
      <c r="I347" s="20"/>
      <c r="J347" s="20"/>
      <c r="K347" s="20"/>
      <c r="L347" s="20"/>
      <c r="M347" s="20"/>
      <c r="N347" s="20"/>
      <c r="O347" s="20"/>
      <c r="P347" s="20"/>
      <c r="Q347" s="20"/>
      <c r="R347" s="20"/>
      <c r="S347" s="20"/>
      <c r="T347" s="20"/>
      <c r="U347" s="20"/>
      <c r="V347" s="20"/>
      <c r="W347" s="20"/>
      <c r="X347" s="20"/>
      <c r="Y347" s="20"/>
      <c r="Z347" s="20"/>
      <c r="AA347" s="20"/>
      <c r="AB347" s="20"/>
      <c r="AC347" s="21"/>
      <c r="AD347" s="22"/>
    </row>
    <row r="348" spans="1:30" x14ac:dyDescent="0.3">
      <c r="A348" s="218"/>
      <c r="B348" s="258"/>
      <c r="C348" s="219"/>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c r="AA348" s="220"/>
      <c r="AB348" s="220"/>
      <c r="AC348" s="221"/>
      <c r="AD348" s="5"/>
    </row>
    <row r="349" spans="1:30" ht="18" x14ac:dyDescent="0.35">
      <c r="A349" s="218"/>
      <c r="B349" s="259" t="s">
        <v>109</v>
      </c>
      <c r="C349" s="219"/>
      <c r="D349" s="220"/>
      <c r="E349" s="220"/>
      <c r="F349" s="220"/>
      <c r="G349" s="220"/>
      <c r="H349" s="220"/>
      <c r="I349" s="220"/>
      <c r="J349" s="220"/>
      <c r="K349" s="220"/>
      <c r="L349" s="220"/>
      <c r="M349" s="220"/>
      <c r="N349" s="220"/>
      <c r="O349" s="220"/>
      <c r="P349" s="260" t="s">
        <v>167</v>
      </c>
      <c r="Q349" s="220"/>
      <c r="R349" s="220"/>
      <c r="S349" s="220"/>
      <c r="T349" s="220"/>
      <c r="U349" s="220"/>
      <c r="V349" s="220"/>
      <c r="W349" s="220"/>
      <c r="X349" s="220"/>
      <c r="Y349" s="220"/>
      <c r="Z349" s="220"/>
      <c r="AA349" s="220"/>
      <c r="AB349" s="220"/>
      <c r="AC349" s="221"/>
      <c r="AD349" s="5"/>
    </row>
    <row r="350" spans="1:30" ht="18" x14ac:dyDescent="0.35">
      <c r="A350" s="218"/>
      <c r="B350" s="259"/>
      <c r="C350" s="219"/>
      <c r="D350" s="220"/>
      <c r="E350" s="220"/>
      <c r="F350" s="220"/>
      <c r="G350" s="220"/>
      <c r="H350" s="220"/>
      <c r="I350" s="220"/>
      <c r="J350" s="220"/>
      <c r="K350" s="220"/>
      <c r="L350" s="220"/>
      <c r="M350" s="220"/>
      <c r="N350" s="220"/>
      <c r="O350" s="220"/>
      <c r="P350" s="260"/>
      <c r="Q350" s="220"/>
      <c r="R350" s="220"/>
      <c r="S350" s="220"/>
      <c r="T350" s="220"/>
      <c r="U350" s="220"/>
      <c r="V350" s="220"/>
      <c r="W350" s="220"/>
      <c r="X350" s="220"/>
      <c r="Y350" s="220"/>
      <c r="Z350" s="220"/>
      <c r="AA350" s="220"/>
      <c r="AB350" s="220"/>
      <c r="AC350" s="221"/>
      <c r="AD350" s="5"/>
    </row>
    <row r="351" spans="1:30" ht="18.600000000000001" thickBot="1" x14ac:dyDescent="0.4">
      <c r="A351" s="218"/>
      <c r="B351" s="222" t="str">
        <f>B237</f>
        <v>PM26 INVESTOR REPORT QUARTER ENDING JANUARY 2022</v>
      </c>
      <c r="C351" s="219"/>
      <c r="D351" s="220"/>
      <c r="E351" s="220"/>
      <c r="F351" s="220"/>
      <c r="G351" s="220"/>
      <c r="H351" s="220"/>
      <c r="I351" s="220"/>
      <c r="J351" s="220"/>
      <c r="K351" s="220"/>
      <c r="L351" s="220"/>
      <c r="M351" s="220"/>
      <c r="N351" s="220"/>
      <c r="O351" s="220"/>
      <c r="P351" s="220"/>
      <c r="Q351" s="220"/>
      <c r="R351" s="220"/>
      <c r="S351" s="220"/>
      <c r="T351" s="220"/>
      <c r="U351" s="220"/>
      <c r="V351" s="220"/>
      <c r="W351" s="220"/>
      <c r="X351" s="220"/>
      <c r="Y351" s="220"/>
      <c r="Z351" s="220"/>
      <c r="AA351" s="220"/>
      <c r="AB351" s="220"/>
      <c r="AC351" s="223"/>
      <c r="AD351" s="5"/>
    </row>
    <row r="352" spans="1:30" x14ac:dyDescent="0.3">
      <c r="A352" s="224"/>
      <c r="B352" s="224"/>
      <c r="C352" s="224"/>
      <c r="D352" s="224"/>
      <c r="E352" s="224"/>
      <c r="F352" s="224"/>
      <c r="G352" s="224"/>
      <c r="H352" s="224"/>
      <c r="I352" s="224"/>
      <c r="J352" s="224"/>
      <c r="K352" s="224"/>
      <c r="L352" s="224"/>
      <c r="M352" s="224"/>
      <c r="N352" s="224"/>
      <c r="O352" s="224"/>
      <c r="P352" s="224"/>
      <c r="Q352" s="224"/>
      <c r="R352" s="224"/>
      <c r="S352" s="224"/>
      <c r="T352" s="224"/>
      <c r="U352" s="224"/>
      <c r="V352" s="224"/>
      <c r="W352" s="224"/>
      <c r="X352" s="224"/>
      <c r="Y352" s="224"/>
      <c r="Z352" s="224"/>
      <c r="AA352" s="224"/>
      <c r="AB352" s="224"/>
      <c r="AC352" s="224"/>
    </row>
    <row r="353" spans="2:2" x14ac:dyDescent="0.3">
      <c r="B353" s="6" t="s">
        <v>307</v>
      </c>
    </row>
    <row r="354" spans="2:2" x14ac:dyDescent="0.3">
      <c r="B354" s="271"/>
    </row>
    <row r="355" spans="2:2" x14ac:dyDescent="0.3">
      <c r="B355" s="279" t="s">
        <v>354</v>
      </c>
    </row>
    <row r="356" spans="2:2" x14ac:dyDescent="0.3">
      <c r="B356" s="270" t="s">
        <v>352</v>
      </c>
    </row>
    <row r="357" spans="2:2" x14ac:dyDescent="0.3">
      <c r="B357" s="300" t="s">
        <v>353</v>
      </c>
    </row>
  </sheetData>
  <hyperlinks>
    <hyperlink ref="K9" r:id="rId1" display="http://www.paragon-group.co.uk" xr:uid="{6CEEEA59-A586-4AA7-9115-05F6EC04CE8A}"/>
    <hyperlink ref="P349" r:id="rId2" xr:uid="{84DB6056-1840-464B-AA75-DDB391C88FA7}"/>
    <hyperlink ref="P277" r:id="rId3" xr:uid="{73817EE9-C610-4239-96EB-C2AF3F3AA704}"/>
    <hyperlink ref="B357" r:id="rId4" display="https://investorreporting.paragonbankinggroup.co.uk/bondinvestor_viewer/resources/bondinvestor/pdf/investornews/2021/libor-mortgages-transition-july-19" xr:uid="{75748C09-F91D-4549-9A46-BDDEF4C64527}"/>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7" max="18" man="1"/>
  </rowBreaks>
  <colBreaks count="1" manualBreakCount="1">
    <brk id="29" max="299" man="1"/>
  </colBreaks>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C2BB1-4FED-461D-8A86-6C9E7F6FBE1D}">
  <sheetPr>
    <tabColor rgb="FF89CB31"/>
  </sheetPr>
  <dimension ref="A1:JB357"/>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0.23882158188039387</v>
      </c>
      <c r="Z17" s="29" t="s">
        <v>258</v>
      </c>
      <c r="AA17" s="29">
        <v>0.76117841811960607</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44701</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214</v>
      </c>
      <c r="I27" s="229"/>
      <c r="J27" s="229" t="s">
        <v>215</v>
      </c>
      <c r="K27" s="229"/>
      <c r="L27" s="229" t="s">
        <v>365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166902.08257999999</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5872.5360799999999</v>
      </c>
      <c r="Q30" s="54"/>
      <c r="R30" s="54">
        <v>0</v>
      </c>
      <c r="S30" s="54"/>
      <c r="T30" s="54" t="s">
        <v>83</v>
      </c>
      <c r="U30" s="54"/>
      <c r="V30" s="54" t="s">
        <v>83</v>
      </c>
      <c r="W30" s="54"/>
      <c r="X30" s="54" t="s">
        <v>83</v>
      </c>
      <c r="Y30" s="54" t="s">
        <v>83</v>
      </c>
      <c r="Z30" s="54"/>
      <c r="AA30" s="49"/>
      <c r="AB30" s="50">
        <f>SUM(D30:N30)</f>
        <v>401945.08257999999</v>
      </c>
      <c r="AC30" s="51"/>
      <c r="AD30" s="22"/>
    </row>
    <row r="31" spans="1:33" s="23" customFormat="1" x14ac:dyDescent="0.3">
      <c r="A31" s="47"/>
      <c r="B31" s="44" t="s">
        <v>92</v>
      </c>
      <c r="C31" s="49"/>
      <c r="D31" s="57">
        <f>D29*D32</f>
        <v>156467.34688999999</v>
      </c>
      <c r="E31" s="57"/>
      <c r="F31" s="57">
        <f>F29</f>
        <v>151540</v>
      </c>
      <c r="G31" s="57"/>
      <c r="H31" s="57">
        <f>H29</f>
        <v>24741</v>
      </c>
      <c r="I31" s="57"/>
      <c r="J31" s="57">
        <f>J29</f>
        <v>18555</v>
      </c>
      <c r="K31" s="57"/>
      <c r="L31" s="57">
        <f>L29</f>
        <v>20102</v>
      </c>
      <c r="M31" s="57"/>
      <c r="N31" s="57">
        <f>N29</f>
        <v>20105</v>
      </c>
      <c r="O31" s="57"/>
      <c r="P31" s="57">
        <f>P29*P32</f>
        <v>5727.6156000000001</v>
      </c>
      <c r="Q31" s="57"/>
      <c r="R31" s="57">
        <v>0</v>
      </c>
      <c r="S31" s="57"/>
      <c r="T31" s="57" t="s">
        <v>83</v>
      </c>
      <c r="U31" s="57"/>
      <c r="V31" s="57" t="s">
        <v>83</v>
      </c>
      <c r="W31" s="57"/>
      <c r="X31" s="57" t="s">
        <v>83</v>
      </c>
      <c r="Y31" s="57" t="s">
        <v>83</v>
      </c>
      <c r="Z31" s="57"/>
      <c r="AA31" s="49"/>
      <c r="AB31" s="56">
        <f>SUM(D31:N31)</f>
        <v>391510.34688999999</v>
      </c>
      <c r="AC31" s="51"/>
      <c r="AD31" s="22"/>
      <c r="AE31" s="235"/>
    </row>
    <row r="32" spans="1:33" s="65" customFormat="1" x14ac:dyDescent="0.3">
      <c r="A32" s="58"/>
      <c r="B32" s="166" t="s">
        <v>88</v>
      </c>
      <c r="C32" s="61"/>
      <c r="D32" s="60">
        <v>0.40800999999999998</v>
      </c>
      <c r="E32" s="60"/>
      <c r="F32" s="60">
        <v>1</v>
      </c>
      <c r="G32" s="60"/>
      <c r="H32" s="60">
        <v>1</v>
      </c>
      <c r="I32" s="60"/>
      <c r="J32" s="60">
        <v>1</v>
      </c>
      <c r="K32" s="60"/>
      <c r="L32" s="60">
        <v>1</v>
      </c>
      <c r="M32" s="60"/>
      <c r="N32" s="60">
        <v>1</v>
      </c>
      <c r="O32" s="60"/>
      <c r="P32" s="60">
        <v>0.56279999999999997</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0.43522</v>
      </c>
      <c r="E33" s="60"/>
      <c r="F33" s="60">
        <v>1</v>
      </c>
      <c r="G33" s="60"/>
      <c r="H33" s="60">
        <v>1</v>
      </c>
      <c r="I33" s="60"/>
      <c r="J33" s="60">
        <v>1</v>
      </c>
      <c r="K33" s="60"/>
      <c r="L33" s="60">
        <v>1</v>
      </c>
      <c r="M33" s="60"/>
      <c r="N33" s="60">
        <v>1</v>
      </c>
      <c r="O33" s="60"/>
      <c r="P33" s="60">
        <v>0.57704</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1.6511499999999998E-2</v>
      </c>
      <c r="E35" s="241"/>
      <c r="F35" s="241">
        <v>1.80115E-2</v>
      </c>
      <c r="G35" s="241"/>
      <c r="H35" s="241">
        <v>2.5011499999999999E-2</v>
      </c>
      <c r="I35" s="241"/>
      <c r="J35" s="241">
        <v>2.8511499999999999E-2</v>
      </c>
      <c r="K35" s="241"/>
      <c r="L35" s="241">
        <v>3.2011499999999998E-2</v>
      </c>
      <c r="M35" s="241"/>
      <c r="N35" s="241">
        <v>4.20115E-2</v>
      </c>
      <c r="O35" s="241"/>
      <c r="P35" s="241">
        <v>4.6011499999999997E-2</v>
      </c>
      <c r="Q35" s="241"/>
      <c r="R35" s="241">
        <v>4.6011499999999997E-2</v>
      </c>
      <c r="S35" s="68"/>
      <c r="T35" s="68" t="s">
        <v>83</v>
      </c>
      <c r="U35" s="68"/>
      <c r="V35" s="68" t="s">
        <v>83</v>
      </c>
      <c r="W35" s="68"/>
      <c r="X35" s="68" t="s">
        <v>83</v>
      </c>
      <c r="Y35" s="68" t="s">
        <v>83</v>
      </c>
      <c r="Z35" s="68"/>
      <c r="AA35" s="40"/>
      <c r="AB35" s="67">
        <f>SUMPRODUCT(D35:N35,D30:N30)/AB30</f>
        <v>2.0204857785275386E-2</v>
      </c>
      <c r="AC35" s="43"/>
      <c r="AD35" s="22"/>
    </row>
    <row r="36" spans="1:30" s="23" customFormat="1" x14ac:dyDescent="0.3">
      <c r="A36" s="47"/>
      <c r="B36" s="40" t="s">
        <v>10</v>
      </c>
      <c r="C36" s="69"/>
      <c r="D36" s="241">
        <v>1.19656E-2</v>
      </c>
      <c r="E36" s="241"/>
      <c r="F36" s="241">
        <v>1.3465599999999999E-2</v>
      </c>
      <c r="G36" s="241"/>
      <c r="H36" s="241">
        <v>2.04656E-2</v>
      </c>
      <c r="I36" s="241"/>
      <c r="J36" s="241">
        <v>2.39656E-2</v>
      </c>
      <c r="K36" s="241"/>
      <c r="L36" s="241">
        <v>2.74656E-2</v>
      </c>
      <c r="M36" s="241"/>
      <c r="N36" s="241">
        <v>3.7465600000000002E-2</v>
      </c>
      <c r="O36" s="241"/>
      <c r="P36" s="241">
        <v>4.1465599999999998E-2</v>
      </c>
      <c r="Q36" s="241"/>
      <c r="R36" s="241">
        <v>4.1465599999999998E-2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0.27110716949820612</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44697</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92</v>
      </c>
      <c r="Y48" s="40"/>
      <c r="Z48" s="76">
        <v>44515</v>
      </c>
      <c r="AA48" s="77"/>
      <c r="AB48" s="76">
        <v>44606</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90</v>
      </c>
      <c r="Y49" s="40"/>
      <c r="Z49" s="76">
        <v>44607</v>
      </c>
      <c r="AA49" s="77"/>
      <c r="AB49" s="76">
        <v>44696</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44696</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367</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401942</v>
      </c>
      <c r="S58" s="238"/>
      <c r="T58" s="237">
        <f>151+182</f>
        <v>333</v>
      </c>
      <c r="U58" s="237"/>
      <c r="V58" s="237">
        <v>10101</v>
      </c>
      <c r="W58" s="238"/>
      <c r="X58" s="238">
        <v>0</v>
      </c>
      <c r="Y58" s="238"/>
      <c r="Z58" s="238">
        <v>0</v>
      </c>
      <c r="AA58" s="238"/>
      <c r="AB58" s="237">
        <f>R58-T58-V58+X58-Z58</f>
        <v>391508</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401942</v>
      </c>
      <c r="S61" s="238"/>
      <c r="T61" s="238">
        <f>T58+T59</f>
        <v>333</v>
      </c>
      <c r="U61" s="238"/>
      <c r="V61" s="238">
        <f>SUM(V58:V60)</f>
        <v>10101</v>
      </c>
      <c r="W61" s="238"/>
      <c r="X61" s="238">
        <f>SUM(X58:X60)</f>
        <v>0</v>
      </c>
      <c r="Y61" s="238"/>
      <c r="Z61" s="238">
        <f>SUM(Z58:Z60)</f>
        <v>0</v>
      </c>
      <c r="AA61" s="238"/>
      <c r="AB61" s="238">
        <f>SUM(AB58:AB60)</f>
        <v>391508</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3</v>
      </c>
      <c r="S64" s="238"/>
      <c r="T64" s="238">
        <v>0</v>
      </c>
      <c r="U64" s="238"/>
      <c r="V64" s="238">
        <v>-1</v>
      </c>
      <c r="W64" s="238"/>
      <c r="X64" s="238"/>
      <c r="Y64" s="238"/>
      <c r="Z64" s="238"/>
      <c r="AA64" s="238"/>
      <c r="AB64" s="238">
        <f>R64+V64</f>
        <v>2</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401945</v>
      </c>
      <c r="S67" s="238"/>
      <c r="T67" s="238"/>
      <c r="U67" s="238"/>
      <c r="V67" s="238"/>
      <c r="W67" s="238"/>
      <c r="X67" s="238"/>
      <c r="Y67" s="238"/>
      <c r="Z67" s="238"/>
      <c r="AA67" s="238"/>
      <c r="AB67" s="238">
        <f>SUM(AB61:AB66)</f>
        <v>391510</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44680</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3</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+T58+V58+Z58-2</f>
        <v>10432</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3162+1476-349-445</f>
        <v>3844</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50+80</f>
        <v>130</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16</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145</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1278</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10435</v>
      </c>
      <c r="AA84" s="40"/>
      <c r="AB84" s="97">
        <f>SUM(AB71:AB83)</f>
        <v>5413</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10435</v>
      </c>
      <c r="AA87" s="40"/>
      <c r="AB87" s="97">
        <f>AB84+AB85+AB86</f>
        <v>5413</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-197-13-7</f>
        <v>-217</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-65</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-679</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-674</v>
      </c>
      <c r="AC94" s="114"/>
      <c r="AD94" s="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-153</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-130</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-159</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2</v>
      </c>
      <c r="AA101" s="112"/>
      <c r="AB101" s="98">
        <v>-2</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-2500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-208</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-67</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-145</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-10-89</f>
        <v>-99</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-289</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-10435</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-10435</v>
      </c>
      <c r="AA130" s="97"/>
      <c r="AB130" s="97">
        <f>SUM(AB88:AB128)</f>
        <v>-5413</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2</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APRIL 2022</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+'January 22'!AB146</f>
        <v>5293.5499999999993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-145</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5148.5499999999993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+'January 22'!AB159</f>
        <v>579.85500000000002</v>
      </c>
      <c r="AC150" s="43"/>
      <c r="AD150" s="22"/>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+'January 22'!AB165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+'January 22'!AB173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2</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2</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-2</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+'January 22'!AB182</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+'January 22'!AB190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+'January 22'!AB198</f>
        <v>1159</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2278</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1278</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356</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2159</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+'January 22'!AB206</f>
        <v>2497</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v>2278</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2500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AB203-AB204+AB205</f>
        <v>2719</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+'January 22'!Y213</f>
        <v>0</v>
      </c>
      <c r="Z211" s="98">
        <f>+'January 22'!Z213</f>
        <v>5</v>
      </c>
      <c r="AA211" s="40"/>
      <c r="AB211" s="98">
        <f>Y211+Z211</f>
        <v>5</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259</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341665</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349569</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-7904</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6.8999999999999999E-3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3.7908351810790837</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3.54</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24.679738562091504</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26.7</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27.869230769230768</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29.53</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21.968553459119498</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23.11</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16.028846153846153</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16.38</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APRIL 2022</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44680</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1"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2.0008281159907649E-2</v>
      </c>
      <c r="AA241" s="40"/>
      <c r="AB241" s="40"/>
      <c r="AC241" s="43"/>
      <c r="AD241" s="22"/>
    </row>
    <row r="242" spans="1:31"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1"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3.8624740391855671E-2</v>
      </c>
      <c r="AA243" s="40"/>
      <c r="AB243" s="40"/>
      <c r="AC243" s="43"/>
      <c r="AD243" s="22"/>
    </row>
    <row r="244" spans="1:31"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2.0204857785275386E-2</v>
      </c>
      <c r="AA244" s="40"/>
      <c r="AB244" s="40"/>
      <c r="AC244" s="43"/>
      <c r="AD244" s="22"/>
    </row>
    <row r="245" spans="1:31"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1.8419882606580285E-2</v>
      </c>
      <c r="AA245" s="40"/>
      <c r="AB245" s="40"/>
      <c r="AC245" s="43"/>
      <c r="AD245" s="22"/>
    </row>
    <row r="246" spans="1:31"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(+AB87+AB89)/R67</f>
        <v>1.3467016631628706E-2</v>
      </c>
      <c r="AA246" s="40"/>
      <c r="AB246" s="40"/>
      <c r="AC246" s="43"/>
      <c r="AD246" s="22"/>
    </row>
    <row r="247" spans="1:31"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1"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1"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1"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1"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1"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1"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1"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1"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15.948900060959035</v>
      </c>
      <c r="AA255" s="40" t="s">
        <v>76</v>
      </c>
      <c r="AB255" s="40"/>
      <c r="AC255" s="43"/>
      <c r="AD255" s="22"/>
    </row>
    <row r="256" spans="1:31"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2.5958775454353208E-2</v>
      </c>
      <c r="AA256" s="40"/>
      <c r="AB256" s="40"/>
      <c r="AC256" s="43"/>
      <c r="AD256" s="22"/>
      <c r="AE256" s="271"/>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0.1472</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0</v>
      </c>
      <c r="Z260" s="157">
        <v>0</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2</v>
      </c>
      <c r="Z261" s="162">
        <f>+Z313</f>
        <v>173</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+X335</f>
        <v>0</v>
      </c>
      <c r="Z262" s="162">
        <f>+Z335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2</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'January 22'!Z267+Z266</f>
        <v>16</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0</v>
      </c>
      <c r="Z273" s="162">
        <v>0</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0</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261" t="s">
        <v>167</v>
      </c>
      <c r="Q277" s="182"/>
      <c r="R277" s="182"/>
      <c r="S277" s="182"/>
      <c r="T277" s="182"/>
      <c r="U277" s="182"/>
      <c r="V277" s="182"/>
      <c r="W277" s="59"/>
      <c r="X277" s="183"/>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 t="shared" ref="X280:X287" si="1">+X292+X304+X326</f>
        <v>2142</v>
      </c>
      <c r="Y280" s="192">
        <f>X280/$X$289</f>
        <v>0.99535315985130113</v>
      </c>
      <c r="Z280" s="107">
        <f t="shared" ref="Z280:Z287" si="2">+Z292+Z304+Z326</f>
        <v>389269</v>
      </c>
      <c r="AA280" s="192">
        <f t="shared" ref="AA280:AA287" si="3">Z280/$Z$289</f>
        <v>0.99428108748735655</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 t="shared" si="1"/>
        <v>3</v>
      </c>
      <c r="Y281" s="196">
        <f t="shared" ref="Y281:Y287" si="4">X281/$X$289</f>
        <v>1.3940520446096654E-3</v>
      </c>
      <c r="Z281" s="197">
        <f t="shared" si="2"/>
        <v>522</v>
      </c>
      <c r="AA281" s="198">
        <f t="shared" si="3"/>
        <v>1.3333060882536245E-3</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1"/>
        <v>0</v>
      </c>
      <c r="Y282" s="200">
        <f t="shared" si="4"/>
        <v>0</v>
      </c>
      <c r="Z282" s="131">
        <f t="shared" si="2"/>
        <v>0</v>
      </c>
      <c r="AA282" s="198">
        <f t="shared" si="3"/>
        <v>0</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2</v>
      </c>
      <c r="Y283" s="200">
        <f t="shared" si="4"/>
        <v>9.2936802973977691E-4</v>
      </c>
      <c r="Z283" s="131">
        <f t="shared" si="2"/>
        <v>365</v>
      </c>
      <c r="AA283" s="198">
        <f t="shared" si="3"/>
        <v>9.3229257128845386E-4</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0</v>
      </c>
      <c r="Y284" s="200">
        <f t="shared" si="4"/>
        <v>0</v>
      </c>
      <c r="Z284" s="131">
        <f t="shared" si="2"/>
        <v>0</v>
      </c>
      <c r="AA284" s="198">
        <f t="shared" si="3"/>
        <v>0</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0</v>
      </c>
      <c r="Y285" s="200">
        <f t="shared" si="4"/>
        <v>0</v>
      </c>
      <c r="Z285" s="131">
        <f t="shared" si="2"/>
        <v>0</v>
      </c>
      <c r="AA285" s="198">
        <f t="shared" si="3"/>
        <v>0</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1"/>
        <v>3</v>
      </c>
      <c r="Y286" s="202">
        <f t="shared" si="4"/>
        <v>1.3940520446096654E-3</v>
      </c>
      <c r="Z286" s="203">
        <f t="shared" si="2"/>
        <v>664</v>
      </c>
      <c r="AA286" s="198">
        <f t="shared" si="3"/>
        <v>1.6960062118781735E-3</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 t="shared" si="1"/>
        <v>2</v>
      </c>
      <c r="Y287" s="198">
        <f t="shared" si="4"/>
        <v>9.2936802973977691E-4</v>
      </c>
      <c r="Z287" s="107">
        <f t="shared" si="2"/>
        <v>688</v>
      </c>
      <c r="AA287" s="198">
        <f t="shared" si="3"/>
        <v>1.7573076412231679E-3</v>
      </c>
      <c r="AB287" s="163"/>
      <c r="AC287" s="175"/>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2152</v>
      </c>
      <c r="Y289" s="198">
        <f>SUM(Y280:Y288)</f>
        <v>0.99999999999999989</v>
      </c>
      <c r="Z289" s="98">
        <f>SUM(Z280:Z288)</f>
        <v>391508</v>
      </c>
      <c r="AA289" s="198">
        <f>SUM(AA280:AA288)</f>
        <v>1</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2142</v>
      </c>
      <c r="Y292" s="192">
        <f>X292/$X$301</f>
        <v>0.99627906976744185</v>
      </c>
      <c r="Z292" s="107">
        <v>389269</v>
      </c>
      <c r="AA292" s="192">
        <f>Z292/$Z$301</f>
        <v>0.99472063577242009</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3</v>
      </c>
      <c r="Y293" s="198">
        <f t="shared" ref="Y293:Y299" si="5">X293/$X$301</f>
        <v>1.3953488372093023E-3</v>
      </c>
      <c r="Z293" s="98">
        <v>522</v>
      </c>
      <c r="AA293" s="198">
        <f t="shared" ref="AA293:AA299" si="6">Z293/$Z$301</f>
        <v>1.3338955115182645E-3</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5"/>
        <v>0</v>
      </c>
      <c r="Z294" s="98">
        <v>0</v>
      </c>
      <c r="AA294" s="198">
        <f t="shared" si="6"/>
        <v>0</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1</v>
      </c>
      <c r="Y295" s="198">
        <f t="shared" si="5"/>
        <v>4.6511627906976747E-4</v>
      </c>
      <c r="Z295" s="98">
        <v>275</v>
      </c>
      <c r="AA295" s="198">
        <f t="shared" si="6"/>
        <v>7.0272273116383664E-4</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0</v>
      </c>
      <c r="Y297" s="198">
        <f t="shared" si="5"/>
        <v>0</v>
      </c>
      <c r="Z297" s="98">
        <v>0</v>
      </c>
      <c r="AA297" s="198">
        <f t="shared" si="6"/>
        <v>0</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2</v>
      </c>
      <c r="Y298" s="198">
        <f>X298/$X$301</f>
        <v>9.3023255813953494E-4</v>
      </c>
      <c r="Z298" s="98">
        <v>581</v>
      </c>
      <c r="AA298" s="198">
        <f t="shared" si="6"/>
        <v>1.484661479295233E-3</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2</v>
      </c>
      <c r="Y299" s="198">
        <f t="shared" si="5"/>
        <v>9.3023255813953494E-4</v>
      </c>
      <c r="Z299" s="98">
        <v>688</v>
      </c>
      <c r="AA299" s="198">
        <f t="shared" si="6"/>
        <v>1.7580845056026167E-3</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2150</v>
      </c>
      <c r="Y301" s="198">
        <f>SUM(Y292:Y300)</f>
        <v>0.99999999999999989</v>
      </c>
      <c r="Z301" s="98">
        <f>SUM(Z292:Z300)</f>
        <v>391335</v>
      </c>
      <c r="AA301" s="198">
        <f>SUM(AA292:AA300)</f>
        <v>1</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1</v>
      </c>
      <c r="Y307" s="198">
        <f>X307/X313</f>
        <v>0.5</v>
      </c>
      <c r="Z307" s="98">
        <v>90</v>
      </c>
      <c r="AA307" s="198">
        <f>Z307/Z313</f>
        <v>0.52023121387283233</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1</v>
      </c>
      <c r="Y310" s="198">
        <f>X310/X313</f>
        <v>0.5</v>
      </c>
      <c r="Z310" s="98">
        <v>83</v>
      </c>
      <c r="AA310" s="198">
        <f>Z310/Z313</f>
        <v>0.47976878612716761</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2</v>
      </c>
      <c r="Y313" s="198">
        <f>SUM(Y304:Y312)</f>
        <v>1</v>
      </c>
      <c r="Z313" s="98">
        <f>SUM(Z304:Z312)</f>
        <v>173</v>
      </c>
      <c r="AA313" s="198">
        <f>SUM(AA304:AA312)</f>
        <v>1</v>
      </c>
      <c r="AB313" s="40"/>
      <c r="AC313" s="43"/>
      <c r="AD313" s="22"/>
    </row>
    <row r="314" spans="1:30" s="23" customFormat="1" x14ac:dyDescent="0.3">
      <c r="A314" s="47"/>
      <c r="B314" s="40"/>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c r="Y314" s="198"/>
      <c r="Z314" s="98"/>
      <c r="AA314" s="198"/>
      <c r="AB314" s="40"/>
      <c r="AC314" s="43"/>
      <c r="AD314" s="22"/>
    </row>
    <row r="315" spans="1:30" s="23" customFormat="1" x14ac:dyDescent="0.3">
      <c r="A315" s="242"/>
      <c r="B315" s="243" t="s">
        <v>330</v>
      </c>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62" t="s">
        <v>69</v>
      </c>
      <c r="Y315" s="263" t="s">
        <v>70</v>
      </c>
      <c r="Z315" s="262" t="s">
        <v>75</v>
      </c>
      <c r="AA315" s="263" t="s">
        <v>70</v>
      </c>
      <c r="AB315" s="243"/>
      <c r="AC315" s="243"/>
      <c r="AD315" s="22"/>
    </row>
    <row r="316" spans="1:30" s="23" customFormat="1" x14ac:dyDescent="0.3">
      <c r="A316" s="273"/>
      <c r="B316" s="274" t="s">
        <v>326</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302">
        <v>2</v>
      </c>
      <c r="Y316" s="303">
        <f>X316/X323</f>
        <v>1</v>
      </c>
      <c r="Z316" s="304">
        <v>173</v>
      </c>
      <c r="AA316" s="303">
        <f>Z316/Z323</f>
        <v>1</v>
      </c>
      <c r="AB316" s="40"/>
      <c r="AC316" s="43"/>
      <c r="AD316" s="22"/>
    </row>
    <row r="317" spans="1:30" s="23" customFormat="1" x14ac:dyDescent="0.3">
      <c r="A317" s="273"/>
      <c r="B317" s="274" t="s">
        <v>327</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302">
        <v>0</v>
      </c>
      <c r="Y317" s="303">
        <v>0</v>
      </c>
      <c r="Z317" s="304">
        <v>0</v>
      </c>
      <c r="AA317" s="303">
        <v>0</v>
      </c>
      <c r="AB317" s="40"/>
      <c r="AC317" s="43"/>
      <c r="AD317" s="22"/>
    </row>
    <row r="318" spans="1:30" s="23" customFormat="1" x14ac:dyDescent="0.3">
      <c r="A318" s="273"/>
      <c r="B318" s="274" t="s">
        <v>328</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302">
        <v>0</v>
      </c>
      <c r="Y318" s="303">
        <v>0</v>
      </c>
      <c r="Z318" s="304">
        <v>0</v>
      </c>
      <c r="AA318" s="303">
        <v>0</v>
      </c>
      <c r="AB318" s="40"/>
      <c r="AC318" s="43"/>
      <c r="AD318" s="22"/>
    </row>
    <row r="319" spans="1:30" s="23" customFormat="1" x14ac:dyDescent="0.3">
      <c r="A319" s="273"/>
      <c r="B319" s="274" t="s">
        <v>329</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302">
        <v>0</v>
      </c>
      <c r="Y319" s="303">
        <v>0</v>
      </c>
      <c r="Z319" s="304">
        <v>0</v>
      </c>
      <c r="AA319" s="303">
        <v>0</v>
      </c>
      <c r="AB319" s="40"/>
      <c r="AC319" s="43"/>
      <c r="AD319" s="22"/>
    </row>
    <row r="320" spans="1:30" s="23" customFormat="1" x14ac:dyDescent="0.3">
      <c r="A320" s="273"/>
      <c r="B320" s="274" t="s">
        <v>334</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302">
        <v>0</v>
      </c>
      <c r="Y320" s="303">
        <v>0</v>
      </c>
      <c r="Z320" s="304">
        <v>0</v>
      </c>
      <c r="AA320" s="303">
        <v>0</v>
      </c>
      <c r="AB320" s="40"/>
      <c r="AC320" s="43"/>
      <c r="AD320" s="22"/>
    </row>
    <row r="321" spans="1:30" s="23" customFormat="1" x14ac:dyDescent="0.3">
      <c r="A321" s="273"/>
      <c r="B321" s="275" t="s">
        <v>331</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302">
        <v>0</v>
      </c>
      <c r="Y321" s="303">
        <v>0</v>
      </c>
      <c r="Z321" s="304">
        <v>0</v>
      </c>
      <c r="AA321" s="303">
        <v>0</v>
      </c>
      <c r="AB321" s="40"/>
      <c r="AC321" s="43"/>
      <c r="AD321" s="22"/>
    </row>
    <row r="322" spans="1:30" s="23" customFormat="1" x14ac:dyDescent="0.3">
      <c r="A322" s="273"/>
      <c r="B322" s="274"/>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276"/>
      <c r="Y322" s="277"/>
      <c r="Z322" s="278"/>
      <c r="AA322" s="277"/>
      <c r="AB322" s="40"/>
      <c r="AC322" s="43"/>
      <c r="AD322" s="22"/>
    </row>
    <row r="323" spans="1:30" s="23" customFormat="1" x14ac:dyDescent="0.3">
      <c r="A323" s="273"/>
      <c r="B323" s="274" t="s">
        <v>80</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f>SUM(X316:X322)</f>
        <v>2</v>
      </c>
      <c r="Y323" s="277">
        <f>SUM(Y316:Y321)</f>
        <v>1</v>
      </c>
      <c r="Z323" s="278">
        <f>SUM(Z316:Z321)</f>
        <v>173</v>
      </c>
      <c r="AA323" s="277">
        <f>SUM(AA316:AA322)</f>
        <v>1</v>
      </c>
      <c r="AB323" s="40"/>
      <c r="AC323" s="43"/>
      <c r="AD323" s="22"/>
    </row>
    <row r="324" spans="1:30" x14ac:dyDescent="0.3">
      <c r="A324" s="7"/>
      <c r="B324" s="99"/>
      <c r="C324" s="99"/>
      <c r="D324" s="205"/>
      <c r="E324" s="205"/>
      <c r="F324" s="205"/>
      <c r="G324" s="205"/>
      <c r="H324" s="205"/>
      <c r="I324" s="205"/>
      <c r="J324" s="205"/>
      <c r="K324" s="205"/>
      <c r="L324" s="205"/>
      <c r="M324" s="205"/>
      <c r="N324" s="205"/>
      <c r="O324" s="205"/>
      <c r="P324" s="205"/>
      <c r="Q324" s="205"/>
      <c r="R324" s="205"/>
      <c r="S324" s="205"/>
      <c r="T324" s="205"/>
      <c r="U324" s="205"/>
      <c r="V324" s="205"/>
      <c r="W324" s="205"/>
      <c r="X324" s="100"/>
      <c r="Y324" s="206"/>
      <c r="Z324" s="207"/>
      <c r="AA324" s="206"/>
      <c r="AB324" s="99"/>
      <c r="AC324" s="10"/>
      <c r="AD324" s="5"/>
    </row>
    <row r="325" spans="1:30" x14ac:dyDescent="0.3">
      <c r="A325" s="33"/>
      <c r="B325" s="102" t="s">
        <v>106</v>
      </c>
      <c r="C325" s="34"/>
      <c r="D325" s="208"/>
      <c r="E325" s="208"/>
      <c r="F325" s="208"/>
      <c r="G325" s="208"/>
      <c r="H325" s="208"/>
      <c r="I325" s="208"/>
      <c r="J325" s="208"/>
      <c r="K325" s="208"/>
      <c r="L325" s="208"/>
      <c r="M325" s="208"/>
      <c r="N325" s="208"/>
      <c r="O325" s="208"/>
      <c r="P325" s="208"/>
      <c r="Q325" s="208"/>
      <c r="R325" s="208"/>
      <c r="S325" s="208"/>
      <c r="T325" s="208"/>
      <c r="U325" s="208"/>
      <c r="V325" s="208"/>
      <c r="W325" s="208"/>
      <c r="X325" s="154" t="s">
        <v>69</v>
      </c>
      <c r="Y325" s="103" t="s">
        <v>70</v>
      </c>
      <c r="Z325" s="154" t="s">
        <v>75</v>
      </c>
      <c r="AA325" s="103" t="s">
        <v>70</v>
      </c>
      <c r="AB325" s="34"/>
      <c r="AC325" s="36"/>
      <c r="AD325" s="5"/>
    </row>
    <row r="326" spans="1:30" s="23" customFormat="1" x14ac:dyDescent="0.3">
      <c r="A326" s="18"/>
      <c r="B326" s="106" t="s">
        <v>59</v>
      </c>
      <c r="C326" s="37"/>
      <c r="D326" s="209"/>
      <c r="E326" s="209"/>
      <c r="F326" s="209"/>
      <c r="G326" s="209"/>
      <c r="H326" s="209"/>
      <c r="I326" s="209"/>
      <c r="J326" s="209"/>
      <c r="K326" s="209"/>
      <c r="L326" s="209"/>
      <c r="M326" s="209"/>
      <c r="N326" s="209"/>
      <c r="O326" s="209"/>
      <c r="P326" s="209"/>
      <c r="Q326" s="209"/>
      <c r="R326" s="209"/>
      <c r="S326" s="209"/>
      <c r="T326" s="209"/>
      <c r="U326" s="209"/>
      <c r="V326" s="209"/>
      <c r="W326" s="209"/>
      <c r="X326" s="106">
        <v>0</v>
      </c>
      <c r="Y326" s="192">
        <v>0</v>
      </c>
      <c r="Z326" s="107">
        <v>0</v>
      </c>
      <c r="AA326" s="192">
        <v>0</v>
      </c>
      <c r="AB326" s="37"/>
      <c r="AC326" s="21"/>
      <c r="AD326" s="22"/>
    </row>
    <row r="327" spans="1:30" s="23" customFormat="1" x14ac:dyDescent="0.3">
      <c r="A327" s="47"/>
      <c r="B327" s="97" t="s">
        <v>60</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61</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100</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101</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102</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103</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104</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c r="Y334" s="198"/>
      <c r="Z334" s="98"/>
      <c r="AA334" s="198"/>
      <c r="AB334" s="40"/>
      <c r="AC334" s="43"/>
      <c r="AD334" s="22"/>
    </row>
    <row r="335" spans="1:30" s="23" customFormat="1" x14ac:dyDescent="0.3">
      <c r="A335" s="47"/>
      <c r="B335" s="40" t="s">
        <v>80</v>
      </c>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f>SUM(X326:X333)</f>
        <v>0</v>
      </c>
      <c r="Y335" s="198">
        <f>SUM(Y326:Y333)</f>
        <v>0</v>
      </c>
      <c r="Z335" s="98">
        <f>SUM(Z326:Z333)</f>
        <v>0</v>
      </c>
      <c r="AA335" s="198">
        <f>SUM(AA326:AA333)</f>
        <v>0</v>
      </c>
      <c r="AB335" s="40"/>
      <c r="AC335" s="43"/>
      <c r="AD335" s="22"/>
    </row>
    <row r="336" spans="1:30" s="23" customFormat="1" x14ac:dyDescent="0.3">
      <c r="A336" s="47"/>
      <c r="B336" s="40"/>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c r="Y336" s="198"/>
      <c r="Z336" s="98"/>
      <c r="AA336" s="198"/>
      <c r="AB336" s="40"/>
      <c r="AC336" s="43"/>
      <c r="AD336" s="22"/>
    </row>
    <row r="337" spans="1:30" s="23" customFormat="1" x14ac:dyDescent="0.3">
      <c r="A337" s="47"/>
      <c r="B337" s="44" t="s">
        <v>139</v>
      </c>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210">
        <f>X335+X313+X301</f>
        <v>2152</v>
      </c>
      <c r="Y337" s="198"/>
      <c r="Z337" s="211">
        <f>+Z335+Z313+Z301</f>
        <v>391508</v>
      </c>
      <c r="AA337" s="198"/>
      <c r="AB337" s="40"/>
      <c r="AC337" s="43"/>
      <c r="AD337" s="22"/>
    </row>
    <row r="338" spans="1:30" s="23" customFormat="1" x14ac:dyDescent="0.3">
      <c r="A338" s="47"/>
      <c r="B338" s="44" t="s">
        <v>304</v>
      </c>
      <c r="C338" s="44"/>
      <c r="D338" s="212"/>
      <c r="E338" s="212"/>
      <c r="F338" s="212"/>
      <c r="G338" s="212"/>
      <c r="H338" s="212"/>
      <c r="I338" s="212"/>
      <c r="J338" s="212"/>
      <c r="K338" s="212"/>
      <c r="L338" s="212"/>
      <c r="M338" s="212"/>
      <c r="N338" s="212"/>
      <c r="O338" s="212"/>
      <c r="P338" s="212"/>
      <c r="Q338" s="212"/>
      <c r="R338" s="212"/>
      <c r="S338" s="212"/>
      <c r="T338" s="212"/>
      <c r="U338" s="212"/>
      <c r="V338" s="212"/>
      <c r="W338" s="212"/>
      <c r="X338" s="210"/>
      <c r="Y338" s="213"/>
      <c r="Z338" s="211">
        <f>+AB65+AB64</f>
        <v>2</v>
      </c>
      <c r="AA338" s="198"/>
      <c r="AB338" s="40"/>
      <c r="AC338" s="43"/>
      <c r="AD338" s="22"/>
    </row>
    <row r="339" spans="1:30" s="23" customFormat="1" x14ac:dyDescent="0.3">
      <c r="A339" s="47"/>
      <c r="B339" s="44" t="s">
        <v>107</v>
      </c>
      <c r="C339" s="44"/>
      <c r="D339" s="212"/>
      <c r="E339" s="212"/>
      <c r="F339" s="212"/>
      <c r="G339" s="212"/>
      <c r="H339" s="212"/>
      <c r="I339" s="212"/>
      <c r="J339" s="212"/>
      <c r="K339" s="212"/>
      <c r="L339" s="212"/>
      <c r="M339" s="212"/>
      <c r="N339" s="212"/>
      <c r="O339" s="212"/>
      <c r="P339" s="212"/>
      <c r="Q339" s="212"/>
      <c r="R339" s="212"/>
      <c r="S339" s="212"/>
      <c r="T339" s="212"/>
      <c r="U339" s="212"/>
      <c r="V339" s="212"/>
      <c r="W339" s="212"/>
      <c r="X339" s="210"/>
      <c r="Y339" s="213"/>
      <c r="Z339" s="211">
        <f>+Z337+Z338</f>
        <v>391510</v>
      </c>
      <c r="AA339" s="198"/>
      <c r="AB339" s="40"/>
      <c r="AC339" s="43"/>
      <c r="AD339" s="22"/>
    </row>
    <row r="340" spans="1:30" s="23" customFormat="1" x14ac:dyDescent="0.3">
      <c r="A340" s="47"/>
      <c r="B340" s="44" t="s">
        <v>237</v>
      </c>
      <c r="C340" s="40"/>
      <c r="D340" s="204"/>
      <c r="E340" s="204"/>
      <c r="F340" s="204"/>
      <c r="G340" s="204"/>
      <c r="H340" s="204"/>
      <c r="I340" s="204"/>
      <c r="J340" s="204"/>
      <c r="K340" s="204"/>
      <c r="L340" s="204"/>
      <c r="M340" s="204"/>
      <c r="N340" s="204"/>
      <c r="O340" s="204"/>
      <c r="P340" s="204"/>
      <c r="Q340" s="204"/>
      <c r="R340" s="204"/>
      <c r="S340" s="204"/>
      <c r="T340" s="204"/>
      <c r="U340" s="204"/>
      <c r="V340" s="204"/>
      <c r="W340" s="204"/>
      <c r="X340" s="210"/>
      <c r="Y340" s="198"/>
      <c r="Z340" s="211">
        <f>+AB67</f>
        <v>391510</v>
      </c>
      <c r="AA340" s="198"/>
      <c r="AB340" s="40"/>
      <c r="AC340" s="43"/>
      <c r="AD340" s="22"/>
    </row>
    <row r="341" spans="1:30" s="23" customFormat="1" x14ac:dyDescent="0.3">
      <c r="A341" s="47"/>
      <c r="B341" s="44"/>
      <c r="C341" s="40"/>
      <c r="D341" s="204"/>
      <c r="E341" s="204"/>
      <c r="F341" s="204"/>
      <c r="G341" s="204"/>
      <c r="H341" s="204"/>
      <c r="I341" s="204"/>
      <c r="J341" s="204"/>
      <c r="K341" s="204"/>
      <c r="L341" s="204"/>
      <c r="M341" s="204"/>
      <c r="N341" s="204"/>
      <c r="O341" s="204"/>
      <c r="P341" s="204"/>
      <c r="Q341" s="204"/>
      <c r="R341" s="204"/>
      <c r="S341" s="204"/>
      <c r="T341" s="204"/>
      <c r="U341" s="204"/>
      <c r="V341" s="204"/>
      <c r="W341" s="204"/>
      <c r="X341" s="210"/>
      <c r="Y341" s="198"/>
      <c r="Z341" s="211"/>
      <c r="AA341" s="198"/>
      <c r="AB341" s="40"/>
      <c r="AC341" s="43"/>
      <c r="AD341" s="22"/>
    </row>
    <row r="342" spans="1:30" s="23" customFormat="1" x14ac:dyDescent="0.3">
      <c r="A342" s="47"/>
      <c r="B342" s="44" t="s">
        <v>305</v>
      </c>
      <c r="C342" s="40"/>
      <c r="D342" s="204"/>
      <c r="E342" s="204"/>
      <c r="F342" s="204"/>
      <c r="G342" s="204"/>
      <c r="H342" s="204"/>
      <c r="I342" s="204"/>
      <c r="J342" s="204"/>
      <c r="K342" s="204"/>
      <c r="L342" s="204"/>
      <c r="M342" s="204"/>
      <c r="N342" s="204"/>
      <c r="O342" s="204"/>
      <c r="P342" s="204"/>
      <c r="Q342" s="204"/>
      <c r="R342" s="204"/>
      <c r="S342" s="204"/>
      <c r="T342" s="204"/>
      <c r="U342" s="204"/>
      <c r="V342" s="204"/>
      <c r="W342" s="204"/>
      <c r="X342" s="210"/>
      <c r="Y342" s="198"/>
      <c r="Z342" s="236">
        <f>(D31*0.05+F31+H31+J31+L31+N31)/AB31</f>
        <v>0.62033192551290739</v>
      </c>
      <c r="AA342" s="198"/>
      <c r="AB342" s="40"/>
      <c r="AC342" s="43"/>
      <c r="AD342" s="22"/>
    </row>
    <row r="343" spans="1:30" s="23" customFormat="1" x14ac:dyDescent="0.3">
      <c r="A343" s="18"/>
      <c r="B343" s="20"/>
      <c r="C343" s="20"/>
      <c r="D343" s="214"/>
      <c r="E343" s="214"/>
      <c r="F343" s="214"/>
      <c r="G343" s="214"/>
      <c r="H343" s="214"/>
      <c r="I343" s="214"/>
      <c r="J343" s="214"/>
      <c r="K343" s="214"/>
      <c r="L343" s="214"/>
      <c r="M343" s="214"/>
      <c r="N343" s="214"/>
      <c r="O343" s="214"/>
      <c r="P343" s="214"/>
      <c r="Q343" s="214"/>
      <c r="R343" s="214"/>
      <c r="S343" s="214"/>
      <c r="T343" s="214"/>
      <c r="U343" s="214"/>
      <c r="V343" s="214"/>
      <c r="W343" s="214"/>
      <c r="X343" s="214"/>
      <c r="Y343" s="214"/>
      <c r="Z343" s="215"/>
      <c r="AA343" s="214"/>
      <c r="AB343" s="20"/>
      <c r="AC343" s="21"/>
      <c r="AD343" s="22"/>
    </row>
    <row r="344" spans="1:30" s="23" customFormat="1" x14ac:dyDescent="0.3">
      <c r="A344" s="18"/>
      <c r="B344" s="19" t="s">
        <v>62</v>
      </c>
      <c r="C344" s="20"/>
      <c r="D344" s="216" t="s">
        <v>66</v>
      </c>
      <c r="E344" s="19"/>
      <c r="F344" s="19" t="s">
        <v>67</v>
      </c>
      <c r="G344" s="20"/>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s="23" customFormat="1" x14ac:dyDescent="0.3">
      <c r="A345" s="18"/>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s="23" customFormat="1" x14ac:dyDescent="0.3">
      <c r="A346" s="18"/>
      <c r="B346" s="19" t="s">
        <v>152</v>
      </c>
      <c r="C346" s="19"/>
      <c r="D346" s="217" t="s">
        <v>122</v>
      </c>
      <c r="E346" s="19"/>
      <c r="F346" s="19" t="s">
        <v>168</v>
      </c>
      <c r="G346" s="19"/>
      <c r="H346" s="19"/>
      <c r="I346" s="20"/>
      <c r="J346" s="20"/>
      <c r="K346" s="20"/>
      <c r="L346" s="20"/>
      <c r="M346" s="20"/>
      <c r="N346" s="20"/>
      <c r="O346" s="20"/>
      <c r="P346" s="20"/>
      <c r="Q346" s="20"/>
      <c r="R346" s="20"/>
      <c r="S346" s="20"/>
      <c r="T346" s="20"/>
      <c r="U346" s="20"/>
      <c r="V346" s="20"/>
      <c r="W346" s="20"/>
      <c r="X346" s="20"/>
      <c r="Y346" s="20"/>
      <c r="Z346" s="20"/>
      <c r="AA346" s="20"/>
      <c r="AB346" s="20"/>
      <c r="AC346" s="21"/>
      <c r="AD346" s="22"/>
    </row>
    <row r="347" spans="1:30" s="23" customFormat="1" x14ac:dyDescent="0.3">
      <c r="A347" s="18"/>
      <c r="B347" s="19" t="s">
        <v>153</v>
      </c>
      <c r="C347" s="19"/>
      <c r="D347" s="217" t="s">
        <v>98</v>
      </c>
      <c r="E347" s="19"/>
      <c r="F347" s="19" t="s">
        <v>169</v>
      </c>
      <c r="G347" s="19"/>
      <c r="H347" s="19"/>
      <c r="I347" s="20"/>
      <c r="J347" s="20"/>
      <c r="K347" s="20"/>
      <c r="L347" s="20"/>
      <c r="M347" s="20"/>
      <c r="N347" s="20"/>
      <c r="O347" s="20"/>
      <c r="P347" s="20"/>
      <c r="Q347" s="20"/>
      <c r="R347" s="20"/>
      <c r="S347" s="20"/>
      <c r="T347" s="20"/>
      <c r="U347" s="20"/>
      <c r="V347" s="20"/>
      <c r="W347" s="20"/>
      <c r="X347" s="20"/>
      <c r="Y347" s="20"/>
      <c r="Z347" s="20"/>
      <c r="AA347" s="20"/>
      <c r="AB347" s="20"/>
      <c r="AC347" s="21"/>
      <c r="AD347" s="22"/>
    </row>
    <row r="348" spans="1:30" x14ac:dyDescent="0.3">
      <c r="A348" s="218"/>
      <c r="B348" s="258"/>
      <c r="C348" s="219"/>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c r="AA348" s="220"/>
      <c r="AB348" s="220"/>
      <c r="AC348" s="221"/>
      <c r="AD348" s="5"/>
    </row>
    <row r="349" spans="1:30" ht="18" x14ac:dyDescent="0.35">
      <c r="A349" s="218"/>
      <c r="B349" s="259" t="s">
        <v>109</v>
      </c>
      <c r="C349" s="219"/>
      <c r="D349" s="220"/>
      <c r="E349" s="220"/>
      <c r="F349" s="220"/>
      <c r="G349" s="220"/>
      <c r="H349" s="220"/>
      <c r="I349" s="220"/>
      <c r="J349" s="220"/>
      <c r="K349" s="220"/>
      <c r="L349" s="220"/>
      <c r="M349" s="220"/>
      <c r="N349" s="220"/>
      <c r="O349" s="220"/>
      <c r="P349" s="260" t="s">
        <v>167</v>
      </c>
      <c r="Q349" s="220"/>
      <c r="R349" s="220"/>
      <c r="S349" s="220"/>
      <c r="T349" s="220"/>
      <c r="U349" s="220"/>
      <c r="V349" s="220"/>
      <c r="W349" s="220"/>
      <c r="X349" s="220"/>
      <c r="Y349" s="220"/>
      <c r="Z349" s="220"/>
      <c r="AA349" s="220"/>
      <c r="AB349" s="220"/>
      <c r="AC349" s="221"/>
      <c r="AD349" s="5"/>
    </row>
    <row r="350" spans="1:30" ht="18" x14ac:dyDescent="0.35">
      <c r="A350" s="218"/>
      <c r="B350" s="259"/>
      <c r="C350" s="219"/>
      <c r="D350" s="220"/>
      <c r="E350" s="220"/>
      <c r="F350" s="220"/>
      <c r="G350" s="220"/>
      <c r="H350" s="220"/>
      <c r="I350" s="220"/>
      <c r="J350" s="220"/>
      <c r="K350" s="220"/>
      <c r="L350" s="220"/>
      <c r="M350" s="220"/>
      <c r="N350" s="220"/>
      <c r="O350" s="220"/>
      <c r="P350" s="260"/>
      <c r="Q350" s="220"/>
      <c r="R350" s="220"/>
      <c r="S350" s="220"/>
      <c r="T350" s="220"/>
      <c r="U350" s="220"/>
      <c r="V350" s="220"/>
      <c r="W350" s="220"/>
      <c r="X350" s="220"/>
      <c r="Y350" s="220"/>
      <c r="Z350" s="220"/>
      <c r="AA350" s="220"/>
      <c r="AB350" s="220"/>
      <c r="AC350" s="221"/>
      <c r="AD350" s="5"/>
    </row>
    <row r="351" spans="1:30" ht="18.600000000000001" thickBot="1" x14ac:dyDescent="0.4">
      <c r="A351" s="218"/>
      <c r="B351" s="222" t="str">
        <f>B237</f>
        <v>PM26 INVESTOR REPORT QUARTER ENDING APRIL 2022</v>
      </c>
      <c r="C351" s="219"/>
      <c r="D351" s="220"/>
      <c r="E351" s="220"/>
      <c r="F351" s="220"/>
      <c r="G351" s="220"/>
      <c r="H351" s="220"/>
      <c r="I351" s="220"/>
      <c r="J351" s="220"/>
      <c r="K351" s="220"/>
      <c r="L351" s="220"/>
      <c r="M351" s="220"/>
      <c r="N351" s="220"/>
      <c r="O351" s="220"/>
      <c r="P351" s="220"/>
      <c r="Q351" s="220"/>
      <c r="R351" s="220"/>
      <c r="S351" s="220"/>
      <c r="T351" s="220"/>
      <c r="U351" s="220"/>
      <c r="V351" s="220"/>
      <c r="W351" s="220"/>
      <c r="X351" s="220"/>
      <c r="Y351" s="220"/>
      <c r="Z351" s="220"/>
      <c r="AA351" s="220"/>
      <c r="AB351" s="220"/>
      <c r="AC351" s="223"/>
      <c r="AD351" s="5"/>
    </row>
    <row r="352" spans="1:30" x14ac:dyDescent="0.3">
      <c r="A352" s="224"/>
      <c r="B352" s="224"/>
      <c r="C352" s="224"/>
      <c r="D352" s="224"/>
      <c r="E352" s="224"/>
      <c r="F352" s="224"/>
      <c r="G352" s="224"/>
      <c r="H352" s="224"/>
      <c r="I352" s="224"/>
      <c r="J352" s="224"/>
      <c r="K352" s="224"/>
      <c r="L352" s="224"/>
      <c r="M352" s="224"/>
      <c r="N352" s="224"/>
      <c r="O352" s="224"/>
      <c r="P352" s="224"/>
      <c r="Q352" s="224"/>
      <c r="R352" s="224"/>
      <c r="S352" s="224"/>
      <c r="T352" s="224"/>
      <c r="U352" s="224"/>
      <c r="V352" s="224"/>
      <c r="W352" s="224"/>
      <c r="X352" s="224"/>
      <c r="Y352" s="224"/>
      <c r="Z352" s="224"/>
      <c r="AA352" s="224"/>
      <c r="AB352" s="224"/>
      <c r="AC352" s="224"/>
    </row>
    <row r="353" spans="2:2" x14ac:dyDescent="0.3">
      <c r="B353" s="6" t="s">
        <v>307</v>
      </c>
    </row>
    <row r="354" spans="2:2" x14ac:dyDescent="0.3">
      <c r="B354" s="271"/>
    </row>
    <row r="355" spans="2:2" x14ac:dyDescent="0.3">
      <c r="B355" s="279" t="s">
        <v>354</v>
      </c>
    </row>
    <row r="356" spans="2:2" x14ac:dyDescent="0.3">
      <c r="B356" s="270" t="s">
        <v>352</v>
      </c>
    </row>
    <row r="357" spans="2:2" x14ac:dyDescent="0.3">
      <c r="B357" s="300" t="s">
        <v>353</v>
      </c>
    </row>
  </sheetData>
  <hyperlinks>
    <hyperlink ref="K9" r:id="rId1" display="http://www.paragon-group.co.uk" xr:uid="{84BA829C-C68D-44E0-B6CE-626F5C7F49EA}"/>
    <hyperlink ref="P349" r:id="rId2" xr:uid="{ED7DB386-AF93-4D99-AA2E-926AC033C125}"/>
    <hyperlink ref="P277" r:id="rId3" xr:uid="{D281576E-7160-4808-9770-4517EF71C820}"/>
    <hyperlink ref="B357" r:id="rId4" display="https://investorreporting.paragonbankinggroup.co.uk/bondinvestor_viewer/resources/bondinvestor/pdf/investornews/2021/libor-mortgages-transition-july-19" xr:uid="{60D0FAEF-C17E-48C4-B0C8-D10DF352AC67}"/>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7" max="18" man="1"/>
  </rowBreaks>
  <colBreaks count="1" manualBreakCount="1">
    <brk id="29" max="299" man="1"/>
  </colBreaks>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E5452-B6CD-45ED-9F4F-5EC6EE13ED2D}">
  <sheetPr>
    <tabColor rgb="FF2D2926"/>
  </sheetPr>
  <dimension ref="A1:JB357"/>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0.26022498908875075</v>
      </c>
      <c r="Z17" s="29" t="s">
        <v>258</v>
      </c>
      <c r="AA17" s="29">
        <v>0.7397750109112492</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44792</v>
      </c>
      <c r="AC19" s="21"/>
      <c r="AD19" s="22"/>
    </row>
    <row r="20" spans="1:33" s="23" customFormat="1" x14ac:dyDescent="0.3">
      <c r="A20" s="18"/>
      <c r="B20" s="20"/>
      <c r="C20" s="20"/>
      <c r="D20" s="308"/>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307"/>
      <c r="E21" s="20"/>
      <c r="F21" s="287"/>
      <c r="G21" s="20"/>
      <c r="H21" s="309"/>
      <c r="I21" s="20"/>
      <c r="J21" s="308"/>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214</v>
      </c>
      <c r="I27" s="229"/>
      <c r="J27" s="229" t="s">
        <v>215</v>
      </c>
      <c r="K27" s="229"/>
      <c r="L27" s="229" t="s">
        <v>365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156467.34688999999</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5727.6156000000001</v>
      </c>
      <c r="Q30" s="54"/>
      <c r="R30" s="54">
        <v>0</v>
      </c>
      <c r="S30" s="54"/>
      <c r="T30" s="54" t="s">
        <v>83</v>
      </c>
      <c r="U30" s="54"/>
      <c r="V30" s="54" t="s">
        <v>83</v>
      </c>
      <c r="W30" s="54"/>
      <c r="X30" s="54" t="s">
        <v>83</v>
      </c>
      <c r="Y30" s="54" t="s">
        <v>83</v>
      </c>
      <c r="Z30" s="54"/>
      <c r="AA30" s="49"/>
      <c r="AB30" s="50">
        <f>SUM(D30:N30)</f>
        <v>391510.34688999999</v>
      </c>
      <c r="AC30" s="51"/>
      <c r="AD30" s="22"/>
    </row>
    <row r="31" spans="1:33" s="23" customFormat="1" x14ac:dyDescent="0.3">
      <c r="A31" s="47"/>
      <c r="B31" s="44" t="s">
        <v>92</v>
      </c>
      <c r="C31" s="49"/>
      <c r="D31" s="57">
        <f>D29*D32</f>
        <v>113585.60691</v>
      </c>
      <c r="E31" s="57"/>
      <c r="F31" s="57">
        <f>F29</f>
        <v>151540</v>
      </c>
      <c r="G31" s="57"/>
      <c r="H31" s="57">
        <f>H29</f>
        <v>24741</v>
      </c>
      <c r="I31" s="57"/>
      <c r="J31" s="57">
        <f>J29</f>
        <v>18555</v>
      </c>
      <c r="K31" s="57"/>
      <c r="L31" s="57">
        <f>L29</f>
        <v>20102</v>
      </c>
      <c r="M31" s="57"/>
      <c r="N31" s="57">
        <f>N29</f>
        <v>20105</v>
      </c>
      <c r="O31" s="57"/>
      <c r="P31" s="57">
        <f>P29*P32</f>
        <v>5571.0933400000004</v>
      </c>
      <c r="Q31" s="57"/>
      <c r="R31" s="57">
        <v>0</v>
      </c>
      <c r="S31" s="57"/>
      <c r="T31" s="57" t="s">
        <v>83</v>
      </c>
      <c r="U31" s="57"/>
      <c r="V31" s="57" t="s">
        <v>83</v>
      </c>
      <c r="W31" s="57"/>
      <c r="X31" s="57" t="s">
        <v>83</v>
      </c>
      <c r="Y31" s="57" t="s">
        <v>83</v>
      </c>
      <c r="Z31" s="57"/>
      <c r="AA31" s="49"/>
      <c r="AB31" s="56">
        <f>SUM(D31:N31)-1</f>
        <v>348627.60690999997</v>
      </c>
      <c r="AC31" s="51"/>
      <c r="AD31" s="22"/>
      <c r="AE31" s="235"/>
    </row>
    <row r="32" spans="1:33" s="65" customFormat="1" x14ac:dyDescent="0.3">
      <c r="A32" s="58"/>
      <c r="B32" s="166" t="s">
        <v>88</v>
      </c>
      <c r="C32" s="61"/>
      <c r="D32" s="60">
        <v>0.29619000000000001</v>
      </c>
      <c r="E32" s="60"/>
      <c r="F32" s="60">
        <v>1</v>
      </c>
      <c r="G32" s="60"/>
      <c r="H32" s="60">
        <v>1</v>
      </c>
      <c r="I32" s="60"/>
      <c r="J32" s="60">
        <v>1</v>
      </c>
      <c r="K32" s="60"/>
      <c r="L32" s="60">
        <v>1</v>
      </c>
      <c r="M32" s="60"/>
      <c r="N32" s="60">
        <v>1</v>
      </c>
      <c r="O32" s="60"/>
      <c r="P32" s="60">
        <v>0.54742000000000002</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0.40800999999999998</v>
      </c>
      <c r="E33" s="60"/>
      <c r="F33" s="60">
        <v>1</v>
      </c>
      <c r="G33" s="60"/>
      <c r="H33" s="60">
        <v>1</v>
      </c>
      <c r="I33" s="60"/>
      <c r="J33" s="60">
        <v>1</v>
      </c>
      <c r="K33" s="60"/>
      <c r="L33" s="60">
        <v>1</v>
      </c>
      <c r="M33" s="60"/>
      <c r="N33" s="60">
        <v>1</v>
      </c>
      <c r="O33" s="60"/>
      <c r="P33" s="60">
        <v>0.56279999999999997</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2.1589299999999999E-2</v>
      </c>
      <c r="E35" s="241"/>
      <c r="F35" s="241">
        <v>2.30893E-2</v>
      </c>
      <c r="G35" s="241"/>
      <c r="H35" s="241">
        <v>3.0089299999999999E-2</v>
      </c>
      <c r="I35" s="241"/>
      <c r="J35" s="241">
        <v>3.3589300000000002E-2</v>
      </c>
      <c r="K35" s="241"/>
      <c r="L35" s="241">
        <v>3.7089299999999999E-2</v>
      </c>
      <c r="M35" s="241"/>
      <c r="N35" s="241">
        <v>4.7089300000000001E-2</v>
      </c>
      <c r="O35" s="241"/>
      <c r="P35" s="241">
        <v>5.1089299999999997E-2</v>
      </c>
      <c r="Q35" s="241"/>
      <c r="R35" s="241">
        <v>5.1089299999999997E-2</v>
      </c>
      <c r="S35" s="68"/>
      <c r="T35" s="68" t="s">
        <v>83</v>
      </c>
      <c r="U35" s="68"/>
      <c r="V35" s="68" t="s">
        <v>83</v>
      </c>
      <c r="W35" s="68"/>
      <c r="X35" s="68" t="s">
        <v>83</v>
      </c>
      <c r="Y35" s="68" t="s">
        <v>83</v>
      </c>
      <c r="Z35" s="68"/>
      <c r="AA35" s="40"/>
      <c r="AB35" s="67">
        <f>SUMPRODUCT(D35:N35,D30:N30)/AB30</f>
        <v>2.5381095061848259E-2</v>
      </c>
      <c r="AC35" s="43"/>
      <c r="AD35" s="22"/>
    </row>
    <row r="36" spans="1:30" s="23" customFormat="1" x14ac:dyDescent="0.3">
      <c r="A36" s="47"/>
      <c r="B36" s="40" t="s">
        <v>10</v>
      </c>
      <c r="C36" s="69"/>
      <c r="D36" s="241">
        <v>1.6511499999999998E-2</v>
      </c>
      <c r="E36" s="241"/>
      <c r="F36" s="241">
        <v>1.80115E-2</v>
      </c>
      <c r="G36" s="241"/>
      <c r="H36" s="241">
        <v>2.5011499999999999E-2</v>
      </c>
      <c r="I36" s="241"/>
      <c r="J36" s="241">
        <v>2.8511499999999999E-2</v>
      </c>
      <c r="K36" s="241"/>
      <c r="L36" s="241">
        <v>3.2011499999999998E-2</v>
      </c>
      <c r="M36" s="241"/>
      <c r="N36" s="241">
        <v>4.20115E-2</v>
      </c>
      <c r="O36" s="241"/>
      <c r="P36" s="241">
        <v>4.6011499999999997E-2</v>
      </c>
      <c r="Q36" s="241"/>
      <c r="R36" s="241">
        <v>4.6011499999999997E-2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0.3149563747282475</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44788</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90</v>
      </c>
      <c r="Y48" s="40"/>
      <c r="Z48" s="76">
        <v>44607</v>
      </c>
      <c r="AA48" s="77"/>
      <c r="AB48" s="76">
        <v>44696</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91</v>
      </c>
      <c r="Y49" s="40"/>
      <c r="Z49" s="76">
        <v>44697</v>
      </c>
      <c r="AA49" s="77"/>
      <c r="AB49" s="76">
        <v>44787</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44787</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368</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391508</v>
      </c>
      <c r="S58" s="238"/>
      <c r="T58" s="237">
        <f>151+175</f>
        <v>326</v>
      </c>
      <c r="U58" s="237"/>
      <c r="V58" s="237">
        <v>42556</v>
      </c>
      <c r="W58" s="238"/>
      <c r="X58" s="238">
        <v>0</v>
      </c>
      <c r="Y58" s="238"/>
      <c r="Z58" s="238">
        <v>0</v>
      </c>
      <c r="AA58" s="238"/>
      <c r="AB58" s="237">
        <f>R58-T58-V58+X58-Z58</f>
        <v>348626</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391508</v>
      </c>
      <c r="S61" s="238"/>
      <c r="T61" s="238">
        <f>T58+T59</f>
        <v>326</v>
      </c>
      <c r="U61" s="238"/>
      <c r="V61" s="238">
        <f>SUM(V58:V60)</f>
        <v>42556</v>
      </c>
      <c r="W61" s="238"/>
      <c r="X61" s="238">
        <f>SUM(X58:X60)</f>
        <v>0</v>
      </c>
      <c r="Y61" s="238"/>
      <c r="Z61" s="238">
        <f>SUM(Z58:Z60)</f>
        <v>0</v>
      </c>
      <c r="AA61" s="238"/>
      <c r="AB61" s="238">
        <f>SUM(AB58:AB60)</f>
        <v>348626</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2</v>
      </c>
      <c r="S64" s="238"/>
      <c r="T64" s="238">
        <v>0</v>
      </c>
      <c r="U64" s="238"/>
      <c r="V64" s="238">
        <v>0</v>
      </c>
      <c r="W64" s="238"/>
      <c r="X64" s="238"/>
      <c r="Y64" s="238"/>
      <c r="Z64" s="238"/>
      <c r="AA64" s="238"/>
      <c r="AB64" s="238">
        <f>R64+V64</f>
        <v>2</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391510</v>
      </c>
      <c r="S67" s="238"/>
      <c r="T67" s="238"/>
      <c r="U67" s="238"/>
      <c r="V67" s="238"/>
      <c r="W67" s="238"/>
      <c r="X67" s="238"/>
      <c r="Y67" s="238"/>
      <c r="Z67" s="238"/>
      <c r="AA67" s="238"/>
      <c r="AB67" s="238">
        <f>SUM(AB61:AB66)</f>
        <v>348628</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44771</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2</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+T58+V58+Z58-20</f>
        <v>42862</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4366+1464-1453-440</f>
        <v>3937</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257+44</f>
        <v>301</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67</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157</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1667</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42864</v>
      </c>
      <c r="AA84" s="40"/>
      <c r="AB84" s="97">
        <f>SUM(AB71:AB83)</f>
        <v>6129</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42864</v>
      </c>
      <c r="AA87" s="40"/>
      <c r="AB87" s="97">
        <f>AB84+AB85+AB86</f>
        <v>6129</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-198-9-7</f>
        <v>-214</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211</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-842</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-873</v>
      </c>
      <c r="AC94" s="114"/>
      <c r="AD94" s="30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-186</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-155</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-186</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20</v>
      </c>
      <c r="AA101" s="112"/>
      <c r="AB101" s="98">
        <v>-20</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-2900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-236</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-73</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-157</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-11-89</f>
        <v>-100</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30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-372</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-42882</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-42882</v>
      </c>
      <c r="AA130" s="97"/>
      <c r="AB130" s="97">
        <f>SUM(AB88:AB128)</f>
        <v>-6129</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2</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JULY 2022</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+'April 22'!AB146</f>
        <v>5148.5499999999993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-157</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4991.5499999999993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+'April 22'!AB159</f>
        <v>579.85500000000002</v>
      </c>
      <c r="AC150" s="43"/>
      <c r="AD150" s="22"/>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c r="AE159" s="115"/>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+'April 22'!AB165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+'April 22'!AB173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20</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20</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-20</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+'April 22'!AB182</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+'April 22'!AB190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+'April 22'!AB198</f>
        <v>2159</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2663</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1667</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356</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3155</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+'April 22'!AB206</f>
        <v>2719</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v>2663</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2900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AB203-AB204+AB205</f>
        <v>2956</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+'April 22'!Y213</f>
        <v>0</v>
      </c>
      <c r="Z211" s="98">
        <f>+'April 22'!Z213</f>
        <v>5</v>
      </c>
      <c r="AA211" s="40"/>
      <c r="AB211" s="98">
        <f>Y211+Z211</f>
        <v>5</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373</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228299</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234748</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-6449</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7.2599800386792196E-3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3.5708454810495627</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3.54</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23.704301075268816</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26.38</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27.245161290322581</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29.29</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21.870967741935484</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22.98</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16.449152542372882</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16.39</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JULY 2022</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44771</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1"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2.0008281159907649E-2</v>
      </c>
      <c r="AA241" s="40"/>
      <c r="AB241" s="40"/>
      <c r="AC241" s="43"/>
      <c r="AD241" s="22"/>
    </row>
    <row r="242" spans="1:31"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1"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4.1099927277327232E-2</v>
      </c>
      <c r="AA243" s="40"/>
      <c r="AB243" s="40"/>
      <c r="AC243" s="43"/>
      <c r="AD243" s="22"/>
    </row>
    <row r="244" spans="1:31"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2.5381095061848259E-2</v>
      </c>
      <c r="AA244" s="40"/>
      <c r="AB244" s="40"/>
      <c r="AC244" s="43"/>
      <c r="AD244" s="22"/>
    </row>
    <row r="245" spans="1:31"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1.5718832215478973E-2</v>
      </c>
      <c r="AA245" s="40"/>
      <c r="AB245" s="40"/>
      <c r="AC245" s="43"/>
      <c r="AD245" s="22"/>
    </row>
    <row r="246" spans="1:31"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(+AB87+AB89+AB92)/R67</f>
        <v>1.6193711527164058E-2</v>
      </c>
      <c r="AA246" s="40"/>
      <c r="AB246" s="40"/>
      <c r="AC246" s="43"/>
      <c r="AD246" s="22"/>
    </row>
    <row r="247" spans="1:31"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1"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1"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1"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1"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1"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1"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1"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1"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15.602482762033716</v>
      </c>
      <c r="AA255" s="40" t="s">
        <v>76</v>
      </c>
      <c r="AB255" s="40"/>
      <c r="AC255" s="43"/>
      <c r="AD255" s="22"/>
    </row>
    <row r="256" spans="1:31"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0.10952976935455033</v>
      </c>
      <c r="AA256" s="40"/>
      <c r="AB256" s="40"/>
      <c r="AC256" s="43"/>
      <c r="AD256" s="22"/>
      <c r="AE256" s="271"/>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0.1678</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1</v>
      </c>
      <c r="Z260" s="157">
        <v>279</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2</v>
      </c>
      <c r="Z261" s="162">
        <f>+Z313</f>
        <v>220</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+X335</f>
        <v>0</v>
      </c>
      <c r="Z262" s="162">
        <f>+Z335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20</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'April 22'!Z267+Z266</f>
        <v>36</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1</v>
      </c>
      <c r="Z273" s="162">
        <v>204</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1.95</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261" t="s">
        <v>167</v>
      </c>
      <c r="Q277" s="182"/>
      <c r="R277" s="182"/>
      <c r="S277" s="182"/>
      <c r="T277" s="182"/>
      <c r="U277" s="182"/>
      <c r="V277" s="182"/>
      <c r="W277" s="59"/>
      <c r="X277" s="183"/>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 t="shared" ref="X280:X287" si="1">+X292+X304+X326</f>
        <v>1939</v>
      </c>
      <c r="Y280" s="192">
        <f>X280/$X$289</f>
        <v>0.99640287769784175</v>
      </c>
      <c r="Z280" s="107">
        <f t="shared" ref="Z280:Z287" si="2">+Z292+Z304+Z326</f>
        <v>346909</v>
      </c>
      <c r="AA280" s="192">
        <f t="shared" ref="AA280:AA287" si="3">Z280/$Z$289</f>
        <v>0.99507495138056257</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 t="shared" si="1"/>
        <v>0</v>
      </c>
      <c r="Y281" s="196">
        <f t="shared" ref="Y281:Y287" si="4">X281/$X$289</f>
        <v>0</v>
      </c>
      <c r="Z281" s="197">
        <f t="shared" si="2"/>
        <v>0</v>
      </c>
      <c r="AA281" s="198">
        <f t="shared" si="3"/>
        <v>0</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1"/>
        <v>0</v>
      </c>
      <c r="Y282" s="200">
        <f t="shared" si="4"/>
        <v>0</v>
      </c>
      <c r="Z282" s="131">
        <f t="shared" si="2"/>
        <v>0</v>
      </c>
      <c r="AA282" s="198">
        <f t="shared" si="3"/>
        <v>0</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1</v>
      </c>
      <c r="Y283" s="200">
        <f t="shared" si="4"/>
        <v>5.1387461459403907E-4</v>
      </c>
      <c r="Z283" s="131">
        <f t="shared" si="2"/>
        <v>275</v>
      </c>
      <c r="AA283" s="198">
        <f t="shared" si="3"/>
        <v>7.8881093205899729E-4</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0</v>
      </c>
      <c r="Y284" s="200">
        <f t="shared" si="4"/>
        <v>0</v>
      </c>
      <c r="Z284" s="131">
        <f t="shared" si="2"/>
        <v>0</v>
      </c>
      <c r="AA284" s="198">
        <f t="shared" si="3"/>
        <v>0</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1</v>
      </c>
      <c r="Y285" s="200">
        <f t="shared" si="4"/>
        <v>5.1387461459403907E-4</v>
      </c>
      <c r="Z285" s="131">
        <f t="shared" si="2"/>
        <v>443</v>
      </c>
      <c r="AA285" s="198">
        <f t="shared" si="3"/>
        <v>1.2707027014623121E-3</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1"/>
        <v>4</v>
      </c>
      <c r="Y286" s="202">
        <f t="shared" si="4"/>
        <v>2.0554984583761563E-3</v>
      </c>
      <c r="Z286" s="203">
        <f t="shared" si="2"/>
        <v>720</v>
      </c>
      <c r="AA286" s="198">
        <f t="shared" si="3"/>
        <v>2.0652504402999205E-3</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 t="shared" si="1"/>
        <v>1</v>
      </c>
      <c r="Y287" s="198">
        <f t="shared" si="4"/>
        <v>5.1387461459403907E-4</v>
      </c>
      <c r="Z287" s="107">
        <f t="shared" si="2"/>
        <v>279</v>
      </c>
      <c r="AA287" s="198">
        <f t="shared" si="3"/>
        <v>8.0028454561621915E-4</v>
      </c>
      <c r="AB287" s="163"/>
      <c r="AC287" s="306"/>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1946</v>
      </c>
      <c r="Y289" s="198">
        <f>SUM(Y280:Y288)</f>
        <v>1</v>
      </c>
      <c r="Z289" s="98">
        <f>SUM(Z280:Z288)</f>
        <v>348626</v>
      </c>
      <c r="AA289" s="198">
        <f>SUM(AA280:AA288)</f>
        <v>1</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1939</v>
      </c>
      <c r="Y292" s="192">
        <f>X292/$X$301</f>
        <v>0.99742798353909468</v>
      </c>
      <c r="Z292" s="107">
        <v>346909</v>
      </c>
      <c r="AA292" s="192">
        <f>Z292/$Z$301</f>
        <v>0.99570328869192837</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0</v>
      </c>
      <c r="Y293" s="198">
        <f t="shared" ref="Y293:Y299" si="5">X293/$X$301</f>
        <v>0</v>
      </c>
      <c r="Z293" s="98">
        <v>0</v>
      </c>
      <c r="AA293" s="198">
        <f t="shared" ref="AA293:AA299" si="6">Z293/$Z$301</f>
        <v>0</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5"/>
        <v>0</v>
      </c>
      <c r="Z294" s="98">
        <v>0</v>
      </c>
      <c r="AA294" s="198">
        <f t="shared" si="6"/>
        <v>0</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1</v>
      </c>
      <c r="Y295" s="198">
        <f t="shared" si="5"/>
        <v>5.1440329218107E-4</v>
      </c>
      <c r="Z295" s="98">
        <v>275</v>
      </c>
      <c r="AA295" s="198">
        <f t="shared" si="6"/>
        <v>7.8930902452885429E-4</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1</v>
      </c>
      <c r="Y297" s="198">
        <f t="shared" si="5"/>
        <v>5.1440329218107E-4</v>
      </c>
      <c r="Z297" s="98">
        <v>443</v>
      </c>
      <c r="AA297" s="198">
        <f t="shared" si="6"/>
        <v>1.2715050831501179E-3</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2</v>
      </c>
      <c r="Y298" s="198">
        <f>X298/$X$301</f>
        <v>1.02880658436214E-3</v>
      </c>
      <c r="Z298" s="98">
        <v>500</v>
      </c>
      <c r="AA298" s="198">
        <f t="shared" si="6"/>
        <v>1.4351073173251895E-3</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1</v>
      </c>
      <c r="Y299" s="198">
        <f t="shared" si="5"/>
        <v>5.1440329218107E-4</v>
      </c>
      <c r="Z299" s="98">
        <v>279</v>
      </c>
      <c r="AA299" s="198">
        <f t="shared" si="6"/>
        <v>8.0078988306745574E-4</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1944</v>
      </c>
      <c r="Y301" s="198">
        <f>SUM(Y292:Y300)</f>
        <v>1</v>
      </c>
      <c r="Z301" s="98">
        <f>SUM(Z292:Z300)</f>
        <v>348406</v>
      </c>
      <c r="AA301" s="198">
        <f>SUM(AA292:AA300)</f>
        <v>1</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f>X307/X313</f>
        <v>0</v>
      </c>
      <c r="Z307" s="98">
        <v>0</v>
      </c>
      <c r="AA307" s="198">
        <f>Z307/Z313</f>
        <v>0</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2</v>
      </c>
      <c r="Y310" s="198">
        <f>X310/X313</f>
        <v>1</v>
      </c>
      <c r="Z310" s="98">
        <v>220</v>
      </c>
      <c r="AA310" s="198">
        <f>Z310/Z313</f>
        <v>1</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2</v>
      </c>
      <c r="Y313" s="198">
        <f>SUM(Y304:Y312)</f>
        <v>1</v>
      </c>
      <c r="Z313" s="98">
        <f>SUM(Z304:Z312)</f>
        <v>220</v>
      </c>
      <c r="AA313" s="198">
        <f>SUM(AA304:AA312)</f>
        <v>1</v>
      </c>
      <c r="AB313" s="40"/>
      <c r="AC313" s="43"/>
      <c r="AD313" s="22"/>
    </row>
    <row r="314" spans="1:30" s="23" customFormat="1" x14ac:dyDescent="0.3">
      <c r="A314" s="47"/>
      <c r="B314" s="40"/>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c r="Y314" s="198"/>
      <c r="Z314" s="98"/>
      <c r="AA314" s="198"/>
      <c r="AB314" s="40"/>
      <c r="AC314" s="43"/>
      <c r="AD314" s="22"/>
    </row>
    <row r="315" spans="1:30" s="23" customFormat="1" x14ac:dyDescent="0.3">
      <c r="A315" s="242"/>
      <c r="B315" s="243" t="s">
        <v>330</v>
      </c>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62" t="s">
        <v>69</v>
      </c>
      <c r="Y315" s="263" t="s">
        <v>70</v>
      </c>
      <c r="Z315" s="262" t="s">
        <v>75</v>
      </c>
      <c r="AA315" s="263" t="s">
        <v>70</v>
      </c>
      <c r="AB315" s="243"/>
      <c r="AC315" s="243"/>
      <c r="AD315" s="22"/>
    </row>
    <row r="316" spans="1:30" s="23" customFormat="1" x14ac:dyDescent="0.3">
      <c r="A316" s="273"/>
      <c r="B316" s="274" t="s">
        <v>326</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302">
        <v>2</v>
      </c>
      <c r="Y316" s="303">
        <f>X316/X323</f>
        <v>1</v>
      </c>
      <c r="Z316" s="304">
        <v>220</v>
      </c>
      <c r="AA316" s="303">
        <f>Z316/Z323</f>
        <v>1</v>
      </c>
      <c r="AB316" s="40"/>
      <c r="AC316" s="43"/>
      <c r="AD316" s="22"/>
    </row>
    <row r="317" spans="1:30" s="23" customFormat="1" x14ac:dyDescent="0.3">
      <c r="A317" s="273"/>
      <c r="B317" s="274" t="s">
        <v>327</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302">
        <v>0</v>
      </c>
      <c r="Y317" s="303">
        <v>0</v>
      </c>
      <c r="Z317" s="304">
        <v>0</v>
      </c>
      <c r="AA317" s="303">
        <v>0</v>
      </c>
      <c r="AB317" s="40"/>
      <c r="AC317" s="43"/>
      <c r="AD317" s="22"/>
    </row>
    <row r="318" spans="1:30" s="23" customFormat="1" x14ac:dyDescent="0.3">
      <c r="A318" s="273"/>
      <c r="B318" s="274" t="s">
        <v>328</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302">
        <v>0</v>
      </c>
      <c r="Y318" s="303">
        <v>0</v>
      </c>
      <c r="Z318" s="304">
        <v>0</v>
      </c>
      <c r="AA318" s="303">
        <v>0</v>
      </c>
      <c r="AB318" s="40"/>
      <c r="AC318" s="43"/>
      <c r="AD318" s="22"/>
    </row>
    <row r="319" spans="1:30" s="23" customFormat="1" x14ac:dyDescent="0.3">
      <c r="A319" s="273"/>
      <c r="B319" s="274" t="s">
        <v>329</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302">
        <v>0</v>
      </c>
      <c r="Y319" s="303">
        <v>0</v>
      </c>
      <c r="Z319" s="304">
        <v>0</v>
      </c>
      <c r="AA319" s="303">
        <v>0</v>
      </c>
      <c r="AB319" s="40"/>
      <c r="AC319" s="43"/>
      <c r="AD319" s="22"/>
    </row>
    <row r="320" spans="1:30" s="23" customFormat="1" x14ac:dyDescent="0.3">
      <c r="A320" s="273"/>
      <c r="B320" s="274" t="s">
        <v>334</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302">
        <v>0</v>
      </c>
      <c r="Y320" s="303">
        <v>0</v>
      </c>
      <c r="Z320" s="304">
        <v>0</v>
      </c>
      <c r="AA320" s="303">
        <v>0</v>
      </c>
      <c r="AB320" s="40"/>
      <c r="AC320" s="43"/>
      <c r="AD320" s="22"/>
    </row>
    <row r="321" spans="1:30" s="23" customFormat="1" x14ac:dyDescent="0.3">
      <c r="A321" s="273"/>
      <c r="B321" s="275" t="s">
        <v>331</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302">
        <v>0</v>
      </c>
      <c r="Y321" s="303">
        <v>0</v>
      </c>
      <c r="Z321" s="304">
        <v>0</v>
      </c>
      <c r="AA321" s="303">
        <v>0</v>
      </c>
      <c r="AB321" s="40"/>
      <c r="AC321" s="43"/>
      <c r="AD321" s="22"/>
    </row>
    <row r="322" spans="1:30" s="23" customFormat="1" x14ac:dyDescent="0.3">
      <c r="A322" s="273"/>
      <c r="B322" s="274"/>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276"/>
      <c r="Y322" s="277"/>
      <c r="Z322" s="278"/>
      <c r="AA322" s="277"/>
      <c r="AB322" s="40"/>
      <c r="AC322" s="43"/>
      <c r="AD322" s="22"/>
    </row>
    <row r="323" spans="1:30" s="23" customFormat="1" x14ac:dyDescent="0.3">
      <c r="A323" s="273"/>
      <c r="B323" s="274" t="s">
        <v>80</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f>SUM(X316:X322)</f>
        <v>2</v>
      </c>
      <c r="Y323" s="277">
        <f>SUM(Y316:Y321)</f>
        <v>1</v>
      </c>
      <c r="Z323" s="278">
        <f>SUM(Z316:Z321)</f>
        <v>220</v>
      </c>
      <c r="AA323" s="277">
        <f>SUM(AA316:AA322)</f>
        <v>1</v>
      </c>
      <c r="AB323" s="40"/>
      <c r="AC323" s="43"/>
      <c r="AD323" s="22"/>
    </row>
    <row r="324" spans="1:30" x14ac:dyDescent="0.3">
      <c r="A324" s="7"/>
      <c r="B324" s="99"/>
      <c r="C324" s="99"/>
      <c r="D324" s="205"/>
      <c r="E324" s="205"/>
      <c r="F324" s="205"/>
      <c r="G324" s="205"/>
      <c r="H324" s="205"/>
      <c r="I324" s="205"/>
      <c r="J324" s="205"/>
      <c r="K324" s="205"/>
      <c r="L324" s="205"/>
      <c r="M324" s="205"/>
      <c r="N324" s="205"/>
      <c r="O324" s="205"/>
      <c r="P324" s="205"/>
      <c r="Q324" s="205"/>
      <c r="R324" s="205"/>
      <c r="S324" s="205"/>
      <c r="T324" s="205"/>
      <c r="U324" s="205"/>
      <c r="V324" s="205"/>
      <c r="W324" s="205"/>
      <c r="X324" s="100"/>
      <c r="Y324" s="206"/>
      <c r="Z324" s="207"/>
      <c r="AA324" s="206"/>
      <c r="AB324" s="99"/>
      <c r="AC324" s="10"/>
      <c r="AD324" s="5"/>
    </row>
    <row r="325" spans="1:30" x14ac:dyDescent="0.3">
      <c r="A325" s="33"/>
      <c r="B325" s="102" t="s">
        <v>106</v>
      </c>
      <c r="C325" s="34"/>
      <c r="D325" s="208"/>
      <c r="E325" s="208"/>
      <c r="F325" s="208"/>
      <c r="G325" s="208"/>
      <c r="H325" s="208"/>
      <c r="I325" s="208"/>
      <c r="J325" s="208"/>
      <c r="K325" s="208"/>
      <c r="L325" s="208"/>
      <c r="M325" s="208"/>
      <c r="N325" s="208"/>
      <c r="O325" s="208"/>
      <c r="P325" s="208"/>
      <c r="Q325" s="208"/>
      <c r="R325" s="208"/>
      <c r="S325" s="208"/>
      <c r="T325" s="208"/>
      <c r="U325" s="208"/>
      <c r="V325" s="208"/>
      <c r="W325" s="208"/>
      <c r="X325" s="154" t="s">
        <v>69</v>
      </c>
      <c r="Y325" s="103" t="s">
        <v>70</v>
      </c>
      <c r="Z325" s="154" t="s">
        <v>75</v>
      </c>
      <c r="AA325" s="103" t="s">
        <v>70</v>
      </c>
      <c r="AB325" s="34"/>
      <c r="AC325" s="36"/>
      <c r="AD325" s="5"/>
    </row>
    <row r="326" spans="1:30" s="23" customFormat="1" x14ac:dyDescent="0.3">
      <c r="A326" s="18"/>
      <c r="B326" s="106" t="s">
        <v>59</v>
      </c>
      <c r="C326" s="37"/>
      <c r="D326" s="209"/>
      <c r="E326" s="209"/>
      <c r="F326" s="209"/>
      <c r="G326" s="209"/>
      <c r="H326" s="209"/>
      <c r="I326" s="209"/>
      <c r="J326" s="209"/>
      <c r="K326" s="209"/>
      <c r="L326" s="209"/>
      <c r="M326" s="209"/>
      <c r="N326" s="209"/>
      <c r="O326" s="209"/>
      <c r="P326" s="209"/>
      <c r="Q326" s="209"/>
      <c r="R326" s="209"/>
      <c r="S326" s="209"/>
      <c r="T326" s="209"/>
      <c r="U326" s="209"/>
      <c r="V326" s="209"/>
      <c r="W326" s="209"/>
      <c r="X326" s="106">
        <v>0</v>
      </c>
      <c r="Y326" s="192">
        <v>0</v>
      </c>
      <c r="Z326" s="107">
        <v>0</v>
      </c>
      <c r="AA326" s="192">
        <v>0</v>
      </c>
      <c r="AB326" s="37"/>
      <c r="AC326" s="21"/>
      <c r="AD326" s="22"/>
    </row>
    <row r="327" spans="1:30" s="23" customFormat="1" x14ac:dyDescent="0.3">
      <c r="A327" s="47"/>
      <c r="B327" s="97" t="s">
        <v>60</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61</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100</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101</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102</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103</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104</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c r="Y334" s="198"/>
      <c r="Z334" s="98"/>
      <c r="AA334" s="198"/>
      <c r="AB334" s="40"/>
      <c r="AC334" s="43"/>
      <c r="AD334" s="22"/>
    </row>
    <row r="335" spans="1:30" s="23" customFormat="1" x14ac:dyDescent="0.3">
      <c r="A335" s="47"/>
      <c r="B335" s="40" t="s">
        <v>80</v>
      </c>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f>SUM(X326:X333)</f>
        <v>0</v>
      </c>
      <c r="Y335" s="198">
        <f>SUM(Y326:Y333)</f>
        <v>0</v>
      </c>
      <c r="Z335" s="98">
        <f>SUM(Z326:Z333)</f>
        <v>0</v>
      </c>
      <c r="AA335" s="198">
        <f>SUM(AA326:AA333)</f>
        <v>0</v>
      </c>
      <c r="AB335" s="40"/>
      <c r="AC335" s="43"/>
      <c r="AD335" s="22"/>
    </row>
    <row r="336" spans="1:30" s="23" customFormat="1" x14ac:dyDescent="0.3">
      <c r="A336" s="47"/>
      <c r="B336" s="40"/>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c r="Y336" s="198"/>
      <c r="Z336" s="98"/>
      <c r="AA336" s="198"/>
      <c r="AB336" s="40"/>
      <c r="AC336" s="43"/>
      <c r="AD336" s="22"/>
    </row>
    <row r="337" spans="1:30" s="23" customFormat="1" x14ac:dyDescent="0.3">
      <c r="A337" s="47"/>
      <c r="B337" s="44" t="s">
        <v>139</v>
      </c>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210">
        <f>X335+X313+X301</f>
        <v>1946</v>
      </c>
      <c r="Y337" s="198"/>
      <c r="Z337" s="211">
        <f>+Z335+Z313+Z301</f>
        <v>348626</v>
      </c>
      <c r="AA337" s="198"/>
      <c r="AB337" s="40"/>
      <c r="AC337" s="43"/>
      <c r="AD337" s="22"/>
    </row>
    <row r="338" spans="1:30" s="23" customFormat="1" x14ac:dyDescent="0.3">
      <c r="A338" s="47"/>
      <c r="B338" s="44" t="s">
        <v>304</v>
      </c>
      <c r="C338" s="44"/>
      <c r="D338" s="212"/>
      <c r="E338" s="212"/>
      <c r="F338" s="212"/>
      <c r="G338" s="212"/>
      <c r="H338" s="212"/>
      <c r="I338" s="212"/>
      <c r="J338" s="212"/>
      <c r="K338" s="212"/>
      <c r="L338" s="212"/>
      <c r="M338" s="212"/>
      <c r="N338" s="212"/>
      <c r="O338" s="212"/>
      <c r="P338" s="212"/>
      <c r="Q338" s="212"/>
      <c r="R338" s="212"/>
      <c r="S338" s="212"/>
      <c r="T338" s="212"/>
      <c r="U338" s="212"/>
      <c r="V338" s="212"/>
      <c r="W338" s="212"/>
      <c r="X338" s="210"/>
      <c r="Y338" s="213"/>
      <c r="Z338" s="211">
        <f>+AB65+AB64</f>
        <v>2</v>
      </c>
      <c r="AA338" s="198"/>
      <c r="AB338" s="40"/>
      <c r="AC338" s="43"/>
      <c r="AD338" s="22"/>
    </row>
    <row r="339" spans="1:30" s="23" customFormat="1" x14ac:dyDescent="0.3">
      <c r="A339" s="47"/>
      <c r="B339" s="44" t="s">
        <v>107</v>
      </c>
      <c r="C339" s="44"/>
      <c r="D339" s="212"/>
      <c r="E339" s="212"/>
      <c r="F339" s="212"/>
      <c r="G339" s="212"/>
      <c r="H339" s="212"/>
      <c r="I339" s="212"/>
      <c r="J339" s="212"/>
      <c r="K339" s="212"/>
      <c r="L339" s="212"/>
      <c r="M339" s="212"/>
      <c r="N339" s="212"/>
      <c r="O339" s="212"/>
      <c r="P339" s="212"/>
      <c r="Q339" s="212"/>
      <c r="R339" s="212"/>
      <c r="S339" s="212"/>
      <c r="T339" s="212"/>
      <c r="U339" s="212"/>
      <c r="V339" s="212"/>
      <c r="W339" s="212"/>
      <c r="X339" s="210"/>
      <c r="Y339" s="213"/>
      <c r="Z339" s="211">
        <f>+Z337+Z338</f>
        <v>348628</v>
      </c>
      <c r="AA339" s="198"/>
      <c r="AB339" s="40"/>
      <c r="AC339" s="43"/>
      <c r="AD339" s="22"/>
    </row>
    <row r="340" spans="1:30" s="23" customFormat="1" x14ac:dyDescent="0.3">
      <c r="A340" s="47"/>
      <c r="B340" s="44" t="s">
        <v>237</v>
      </c>
      <c r="C340" s="40"/>
      <c r="D340" s="204"/>
      <c r="E340" s="204"/>
      <c r="F340" s="204"/>
      <c r="G340" s="204"/>
      <c r="H340" s="204"/>
      <c r="I340" s="204"/>
      <c r="J340" s="204"/>
      <c r="K340" s="204"/>
      <c r="L340" s="204"/>
      <c r="M340" s="204"/>
      <c r="N340" s="204"/>
      <c r="O340" s="204"/>
      <c r="P340" s="204"/>
      <c r="Q340" s="204"/>
      <c r="R340" s="204"/>
      <c r="S340" s="204"/>
      <c r="T340" s="204"/>
      <c r="U340" s="204"/>
      <c r="V340" s="204"/>
      <c r="W340" s="204"/>
      <c r="X340" s="210"/>
      <c r="Y340" s="198"/>
      <c r="Z340" s="211">
        <f>+AB67</f>
        <v>348628</v>
      </c>
      <c r="AA340" s="198"/>
      <c r="AB340" s="40"/>
      <c r="AC340" s="43"/>
      <c r="AD340" s="22"/>
    </row>
    <row r="341" spans="1:30" s="23" customFormat="1" x14ac:dyDescent="0.3">
      <c r="A341" s="47"/>
      <c r="B341" s="44"/>
      <c r="C341" s="40"/>
      <c r="D341" s="204"/>
      <c r="E341" s="204"/>
      <c r="F341" s="204"/>
      <c r="G341" s="204"/>
      <c r="H341" s="204"/>
      <c r="I341" s="204"/>
      <c r="J341" s="204"/>
      <c r="K341" s="204"/>
      <c r="L341" s="204"/>
      <c r="M341" s="204"/>
      <c r="N341" s="204"/>
      <c r="O341" s="204"/>
      <c r="P341" s="204"/>
      <c r="Q341" s="204"/>
      <c r="R341" s="204"/>
      <c r="S341" s="204"/>
      <c r="T341" s="204"/>
      <c r="U341" s="204"/>
      <c r="V341" s="204"/>
      <c r="W341" s="204"/>
      <c r="X341" s="210"/>
      <c r="Y341" s="198"/>
      <c r="Z341" s="211"/>
      <c r="AA341" s="198"/>
      <c r="AB341" s="40"/>
      <c r="AC341" s="43"/>
      <c r="AD341" s="22"/>
    </row>
    <row r="342" spans="1:30" s="23" customFormat="1" x14ac:dyDescent="0.3">
      <c r="A342" s="47"/>
      <c r="B342" s="44" t="s">
        <v>305</v>
      </c>
      <c r="C342" s="40"/>
      <c r="D342" s="204"/>
      <c r="E342" s="204"/>
      <c r="F342" s="204"/>
      <c r="G342" s="204"/>
      <c r="H342" s="204"/>
      <c r="I342" s="204"/>
      <c r="J342" s="204"/>
      <c r="K342" s="204"/>
      <c r="L342" s="204"/>
      <c r="M342" s="204"/>
      <c r="N342" s="204"/>
      <c r="O342" s="204"/>
      <c r="P342" s="204"/>
      <c r="Q342" s="204"/>
      <c r="R342" s="204"/>
      <c r="S342" s="204"/>
      <c r="T342" s="204"/>
      <c r="U342" s="204"/>
      <c r="V342" s="204"/>
      <c r="W342" s="204"/>
      <c r="X342" s="210"/>
      <c r="Y342" s="198"/>
      <c r="Z342" s="236">
        <f>(D31*0.05+F31+H31+J31+L31+N31)/AB31</f>
        <v>0.69048542219332543</v>
      </c>
      <c r="AA342" s="198"/>
      <c r="AB342" s="40"/>
      <c r="AC342" s="43"/>
      <c r="AD342" s="22"/>
    </row>
    <row r="343" spans="1:30" s="23" customFormat="1" x14ac:dyDescent="0.3">
      <c r="A343" s="18"/>
      <c r="B343" s="20"/>
      <c r="C343" s="20"/>
      <c r="D343" s="214"/>
      <c r="E343" s="214"/>
      <c r="F343" s="214"/>
      <c r="G343" s="214"/>
      <c r="H343" s="214"/>
      <c r="I343" s="214"/>
      <c r="J343" s="214"/>
      <c r="K343" s="214"/>
      <c r="L343" s="214"/>
      <c r="M343" s="214"/>
      <c r="N343" s="214"/>
      <c r="O343" s="214"/>
      <c r="P343" s="214"/>
      <c r="Q343" s="214"/>
      <c r="R343" s="214"/>
      <c r="S343" s="214"/>
      <c r="T343" s="214"/>
      <c r="U343" s="214"/>
      <c r="V343" s="214"/>
      <c r="W343" s="214"/>
      <c r="X343" s="214"/>
      <c r="Y343" s="214"/>
      <c r="Z343" s="215"/>
      <c r="AA343" s="214"/>
      <c r="AB343" s="20"/>
      <c r="AC343" s="21"/>
      <c r="AD343" s="22"/>
    </row>
    <row r="344" spans="1:30" s="23" customFormat="1" x14ac:dyDescent="0.3">
      <c r="A344" s="18"/>
      <c r="B344" s="19" t="s">
        <v>62</v>
      </c>
      <c r="C344" s="20"/>
      <c r="D344" s="216" t="s">
        <v>66</v>
      </c>
      <c r="E344" s="19"/>
      <c r="F344" s="19" t="s">
        <v>67</v>
      </c>
      <c r="G344" s="20"/>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s="23" customFormat="1" x14ac:dyDescent="0.3">
      <c r="A345" s="18"/>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s="23" customFormat="1" x14ac:dyDescent="0.3">
      <c r="A346" s="18"/>
      <c r="B346" s="19" t="s">
        <v>152</v>
      </c>
      <c r="C346" s="19"/>
      <c r="D346" s="217" t="s">
        <v>122</v>
      </c>
      <c r="E346" s="19"/>
      <c r="F346" s="19" t="s">
        <v>168</v>
      </c>
      <c r="G346" s="19"/>
      <c r="H346" s="19"/>
      <c r="I346" s="20"/>
      <c r="J346" s="20"/>
      <c r="K346" s="20"/>
      <c r="L346" s="20"/>
      <c r="M346" s="20"/>
      <c r="N346" s="20"/>
      <c r="O346" s="20"/>
      <c r="P346" s="20"/>
      <c r="Q346" s="20"/>
      <c r="R346" s="20"/>
      <c r="S346" s="20"/>
      <c r="T346" s="20"/>
      <c r="U346" s="20"/>
      <c r="V346" s="20"/>
      <c r="W346" s="20"/>
      <c r="X346" s="20"/>
      <c r="Y346" s="20"/>
      <c r="Z346" s="20"/>
      <c r="AA346" s="20"/>
      <c r="AB346" s="20"/>
      <c r="AC346" s="21"/>
      <c r="AD346" s="22"/>
    </row>
    <row r="347" spans="1:30" s="23" customFormat="1" x14ac:dyDescent="0.3">
      <c r="A347" s="18"/>
      <c r="B347" s="19" t="s">
        <v>153</v>
      </c>
      <c r="C347" s="19"/>
      <c r="D347" s="217" t="s">
        <v>98</v>
      </c>
      <c r="E347" s="19"/>
      <c r="F347" s="19" t="s">
        <v>169</v>
      </c>
      <c r="G347" s="19"/>
      <c r="H347" s="19"/>
      <c r="I347" s="20"/>
      <c r="J347" s="20"/>
      <c r="K347" s="20"/>
      <c r="L347" s="20"/>
      <c r="M347" s="20"/>
      <c r="N347" s="20"/>
      <c r="O347" s="20"/>
      <c r="P347" s="20"/>
      <c r="Q347" s="20"/>
      <c r="R347" s="20"/>
      <c r="S347" s="20"/>
      <c r="T347" s="20"/>
      <c r="U347" s="20"/>
      <c r="V347" s="20"/>
      <c r="W347" s="20"/>
      <c r="X347" s="20"/>
      <c r="Y347" s="20"/>
      <c r="Z347" s="20"/>
      <c r="AA347" s="20"/>
      <c r="AB347" s="20"/>
      <c r="AC347" s="21"/>
      <c r="AD347" s="22"/>
    </row>
    <row r="348" spans="1:30" x14ac:dyDescent="0.3">
      <c r="A348" s="218"/>
      <c r="B348" s="258"/>
      <c r="C348" s="219"/>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c r="AA348" s="220"/>
      <c r="AB348" s="220"/>
      <c r="AC348" s="221"/>
      <c r="AD348" s="5"/>
    </row>
    <row r="349" spans="1:30" ht="18" x14ac:dyDescent="0.35">
      <c r="A349" s="218"/>
      <c r="B349" s="259" t="s">
        <v>109</v>
      </c>
      <c r="C349" s="219"/>
      <c r="D349" s="220"/>
      <c r="E349" s="220"/>
      <c r="F349" s="220"/>
      <c r="G349" s="220"/>
      <c r="H349" s="220"/>
      <c r="I349" s="220"/>
      <c r="J349" s="220"/>
      <c r="K349" s="220"/>
      <c r="L349" s="220"/>
      <c r="M349" s="220"/>
      <c r="N349" s="220"/>
      <c r="O349" s="220"/>
      <c r="P349" s="260" t="s">
        <v>167</v>
      </c>
      <c r="Q349" s="220"/>
      <c r="R349" s="220"/>
      <c r="S349" s="220"/>
      <c r="T349" s="220"/>
      <c r="U349" s="220"/>
      <c r="V349" s="220"/>
      <c r="W349" s="220"/>
      <c r="X349" s="220"/>
      <c r="Y349" s="220"/>
      <c r="Z349" s="220"/>
      <c r="AA349" s="220"/>
      <c r="AB349" s="220"/>
      <c r="AC349" s="221"/>
      <c r="AD349" s="5"/>
    </row>
    <row r="350" spans="1:30" ht="18" x14ac:dyDescent="0.35">
      <c r="A350" s="218"/>
      <c r="B350" s="259"/>
      <c r="C350" s="219"/>
      <c r="D350" s="220"/>
      <c r="E350" s="220"/>
      <c r="F350" s="220"/>
      <c r="G350" s="220"/>
      <c r="H350" s="220"/>
      <c r="I350" s="220"/>
      <c r="J350" s="220"/>
      <c r="K350" s="220"/>
      <c r="L350" s="220"/>
      <c r="M350" s="220"/>
      <c r="N350" s="220"/>
      <c r="O350" s="220"/>
      <c r="P350" s="260"/>
      <c r="Q350" s="220"/>
      <c r="R350" s="220"/>
      <c r="S350" s="220"/>
      <c r="T350" s="220"/>
      <c r="U350" s="220"/>
      <c r="V350" s="220"/>
      <c r="W350" s="220"/>
      <c r="X350" s="220"/>
      <c r="Y350" s="220"/>
      <c r="Z350" s="220"/>
      <c r="AA350" s="220"/>
      <c r="AB350" s="220"/>
      <c r="AC350" s="221"/>
      <c r="AD350" s="5"/>
    </row>
    <row r="351" spans="1:30" ht="18.600000000000001" thickBot="1" x14ac:dyDescent="0.4">
      <c r="A351" s="218"/>
      <c r="B351" s="222" t="str">
        <f>B237</f>
        <v>PM26 INVESTOR REPORT QUARTER ENDING JULY 2022</v>
      </c>
      <c r="C351" s="219"/>
      <c r="D351" s="220"/>
      <c r="E351" s="220"/>
      <c r="F351" s="220"/>
      <c r="G351" s="220"/>
      <c r="H351" s="220"/>
      <c r="I351" s="220"/>
      <c r="J351" s="220"/>
      <c r="K351" s="220"/>
      <c r="L351" s="220"/>
      <c r="M351" s="220"/>
      <c r="N351" s="220"/>
      <c r="O351" s="220"/>
      <c r="P351" s="220"/>
      <c r="Q351" s="220"/>
      <c r="R351" s="220"/>
      <c r="S351" s="220"/>
      <c r="T351" s="220"/>
      <c r="U351" s="220"/>
      <c r="V351" s="220"/>
      <c r="W351" s="220"/>
      <c r="X351" s="220"/>
      <c r="Y351" s="220"/>
      <c r="Z351" s="220"/>
      <c r="AA351" s="220"/>
      <c r="AB351" s="220"/>
      <c r="AC351" s="223"/>
      <c r="AD351" s="5"/>
    </row>
    <row r="352" spans="1:30" x14ac:dyDescent="0.3">
      <c r="A352" s="224"/>
      <c r="B352" s="224"/>
      <c r="C352" s="224"/>
      <c r="D352" s="224"/>
      <c r="E352" s="224"/>
      <c r="F352" s="224"/>
      <c r="G352" s="224"/>
      <c r="H352" s="224"/>
      <c r="I352" s="224"/>
      <c r="J352" s="224"/>
      <c r="K352" s="224"/>
      <c r="L352" s="224"/>
      <c r="M352" s="224"/>
      <c r="N352" s="224"/>
      <c r="O352" s="224"/>
      <c r="P352" s="224"/>
      <c r="Q352" s="224"/>
      <c r="R352" s="224"/>
      <c r="S352" s="224"/>
      <c r="T352" s="224"/>
      <c r="U352" s="224"/>
      <c r="V352" s="224"/>
      <c r="W352" s="224"/>
      <c r="X352" s="224"/>
      <c r="Y352" s="224"/>
      <c r="Z352" s="224"/>
      <c r="AA352" s="224"/>
      <c r="AB352" s="224"/>
      <c r="AC352" s="224"/>
    </row>
    <row r="353" spans="2:2" x14ac:dyDescent="0.3">
      <c r="B353" s="6" t="s">
        <v>374</v>
      </c>
    </row>
    <row r="354" spans="2:2" x14ac:dyDescent="0.3">
      <c r="B354" s="271"/>
    </row>
    <row r="355" spans="2:2" x14ac:dyDescent="0.3">
      <c r="B355" s="279" t="s">
        <v>354</v>
      </c>
    </row>
    <row r="356" spans="2:2" x14ac:dyDescent="0.3">
      <c r="B356" s="270" t="s">
        <v>352</v>
      </c>
    </row>
    <row r="357" spans="2:2" x14ac:dyDescent="0.3">
      <c r="B357" s="300" t="s">
        <v>353</v>
      </c>
    </row>
  </sheetData>
  <hyperlinks>
    <hyperlink ref="K9" r:id="rId1" display="http://www.paragon-group.co.uk" xr:uid="{3FB5A212-9CF7-4B91-B7FD-95741C75FD48}"/>
    <hyperlink ref="P349" r:id="rId2" xr:uid="{AE0BD0CE-7F34-4930-85F3-DFC552205557}"/>
    <hyperlink ref="P277" r:id="rId3" xr:uid="{ECFA8DB0-A7DD-4FCA-A174-E78EED57908E}"/>
    <hyperlink ref="B357" r:id="rId4" display="https://investorreporting.paragonbankinggroup.co.uk/bondinvestor_viewer/resources/bondinvestor/pdf/investornews/2021/libor-mortgages-transition-july-19" xr:uid="{E1F93CF6-DA65-4625-983C-B4528AC38B18}"/>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7" max="18" man="1"/>
  </rowBreaks>
  <colBreaks count="1" manualBreakCount="1">
    <brk id="29" max="299" man="1"/>
  </colBreaks>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E3696-842E-4B3A-8655-EB5BDDBC5453}">
  <sheetPr>
    <tabColor rgb="FF89CB31"/>
  </sheetPr>
  <dimension ref="A1:JB358"/>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0.29798628762665264</v>
      </c>
      <c r="Z17" s="29" t="s">
        <v>258</v>
      </c>
      <c r="AA17" s="29">
        <v>0.70201371237334742</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44887</v>
      </c>
      <c r="AC19" s="21"/>
      <c r="AD19" s="22"/>
    </row>
    <row r="20" spans="1:33" s="23" customFormat="1" x14ac:dyDescent="0.3">
      <c r="A20" s="18"/>
      <c r="B20" s="20"/>
      <c r="C20" s="20"/>
      <c r="D20" s="308"/>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307"/>
      <c r="E21" s="20"/>
      <c r="F21" s="287"/>
      <c r="G21" s="20"/>
      <c r="H21" s="309"/>
      <c r="I21" s="20"/>
      <c r="J21" s="308"/>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213</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214</v>
      </c>
      <c r="I27" s="229"/>
      <c r="J27" s="229" t="s">
        <v>215</v>
      </c>
      <c r="K27" s="229"/>
      <c r="L27" s="229" t="s">
        <v>365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113585.60691</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5571.0933400000004</v>
      </c>
      <c r="Q30" s="54"/>
      <c r="R30" s="54">
        <v>0</v>
      </c>
      <c r="S30" s="54"/>
      <c r="T30" s="54" t="s">
        <v>83</v>
      </c>
      <c r="U30" s="54"/>
      <c r="V30" s="54" t="s">
        <v>83</v>
      </c>
      <c r="W30" s="54"/>
      <c r="X30" s="54" t="s">
        <v>83</v>
      </c>
      <c r="Y30" s="54" t="s">
        <v>83</v>
      </c>
      <c r="Z30" s="54"/>
      <c r="AA30" s="49"/>
      <c r="AB30" s="50">
        <f>SUM(D30:N30)-1</f>
        <v>348627.60690999997</v>
      </c>
      <c r="AC30" s="51"/>
      <c r="AD30" s="22"/>
    </row>
    <row r="31" spans="1:33" s="23" customFormat="1" x14ac:dyDescent="0.3">
      <c r="A31" s="47"/>
      <c r="B31" s="44" t="s">
        <v>92</v>
      </c>
      <c r="C31" s="49"/>
      <c r="D31" s="57">
        <f>D29*D32</f>
        <v>55920.365980000002</v>
      </c>
      <c r="E31" s="57"/>
      <c r="F31" s="57">
        <f>F29</f>
        <v>151540</v>
      </c>
      <c r="G31" s="57"/>
      <c r="H31" s="57">
        <f>H29</f>
        <v>24741</v>
      </c>
      <c r="I31" s="57"/>
      <c r="J31" s="57">
        <f>J29</f>
        <v>18555</v>
      </c>
      <c r="K31" s="57"/>
      <c r="L31" s="57">
        <f>L29</f>
        <v>20102</v>
      </c>
      <c r="M31" s="57"/>
      <c r="N31" s="57">
        <f>N29</f>
        <v>20105</v>
      </c>
      <c r="O31" s="57"/>
      <c r="P31" s="57">
        <f>P29*P32</f>
        <v>4927.9069399999998</v>
      </c>
      <c r="Q31" s="57"/>
      <c r="R31" s="57">
        <v>0</v>
      </c>
      <c r="S31" s="57"/>
      <c r="T31" s="57" t="s">
        <v>83</v>
      </c>
      <c r="U31" s="57"/>
      <c r="V31" s="57" t="s">
        <v>83</v>
      </c>
      <c r="W31" s="57"/>
      <c r="X31" s="57" t="s">
        <v>83</v>
      </c>
      <c r="Y31" s="57" t="s">
        <v>83</v>
      </c>
      <c r="Z31" s="57"/>
      <c r="AA31" s="49"/>
      <c r="AB31" s="56">
        <f>SUM(D31:N31)</f>
        <v>290963.36598</v>
      </c>
      <c r="AC31" s="51"/>
      <c r="AD31" s="22"/>
      <c r="AE31" s="235"/>
    </row>
    <row r="32" spans="1:33" s="65" customFormat="1" x14ac:dyDescent="0.3">
      <c r="A32" s="58"/>
      <c r="B32" s="166" t="s">
        <v>88</v>
      </c>
      <c r="C32" s="61"/>
      <c r="D32" s="60">
        <v>0.14582000000000001</v>
      </c>
      <c r="E32" s="60"/>
      <c r="F32" s="60">
        <v>1</v>
      </c>
      <c r="G32" s="60"/>
      <c r="H32" s="60">
        <v>1</v>
      </c>
      <c r="I32" s="60"/>
      <c r="J32" s="60">
        <v>1</v>
      </c>
      <c r="K32" s="60"/>
      <c r="L32" s="60">
        <v>1</v>
      </c>
      <c r="M32" s="60"/>
      <c r="N32" s="60">
        <v>1</v>
      </c>
      <c r="O32" s="60"/>
      <c r="P32" s="60">
        <v>0.48421999999999998</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0.29619000000000001</v>
      </c>
      <c r="E33" s="60"/>
      <c r="F33" s="60">
        <v>1</v>
      </c>
      <c r="G33" s="60"/>
      <c r="H33" s="60">
        <v>1</v>
      </c>
      <c r="I33" s="60"/>
      <c r="J33" s="60">
        <v>1</v>
      </c>
      <c r="K33" s="60"/>
      <c r="L33" s="60">
        <v>1</v>
      </c>
      <c r="M33" s="60"/>
      <c r="N33" s="60">
        <v>1</v>
      </c>
      <c r="O33" s="60"/>
      <c r="P33" s="60">
        <v>0.54742000000000002</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3.03906E-2</v>
      </c>
      <c r="E35" s="241"/>
      <c r="F35" s="241">
        <v>3.1890599999999998E-2</v>
      </c>
      <c r="G35" s="241"/>
      <c r="H35" s="241">
        <v>3.8890599999999997E-2</v>
      </c>
      <c r="I35" s="241"/>
      <c r="J35" s="241">
        <v>4.2390600000000001E-2</v>
      </c>
      <c r="K35" s="241"/>
      <c r="L35" s="241">
        <v>4.5890599999999997E-2</v>
      </c>
      <c r="M35" s="241"/>
      <c r="N35" s="241">
        <v>5.5890599999999999E-2</v>
      </c>
      <c r="O35" s="241"/>
      <c r="P35" s="241">
        <v>5.9890600000000002E-2</v>
      </c>
      <c r="Q35" s="241"/>
      <c r="R35" s="241">
        <v>5.9890600000000002E-2</v>
      </c>
      <c r="S35" s="68"/>
      <c r="T35" s="68" t="s">
        <v>83</v>
      </c>
      <c r="U35" s="68"/>
      <c r="V35" s="68" t="s">
        <v>83</v>
      </c>
      <c r="W35" s="68"/>
      <c r="X35" s="68" t="s">
        <v>83</v>
      </c>
      <c r="Y35" s="68" t="s">
        <v>83</v>
      </c>
      <c r="Z35" s="68"/>
      <c r="AA35" s="40"/>
      <c r="AB35" s="67">
        <f>SUMPRODUCT(D35:N35,D30:N30)/AB30</f>
        <v>3.4648889823224602E-2</v>
      </c>
      <c r="AC35" s="43"/>
      <c r="AD35" s="22"/>
    </row>
    <row r="36" spans="1:30" s="23" customFormat="1" x14ac:dyDescent="0.3">
      <c r="A36" s="47"/>
      <c r="B36" s="40" t="s">
        <v>10</v>
      </c>
      <c r="C36" s="69"/>
      <c r="D36" s="241">
        <v>2.1589299999999999E-2</v>
      </c>
      <c r="E36" s="241"/>
      <c r="F36" s="241">
        <v>2.30893E-2</v>
      </c>
      <c r="G36" s="241"/>
      <c r="H36" s="241">
        <v>3.0089299999999999E-2</v>
      </c>
      <c r="I36" s="241"/>
      <c r="J36" s="241">
        <v>3.3589300000000002E-2</v>
      </c>
      <c r="K36" s="241"/>
      <c r="L36" s="241">
        <v>3.7089299999999999E-2</v>
      </c>
      <c r="M36" s="241"/>
      <c r="N36" s="241">
        <v>4.7089300000000001E-2</v>
      </c>
      <c r="O36" s="241"/>
      <c r="P36" s="241">
        <v>5.1089299999999997E-2</v>
      </c>
      <c r="Q36" s="241"/>
      <c r="R36" s="241">
        <v>5.1089299999999997E-2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0.40250097702059401</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44880</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91</v>
      </c>
      <c r="Y48" s="40"/>
      <c r="Z48" s="76">
        <v>44697</v>
      </c>
      <c r="AA48" s="77"/>
      <c r="AB48" s="76">
        <v>44787</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92</v>
      </c>
      <c r="Y49" s="40"/>
      <c r="Z49" s="76">
        <v>44788</v>
      </c>
      <c r="AA49" s="77"/>
      <c r="AB49" s="76">
        <v>44879</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44879</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375</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348626</v>
      </c>
      <c r="S58" s="238"/>
      <c r="T58" s="237">
        <f>145+149</f>
        <v>294</v>
      </c>
      <c r="U58" s="237"/>
      <c r="V58" s="237">
        <v>57369</v>
      </c>
      <c r="W58" s="238"/>
      <c r="X58" s="238">
        <v>0</v>
      </c>
      <c r="Y58" s="238"/>
      <c r="Z58" s="238">
        <v>0</v>
      </c>
      <c r="AA58" s="238"/>
      <c r="AB58" s="237">
        <f>R58-T58-V58+X58-Z58</f>
        <v>290963</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348626</v>
      </c>
      <c r="S61" s="238"/>
      <c r="T61" s="238">
        <f>T58+T59</f>
        <v>294</v>
      </c>
      <c r="U61" s="238"/>
      <c r="V61" s="238">
        <f>SUM(V58:V60)</f>
        <v>57369</v>
      </c>
      <c r="W61" s="238"/>
      <c r="X61" s="238">
        <f>SUM(X58:X60)</f>
        <v>0</v>
      </c>
      <c r="Y61" s="238"/>
      <c r="Z61" s="238">
        <f>SUM(Z58:Z60)</f>
        <v>0</v>
      </c>
      <c r="AA61" s="238"/>
      <c r="AB61" s="238">
        <f>SUM(AB58:AB60)</f>
        <v>290963</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2</v>
      </c>
      <c r="S64" s="238"/>
      <c r="T64" s="238">
        <v>0</v>
      </c>
      <c r="U64" s="238"/>
      <c r="V64" s="238">
        <v>-2</v>
      </c>
      <c r="W64" s="238"/>
      <c r="X64" s="238"/>
      <c r="Y64" s="238"/>
      <c r="Z64" s="238"/>
      <c r="AA64" s="238"/>
      <c r="AB64" s="238">
        <f>R64+V64</f>
        <v>0</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348628</v>
      </c>
      <c r="S67" s="238"/>
      <c r="T67" s="238"/>
      <c r="U67" s="238"/>
      <c r="V67" s="238"/>
      <c r="W67" s="238"/>
      <c r="X67" s="238"/>
      <c r="Y67" s="238"/>
      <c r="Z67" s="238"/>
      <c r="AA67" s="238"/>
      <c r="AB67" s="238">
        <f>SUM(AB61:AB66)</f>
        <v>290963</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+Z239</f>
        <v>44865</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2</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+T58+V58+Z58+19</f>
        <v>57682</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2974+1324-34-314</f>
        <v>3950</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327+62</f>
        <v>389</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157</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643</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378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918</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1664</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57684</v>
      </c>
      <c r="AA84" s="40"/>
      <c r="AB84" s="97">
        <f>SUM(AB71:AB83)</f>
        <v>7721</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57684</v>
      </c>
      <c r="AA87" s="40"/>
      <c r="AB87" s="97">
        <f>AB84+AB85+AB86</f>
        <v>7721</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-176-38-5</f>
        <v>-219</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160</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-871</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-1217</v>
      </c>
      <c r="AC94" s="114"/>
      <c r="AD94" s="30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-243</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-198</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-233</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-19</v>
      </c>
      <c r="AA101" s="112"/>
      <c r="AB101" s="98">
        <v>19</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-3100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-283</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-84</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-643</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-11-89</f>
        <v>-100</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30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-683</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-57665</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-57665</v>
      </c>
      <c r="AA130" s="97"/>
      <c r="AB130" s="97">
        <f>SUM(AB88:AB128)</f>
        <v>-7721</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0</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OCTOBER 2022</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+'July 22'!AB146</f>
        <v>4991.5499999999993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-643</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4348.5499999999993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+'July 22'!AB159</f>
        <v>579.85500000000002</v>
      </c>
      <c r="AC150" s="43"/>
      <c r="AD150" s="22"/>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c r="AE159" s="115"/>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+'July 22'!AB165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+'July 22'!AB173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-19</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-19</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19</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+'July 22'!AB182</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59" t="s">
        <v>376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237">
        <f>AB197</f>
        <v>918</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379</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918</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+'July 22'!AB190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+'July 22'!AB198</f>
        <v>3155</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237">
        <f>AB205</f>
        <v>2938</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377</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237">
        <v>918</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222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AB83</f>
        <v>1664</v>
      </c>
      <c r="AC198" s="43"/>
      <c r="AD198" s="310"/>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7" customFormat="1" x14ac:dyDescent="0.3">
      <c r="A199" s="47"/>
      <c r="B199" s="40" t="s">
        <v>356</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f>AB195+AB196-AB198-AB197</f>
        <v>3511</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9" customFormat="1" ht="16.2" thickBot="1" x14ac:dyDescent="0.35">
      <c r="A200" s="138"/>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126"/>
      <c r="AC200" s="10"/>
      <c r="AD200" s="5"/>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row>
    <row r="201" spans="1:262" x14ac:dyDescent="0.3">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134"/>
      <c r="AC201" s="4"/>
      <c r="AD201" s="5"/>
    </row>
    <row r="202" spans="1:262" s="136" customFormat="1" x14ac:dyDescent="0.3">
      <c r="A202" s="7"/>
      <c r="B202" s="125" t="s">
        <v>350</v>
      </c>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135"/>
      <c r="AC202" s="10"/>
      <c r="AD202" s="5"/>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row>
    <row r="203" spans="1:262" s="137" customFormat="1" x14ac:dyDescent="0.3">
      <c r="A203" s="47"/>
      <c r="B203" s="40" t="s">
        <v>209</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v>901</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40" t="s">
        <v>210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f>+'July 22'!AB206</f>
        <v>2956</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250</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v>2938</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59" t="s">
        <v>223</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-AB103</f>
        <v>3100</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7" customFormat="1" x14ac:dyDescent="0.3">
      <c r="A207" s="47"/>
      <c r="B207" s="40" t="s">
        <v>211</v>
      </c>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98">
        <f>AB204-AB205+AB206</f>
        <v>3118</v>
      </c>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9" customFormat="1" ht="16.2" thickBot="1" x14ac:dyDescent="0.35">
      <c r="A208" s="138"/>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126"/>
      <c r="AC208" s="10"/>
      <c r="AD208" s="5"/>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row>
    <row r="209" spans="1:262" x14ac:dyDescent="0.3">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134"/>
      <c r="AC209" s="4"/>
      <c r="AD209" s="5"/>
    </row>
    <row r="210" spans="1:262" s="136" customFormat="1" x14ac:dyDescent="0.3">
      <c r="A210" s="7"/>
      <c r="B210" s="125" t="s">
        <v>229</v>
      </c>
      <c r="C210" s="99"/>
      <c r="D210" s="99"/>
      <c r="E210" s="99"/>
      <c r="F210" s="99"/>
      <c r="G210" s="99"/>
      <c r="H210" s="99"/>
      <c r="I210" s="99"/>
      <c r="J210" s="99"/>
      <c r="K210" s="99"/>
      <c r="L210" s="99"/>
      <c r="M210" s="99"/>
      <c r="N210" s="99"/>
      <c r="O210" s="99"/>
      <c r="P210" s="99"/>
      <c r="Q210" s="99"/>
      <c r="R210" s="99"/>
      <c r="S210" s="99"/>
      <c r="T210" s="99"/>
      <c r="U210" s="99"/>
      <c r="V210" s="99"/>
      <c r="W210" s="99"/>
      <c r="X210" s="99"/>
      <c r="Y210" s="233" t="s">
        <v>235</v>
      </c>
      <c r="Z210" s="233" t="s">
        <v>236</v>
      </c>
      <c r="AA210" s="12"/>
      <c r="AB210" s="234" t="s">
        <v>80</v>
      </c>
      <c r="AC210" s="10"/>
      <c r="AD210" s="5"/>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row>
    <row r="211" spans="1:262" s="137" customFormat="1" x14ac:dyDescent="0.3">
      <c r="A211" s="47"/>
      <c r="B211" s="40" t="s">
        <v>230</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+AB29*0.16</f>
        <v>98965.119999999995</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231</v>
      </c>
      <c r="C212" s="40"/>
      <c r="D212" s="40"/>
      <c r="E212" s="40"/>
      <c r="F212" s="40"/>
      <c r="G212" s="40"/>
      <c r="H212" s="40"/>
      <c r="I212" s="40"/>
      <c r="J212" s="40"/>
      <c r="K212" s="40"/>
      <c r="L212" s="40"/>
      <c r="M212" s="40"/>
      <c r="N212" s="40"/>
      <c r="O212" s="40"/>
      <c r="P212" s="40"/>
      <c r="Q212" s="40"/>
      <c r="R212" s="40"/>
      <c r="S212" s="40"/>
      <c r="T212" s="40"/>
      <c r="U212" s="40"/>
      <c r="V212" s="40"/>
      <c r="W212" s="40"/>
      <c r="X212" s="40"/>
      <c r="Y212" s="98">
        <f>+'July 22'!Y213</f>
        <v>0</v>
      </c>
      <c r="Z212" s="98">
        <f>+'July 22'!Z213</f>
        <v>5</v>
      </c>
      <c r="AA212" s="40"/>
      <c r="AB212" s="98">
        <f>Y212+Z212</f>
        <v>5</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232</v>
      </c>
      <c r="C213" s="40"/>
      <c r="D213" s="40"/>
      <c r="E213" s="40"/>
      <c r="F213" s="40"/>
      <c r="G213" s="40"/>
      <c r="H213" s="40"/>
      <c r="I213" s="40"/>
      <c r="J213" s="40"/>
      <c r="K213" s="40"/>
      <c r="L213" s="40"/>
      <c r="M213" s="40"/>
      <c r="N213" s="40"/>
      <c r="O213" s="40"/>
      <c r="P213" s="40"/>
      <c r="Q213" s="40"/>
      <c r="R213" s="40"/>
      <c r="S213" s="40"/>
      <c r="T213" s="40"/>
      <c r="U213" s="40"/>
      <c r="V213" s="40"/>
      <c r="W213" s="40"/>
      <c r="X213" s="40"/>
      <c r="Y213" s="97">
        <v>0</v>
      </c>
      <c r="Z213" s="97">
        <v>0</v>
      </c>
      <c r="AA213" s="40"/>
      <c r="AB213" s="98">
        <f>Y213+Z213</f>
        <v>0</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233</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Y212+Y213</f>
        <v>0</v>
      </c>
      <c r="Z214" s="98">
        <f>Z213+Z212</f>
        <v>5</v>
      </c>
      <c r="AA214" s="40"/>
      <c r="AB214" s="98">
        <f>Y214+Z214</f>
        <v>5</v>
      </c>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7" customFormat="1" x14ac:dyDescent="0.3">
      <c r="A215" s="47"/>
      <c r="B215" s="40" t="s">
        <v>234</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f>Y211-Y214-Z214</f>
        <v>98960.12</v>
      </c>
      <c r="Z215" s="70"/>
      <c r="AA215" s="40"/>
      <c r="AB215" s="98"/>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9" customFormat="1" ht="16.2" thickBot="1" x14ac:dyDescent="0.35">
      <c r="A216" s="138"/>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126"/>
      <c r="AC216" s="10"/>
      <c r="AD216" s="5"/>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row>
    <row r="217" spans="1:262" x14ac:dyDescent="0.3">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134"/>
      <c r="AC217" s="4"/>
      <c r="AD217" s="5"/>
    </row>
    <row r="218" spans="1:262" s="136" customFormat="1" x14ac:dyDescent="0.3">
      <c r="A218" s="7"/>
      <c r="B218" s="125" t="s">
        <v>261</v>
      </c>
      <c r="C218" s="99"/>
      <c r="D218" s="99"/>
      <c r="E218" s="99"/>
      <c r="F218" s="99"/>
      <c r="G218" s="99"/>
      <c r="H218" s="99"/>
      <c r="I218" s="99"/>
      <c r="J218" s="99"/>
      <c r="K218" s="99"/>
      <c r="L218" s="99"/>
      <c r="M218" s="99"/>
      <c r="N218" s="99"/>
      <c r="O218" s="99"/>
      <c r="P218" s="99"/>
      <c r="Q218" s="99"/>
      <c r="R218" s="99"/>
      <c r="S218" s="99"/>
      <c r="T218" s="99"/>
      <c r="U218" s="99"/>
      <c r="V218" s="99"/>
      <c r="W218" s="99"/>
      <c r="X218" s="99"/>
      <c r="Y218" s="233"/>
      <c r="Z218" s="233"/>
      <c r="AA218" s="12"/>
      <c r="AB218" s="234" t="s">
        <v>80</v>
      </c>
      <c r="AC218" s="10"/>
      <c r="AD218" s="5"/>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row>
    <row r="219" spans="1:262" s="137" customFormat="1" x14ac:dyDescent="0.3">
      <c r="A219" s="47"/>
      <c r="B219" s="40" t="s">
        <v>373</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70"/>
      <c r="AA219" s="40"/>
      <c r="AB219" s="237">
        <v>233799</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306</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237">
        <v>238049</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260</v>
      </c>
      <c r="C221" s="40"/>
      <c r="D221" s="40"/>
      <c r="E221" s="40"/>
      <c r="F221" s="40"/>
      <c r="G221" s="40"/>
      <c r="H221" s="40"/>
      <c r="I221" s="40"/>
      <c r="J221" s="40"/>
      <c r="K221" s="40"/>
      <c r="L221" s="40"/>
      <c r="M221" s="40"/>
      <c r="N221" s="40"/>
      <c r="O221" s="40"/>
      <c r="P221" s="40"/>
      <c r="Q221" s="40"/>
      <c r="R221" s="40"/>
      <c r="S221" s="40"/>
      <c r="T221" s="40"/>
      <c r="U221" s="40"/>
      <c r="V221" s="40"/>
      <c r="W221" s="40"/>
      <c r="X221" s="40"/>
      <c r="Y221" s="98"/>
      <c r="Z221" s="98"/>
      <c r="AA221" s="40"/>
      <c r="AB221" s="98">
        <f>AB219-AB220</f>
        <v>-4250</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7" customFormat="1" x14ac:dyDescent="0.3">
      <c r="A222" s="47"/>
      <c r="B222" s="40" t="s">
        <v>303</v>
      </c>
      <c r="C222" s="40"/>
      <c r="D222" s="40"/>
      <c r="E222" s="40"/>
      <c r="F222" s="40"/>
      <c r="G222" s="40"/>
      <c r="H222" s="40"/>
      <c r="I222" s="40"/>
      <c r="J222" s="40"/>
      <c r="K222" s="40"/>
      <c r="L222" s="40"/>
      <c r="M222" s="40"/>
      <c r="N222" s="40"/>
      <c r="O222" s="40"/>
      <c r="P222" s="40"/>
      <c r="Q222" s="40"/>
      <c r="R222" s="40"/>
      <c r="S222" s="40"/>
      <c r="T222" s="40"/>
      <c r="U222" s="40"/>
      <c r="V222" s="40"/>
      <c r="W222" s="40"/>
      <c r="X222" s="40"/>
      <c r="Y222" s="97"/>
      <c r="Z222" s="97"/>
      <c r="AA222" s="40"/>
      <c r="AB222" s="240">
        <v>1.7389141722983701E-2</v>
      </c>
      <c r="AC222" s="43"/>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39" customFormat="1" ht="16.2" thickBot="1" x14ac:dyDescent="0.35">
      <c r="A223" s="138"/>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126"/>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4"/>
      <c r="AC224" s="4"/>
      <c r="AD224" s="5"/>
    </row>
    <row r="225" spans="1:30" x14ac:dyDescent="0.3">
      <c r="A225" s="7"/>
      <c r="B225" s="125" t="s">
        <v>39</v>
      </c>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140"/>
      <c r="AC225" s="10"/>
      <c r="AD225" s="5"/>
    </row>
    <row r="226" spans="1:30" s="23" customFormat="1" x14ac:dyDescent="0.3">
      <c r="A226" s="47"/>
      <c r="B226" s="40" t="s">
        <v>40</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f>(AB87+AB89+AB90+AB91+AB92)/-(AB93+AB94)</f>
        <v>3.6685823754789273</v>
      </c>
      <c r="AC226" s="43" t="s">
        <v>81</v>
      </c>
      <c r="AD226" s="22"/>
    </row>
    <row r="227" spans="1:30" s="23" customFormat="1" x14ac:dyDescent="0.3">
      <c r="A227" s="47"/>
      <c r="B227" s="40" t="s">
        <v>41</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3.55</v>
      </c>
      <c r="AC227" s="43" t="s">
        <v>81</v>
      </c>
      <c r="AD227" s="22"/>
    </row>
    <row r="228" spans="1:30" s="23" customFormat="1" x14ac:dyDescent="0.3">
      <c r="A228" s="47"/>
      <c r="B228" s="40" t="s">
        <v>144</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(AB87+AB89+AB90+AB91+AB92+AB93+AB94)/-(AB95)</f>
        <v>22.930041152263374</v>
      </c>
      <c r="AC228" s="43" t="s">
        <v>81</v>
      </c>
      <c r="AD228" s="22"/>
    </row>
    <row r="229" spans="1:30" s="23" customFormat="1" x14ac:dyDescent="0.3">
      <c r="A229" s="47"/>
      <c r="B229" s="40" t="s">
        <v>145</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25.95</v>
      </c>
      <c r="AC229" s="43" t="s">
        <v>81</v>
      </c>
      <c r="AD229" s="22"/>
    </row>
    <row r="230" spans="1:30" s="23" customFormat="1" x14ac:dyDescent="0.3">
      <c r="A230" s="47"/>
      <c r="B230" s="40" t="s">
        <v>146</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(AB87+AB89+AB90+AB91+AB92+AB93+AB94+AB95)/-(AB97)</f>
        <v>26.914141414141415</v>
      </c>
      <c r="AC230" s="43" t="s">
        <v>81</v>
      </c>
      <c r="AD230" s="22"/>
    </row>
    <row r="231" spans="1:30" s="23" customFormat="1" x14ac:dyDescent="0.3">
      <c r="A231" s="47"/>
      <c r="B231" s="40" t="s">
        <v>147</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29.02</v>
      </c>
      <c r="AC231" s="43" t="s">
        <v>81</v>
      </c>
      <c r="AD231" s="22"/>
    </row>
    <row r="232" spans="1:30" s="23" customFormat="1" x14ac:dyDescent="0.3">
      <c r="A232" s="47"/>
      <c r="B232" s="40" t="s">
        <v>176</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1">
        <f>(AB87+AB89+AB90+AB91+AB92+AB93+AB94+AB95+AB97)/-(AB98)</f>
        <v>22.021459227467812</v>
      </c>
      <c r="AC232" s="43" t="s">
        <v>81</v>
      </c>
      <c r="AD232" s="22"/>
    </row>
    <row r="233" spans="1:30" s="23" customFormat="1" x14ac:dyDescent="0.3">
      <c r="A233" s="47"/>
      <c r="B233" s="40" t="s">
        <v>177</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2">
        <v>22.88</v>
      </c>
      <c r="AC233" s="43" t="s">
        <v>81</v>
      </c>
      <c r="AD233" s="22"/>
    </row>
    <row r="234" spans="1:30" s="23" customFormat="1" x14ac:dyDescent="0.3">
      <c r="A234" s="47"/>
      <c r="B234" s="40" t="s">
        <v>163</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1">
        <f>(AB87+AB89+AB90+AB91+AB92+AB93+AB94+AB95+AB97+AB98)/-(AB107)</f>
        <v>17.307420494699645</v>
      </c>
      <c r="AC234" s="43" t="s">
        <v>81</v>
      </c>
      <c r="AD234" s="22"/>
    </row>
    <row r="235" spans="1:30" s="23" customFormat="1" x14ac:dyDescent="0.3">
      <c r="A235" s="47"/>
      <c r="B235" s="40" t="s">
        <v>164</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2">
        <v>16.48</v>
      </c>
      <c r="AC235" s="43" t="s">
        <v>81</v>
      </c>
      <c r="AD235" s="22"/>
    </row>
    <row r="236" spans="1:30" s="23" customFormat="1" x14ac:dyDescent="0.3">
      <c r="A236" s="18"/>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21"/>
      <c r="AD236" s="22"/>
    </row>
    <row r="237" spans="1:30" s="23" customFormat="1" x14ac:dyDescent="0.3">
      <c r="A237" s="18"/>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1"/>
      <c r="AD237" s="22"/>
    </row>
    <row r="238" spans="1:30" s="23" customFormat="1" ht="18.600000000000001" thickBot="1" x14ac:dyDescent="0.4">
      <c r="A238" s="83"/>
      <c r="B238" s="84" t="str">
        <f>B134</f>
        <v>PM26 INVESTOR REPORT QUARTER ENDING OCTOBER 2022</v>
      </c>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7"/>
      <c r="AD238" s="22"/>
    </row>
    <row r="239" spans="1:30" x14ac:dyDescent="0.3">
      <c r="A239" s="119"/>
      <c r="B239" s="120" t="s">
        <v>42</v>
      </c>
      <c r="C239" s="143"/>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v>44865</v>
      </c>
      <c r="AA239" s="121"/>
      <c r="AB239" s="121"/>
      <c r="AC239" s="123"/>
      <c r="AD239" s="5"/>
    </row>
    <row r="240" spans="1:30" x14ac:dyDescent="0.3">
      <c r="A240" s="145"/>
      <c r="B240" s="146"/>
      <c r="C240" s="147"/>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9"/>
      <c r="AB240" s="9"/>
      <c r="AC240" s="10"/>
      <c r="AD240" s="5"/>
    </row>
    <row r="241" spans="1:30" s="23" customFormat="1" x14ac:dyDescent="0.3">
      <c r="A241" s="47"/>
      <c r="B241" s="40" t="s">
        <v>43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3.773E-2</v>
      </c>
      <c r="AA241" s="40"/>
      <c r="AB241" s="40"/>
      <c r="AC241" s="43"/>
      <c r="AD241" s="22"/>
    </row>
    <row r="242" spans="1:30" s="23" customFormat="1" x14ac:dyDescent="0.3">
      <c r="A242" s="47"/>
      <c r="B242" s="40" t="s">
        <v>132</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v>2.0008281159907649E-2</v>
      </c>
      <c r="AA242" s="40"/>
      <c r="AB242" s="40"/>
      <c r="AC242" s="43"/>
      <c r="AD242" s="22"/>
    </row>
    <row r="243" spans="1:30" s="23" customFormat="1" x14ac:dyDescent="0.3">
      <c r="A243" s="47"/>
      <c r="B243" s="40" t="s">
        <v>44</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Z241-Z242</f>
        <v>1.7721718840092351E-2</v>
      </c>
      <c r="AA243" s="40"/>
      <c r="AB243" s="40"/>
      <c r="AC243" s="43"/>
      <c r="AD243" s="22"/>
    </row>
    <row r="244" spans="1:30" s="23" customFormat="1" x14ac:dyDescent="0.3">
      <c r="A244" s="47"/>
      <c r="B244" s="40" t="s">
        <v>45</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v>4.2995419807044834E-2</v>
      </c>
      <c r="AA244" s="40"/>
      <c r="AB244" s="40"/>
      <c r="AC244" s="43"/>
      <c r="AD244" s="22"/>
    </row>
    <row r="245" spans="1:30" s="23" customFormat="1" x14ac:dyDescent="0.3">
      <c r="A245" s="47"/>
      <c r="B245" s="40" t="s">
        <v>133</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+AB35</f>
        <v>3.4648889823224602E-2</v>
      </c>
      <c r="AA245" s="40"/>
      <c r="AB245" s="40"/>
      <c r="AC245" s="43"/>
      <c r="AD245" s="22"/>
    </row>
    <row r="246" spans="1:30" s="23" customFormat="1" x14ac:dyDescent="0.3">
      <c r="A246" s="47"/>
      <c r="B246" s="40" t="s">
        <v>46</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Z244-Z245</f>
        <v>8.346529983820232E-3</v>
      </c>
      <c r="AA246" s="40"/>
      <c r="AB246" s="40"/>
      <c r="AC246" s="43"/>
      <c r="AD246" s="22"/>
    </row>
    <row r="247" spans="1:30" s="23" customFormat="1" x14ac:dyDescent="0.3">
      <c r="A247" s="47"/>
      <c r="B247" s="40" t="s">
        <v>119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67">
        <f>(+AB87+AB89+AB92)/R67</f>
        <v>2.2605757426253772E-2</v>
      </c>
      <c r="AA247" s="40"/>
      <c r="AB247" s="40"/>
      <c r="AC247" s="43"/>
      <c r="AD247" s="22"/>
    </row>
    <row r="248" spans="1:30" s="23" customFormat="1" x14ac:dyDescent="0.3">
      <c r="A248" s="47"/>
      <c r="B248" s="40" t="s">
        <v>112</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0" s="23" customFormat="1" x14ac:dyDescent="0.3">
      <c r="A249" s="47"/>
      <c r="B249" s="40" t="s">
        <v>148</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0" s="23" customFormat="1" x14ac:dyDescent="0.3">
      <c r="A250" s="47"/>
      <c r="B250" s="40" t="s">
        <v>149</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0" s="23" customFormat="1" x14ac:dyDescent="0.3">
      <c r="A251" s="47"/>
      <c r="B251" s="40" t="s">
        <v>178</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0" s="23" customFormat="1" x14ac:dyDescent="0.3">
      <c r="A252" s="47"/>
      <c r="B252" s="40" t="s">
        <v>165</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0" s="23" customFormat="1" x14ac:dyDescent="0.3">
      <c r="A253" s="47"/>
      <c r="B253" s="40" t="s">
        <v>189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0" s="23" customFormat="1" x14ac:dyDescent="0.3">
      <c r="A254" s="47"/>
      <c r="B254" s="40" t="s">
        <v>190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150">
        <v>53097</v>
      </c>
      <c r="AA254" s="40"/>
      <c r="AB254" s="40"/>
      <c r="AC254" s="43"/>
      <c r="AD254" s="22"/>
    </row>
    <row r="255" spans="1:30" s="23" customFormat="1" x14ac:dyDescent="0.3">
      <c r="A255" s="47"/>
      <c r="B255" s="40" t="s">
        <v>47</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18.28</v>
      </c>
      <c r="AA255" s="40" t="s">
        <v>76</v>
      </c>
      <c r="AB255" s="40"/>
      <c r="AC255" s="43"/>
      <c r="AD255" s="22"/>
    </row>
    <row r="256" spans="1:30" s="23" customFormat="1" x14ac:dyDescent="0.3">
      <c r="A256" s="47"/>
      <c r="B256" s="40" t="s">
        <v>48</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71">
        <v>15.21730450332222</v>
      </c>
      <c r="AA256" s="40" t="s">
        <v>76</v>
      </c>
      <c r="AB256" s="40"/>
      <c r="AC256" s="43"/>
      <c r="AD256" s="22"/>
    </row>
    <row r="257" spans="1:31" s="23" customFormat="1" x14ac:dyDescent="0.3">
      <c r="A257" s="47"/>
      <c r="B257" s="40" t="s">
        <v>49</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f>(+T58+V58+Z58)/(R58+R64+R65)</f>
        <v>0.16539979577085032</v>
      </c>
      <c r="AA257" s="40"/>
      <c r="AB257" s="40"/>
      <c r="AC257" s="43"/>
      <c r="AD257" s="22"/>
      <c r="AE257" s="271"/>
    </row>
    <row r="258" spans="1:31" s="23" customFormat="1" x14ac:dyDescent="0.3">
      <c r="A258" s="47"/>
      <c r="B258" s="40" t="s">
        <v>50</v>
      </c>
      <c r="C258" s="149"/>
      <c r="D258" s="73"/>
      <c r="E258" s="73"/>
      <c r="F258" s="73"/>
      <c r="G258" s="73"/>
      <c r="H258" s="73"/>
      <c r="I258" s="73"/>
      <c r="J258" s="73"/>
      <c r="K258" s="73"/>
      <c r="L258" s="73"/>
      <c r="M258" s="73"/>
      <c r="N258" s="73"/>
      <c r="O258" s="73"/>
      <c r="P258" s="73"/>
      <c r="Q258" s="73"/>
      <c r="R258" s="73"/>
      <c r="S258" s="73"/>
      <c r="T258" s="73"/>
      <c r="U258" s="73"/>
      <c r="V258" s="73"/>
      <c r="W258" s="73"/>
      <c r="X258" s="73"/>
      <c r="Y258" s="73"/>
      <c r="Z258" s="67">
        <v>0.20039999999999999</v>
      </c>
      <c r="AA258" s="40"/>
      <c r="AB258" s="40"/>
      <c r="AC258" s="43"/>
      <c r="AD258" s="22"/>
    </row>
    <row r="259" spans="1:31" x14ac:dyDescent="0.3">
      <c r="A259" s="145"/>
      <c r="B259" s="151"/>
      <c r="C259" s="151"/>
      <c r="D259" s="99"/>
      <c r="E259" s="99"/>
      <c r="F259" s="99"/>
      <c r="G259" s="99"/>
      <c r="H259" s="99"/>
      <c r="I259" s="99"/>
      <c r="J259" s="99"/>
      <c r="K259" s="99"/>
      <c r="L259" s="99"/>
      <c r="M259" s="99"/>
      <c r="N259" s="99"/>
      <c r="O259" s="99"/>
      <c r="P259" s="99"/>
      <c r="Q259" s="99"/>
      <c r="R259" s="99"/>
      <c r="S259" s="99"/>
      <c r="T259" s="99"/>
      <c r="U259" s="99"/>
      <c r="V259" s="99"/>
      <c r="W259" s="99"/>
      <c r="X259" s="99"/>
      <c r="Y259" s="99"/>
      <c r="Z259" s="126"/>
      <c r="AA259" s="99"/>
      <c r="AB259" s="152"/>
      <c r="AC259" s="10"/>
      <c r="AD259" s="5"/>
    </row>
    <row r="260" spans="1:31" x14ac:dyDescent="0.3">
      <c r="A260" s="153"/>
      <c r="B260" s="102" t="s">
        <v>51</v>
      </c>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t="s">
        <v>69</v>
      </c>
      <c r="Z260" s="154" t="s">
        <v>74</v>
      </c>
      <c r="AA260" s="34"/>
      <c r="AB260" s="34"/>
      <c r="AC260" s="36"/>
      <c r="AD260" s="5"/>
    </row>
    <row r="261" spans="1:31" s="23" customFormat="1" x14ac:dyDescent="0.3">
      <c r="A261" s="155"/>
      <c r="B261" s="37" t="s">
        <v>52</v>
      </c>
      <c r="C261" s="10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v>1</v>
      </c>
      <c r="Z261" s="157">
        <v>279</v>
      </c>
      <c r="AA261" s="37"/>
      <c r="AB261" s="158"/>
      <c r="AC261" s="159"/>
      <c r="AD261" s="22"/>
    </row>
    <row r="262" spans="1:31" s="23" customFormat="1" x14ac:dyDescent="0.3">
      <c r="A262" s="160"/>
      <c r="B262" s="40" t="s">
        <v>97</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+X314</f>
        <v>2</v>
      </c>
      <c r="Z262" s="162">
        <f>+Z314</f>
        <v>220</v>
      </c>
      <c r="AA262" s="40"/>
      <c r="AB262" s="163"/>
      <c r="AC262" s="164"/>
      <c r="AD262" s="22"/>
    </row>
    <row r="263" spans="1:31" s="23" customFormat="1" x14ac:dyDescent="0.3">
      <c r="A263" s="160"/>
      <c r="B263" s="40" t="s">
        <v>53</v>
      </c>
      <c r="C263" s="97"/>
      <c r="D263" s="48"/>
      <c r="E263" s="48"/>
      <c r="F263" s="48"/>
      <c r="G263" s="48"/>
      <c r="H263" s="48"/>
      <c r="I263" s="48"/>
      <c r="J263" s="48"/>
      <c r="K263" s="48"/>
      <c r="L263" s="48"/>
      <c r="M263" s="48"/>
      <c r="N263" s="48"/>
      <c r="O263" s="48"/>
      <c r="P263" s="48"/>
      <c r="Q263" s="48"/>
      <c r="R263" s="48"/>
      <c r="S263" s="48"/>
      <c r="T263" s="48"/>
      <c r="U263" s="48"/>
      <c r="V263" s="48"/>
      <c r="W263" s="48"/>
      <c r="X263" s="48"/>
      <c r="Y263" s="161">
        <f>+X336</f>
        <v>0</v>
      </c>
      <c r="Z263" s="162">
        <f>+Z336</f>
        <v>0</v>
      </c>
      <c r="AA263" s="40"/>
      <c r="AB263" s="163"/>
      <c r="AC263" s="164"/>
      <c r="AD263" s="22"/>
    </row>
    <row r="264" spans="1:31" x14ac:dyDescent="0.3">
      <c r="A264" s="165"/>
      <c r="B264" s="166" t="s">
        <v>166</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Z58</f>
        <v>0</v>
      </c>
      <c r="AA264" s="59"/>
      <c r="AB264" s="168"/>
      <c r="AC264" s="169"/>
      <c r="AD264" s="5"/>
    </row>
    <row r="265" spans="1:31" x14ac:dyDescent="0.3">
      <c r="A265" s="165"/>
      <c r="B265" s="166" t="s">
        <v>255</v>
      </c>
      <c r="C265" s="167"/>
      <c r="D265" s="59"/>
      <c r="E265" s="59"/>
      <c r="F265" s="59"/>
      <c r="G265" s="59"/>
      <c r="H265" s="59"/>
      <c r="I265" s="59"/>
      <c r="J265" s="59"/>
      <c r="K265" s="59"/>
      <c r="L265" s="59"/>
      <c r="M265" s="59"/>
      <c r="N265" s="59"/>
      <c r="O265" s="59"/>
      <c r="P265" s="59"/>
      <c r="Q265" s="59"/>
      <c r="R265" s="59"/>
      <c r="S265" s="59"/>
      <c r="T265" s="59"/>
      <c r="U265" s="59"/>
      <c r="V265" s="59"/>
      <c r="W265" s="59"/>
      <c r="X265" s="59"/>
      <c r="Y265" s="112"/>
      <c r="Z265" s="162">
        <f>-T64</f>
        <v>0</v>
      </c>
      <c r="AA265" s="59"/>
      <c r="AB265" s="168"/>
      <c r="AC265" s="169"/>
      <c r="AD265" s="5"/>
    </row>
    <row r="266" spans="1:31" x14ac:dyDescent="0.3">
      <c r="A266" s="170"/>
      <c r="B266" s="166" t="s">
        <v>54</v>
      </c>
      <c r="C266" s="171"/>
      <c r="D266" s="59"/>
      <c r="E266" s="59"/>
      <c r="F266" s="59"/>
      <c r="G266" s="59"/>
      <c r="H266" s="59"/>
      <c r="I266" s="59"/>
      <c r="J266" s="59"/>
      <c r="K266" s="59"/>
      <c r="L266" s="59"/>
      <c r="M266" s="59"/>
      <c r="N266" s="59"/>
      <c r="O266" s="59"/>
      <c r="P266" s="59"/>
      <c r="Q266" s="59"/>
      <c r="R266" s="59"/>
      <c r="S266" s="59"/>
      <c r="T266" s="59"/>
      <c r="U266" s="59"/>
      <c r="V266" s="59"/>
      <c r="W266" s="59"/>
      <c r="X266" s="59"/>
      <c r="Y266" s="112"/>
      <c r="Z266" s="172"/>
      <c r="AA266" s="59"/>
      <c r="AB266" s="168"/>
      <c r="AC266" s="173"/>
      <c r="AD266" s="5"/>
    </row>
    <row r="267" spans="1:31" s="23" customFormat="1" x14ac:dyDescent="0.3">
      <c r="A267" s="174"/>
      <c r="B267" s="40" t="s">
        <v>55</v>
      </c>
      <c r="C267" s="40"/>
      <c r="D267" s="40"/>
      <c r="E267" s="40"/>
      <c r="F267" s="40"/>
      <c r="G267" s="40"/>
      <c r="H267" s="40"/>
      <c r="I267" s="40"/>
      <c r="J267" s="40"/>
      <c r="K267" s="40"/>
      <c r="L267" s="40"/>
      <c r="M267" s="40"/>
      <c r="N267" s="40"/>
      <c r="O267" s="40"/>
      <c r="P267" s="40"/>
      <c r="Q267" s="40"/>
      <c r="R267" s="40"/>
      <c r="S267" s="40"/>
      <c r="T267" s="40"/>
      <c r="U267" s="40"/>
      <c r="V267" s="40"/>
      <c r="W267" s="40"/>
      <c r="X267" s="40"/>
      <c r="Y267" s="48"/>
      <c r="Z267" s="162">
        <f>AB169</f>
        <v>-19</v>
      </c>
      <c r="AA267" s="40"/>
      <c r="AB267" s="163"/>
      <c r="AC267" s="175"/>
      <c r="AD267" s="22"/>
    </row>
    <row r="268" spans="1:31" s="23" customFormat="1" x14ac:dyDescent="0.3">
      <c r="A268" s="160"/>
      <c r="B268" s="40" t="s">
        <v>56</v>
      </c>
      <c r="C268" s="97"/>
      <c r="D268" s="40"/>
      <c r="E268" s="40"/>
      <c r="F268" s="40"/>
      <c r="G268" s="40"/>
      <c r="H268" s="40"/>
      <c r="I268" s="40"/>
      <c r="J268" s="40"/>
      <c r="K268" s="40"/>
      <c r="L268" s="40"/>
      <c r="M268" s="40"/>
      <c r="N268" s="40"/>
      <c r="O268" s="40"/>
      <c r="P268" s="40"/>
      <c r="Q268" s="40"/>
      <c r="R268" s="40"/>
      <c r="S268" s="40"/>
      <c r="T268" s="40"/>
      <c r="U268" s="40"/>
      <c r="V268" s="40"/>
      <c r="W268" s="40"/>
      <c r="X268" s="40"/>
      <c r="Y268" s="48"/>
      <c r="Z268" s="162">
        <f>'July 22'!Z267+Z267</f>
        <v>17</v>
      </c>
      <c r="AA268" s="40"/>
      <c r="AB268" s="163"/>
      <c r="AC268" s="175"/>
      <c r="AD268" s="22"/>
    </row>
    <row r="269" spans="1:31" x14ac:dyDescent="0.3">
      <c r="A269" s="170"/>
      <c r="B269" s="166" t="s">
        <v>125</v>
      </c>
      <c r="C269" s="171"/>
      <c r="D269" s="59"/>
      <c r="E269" s="59"/>
      <c r="F269" s="59"/>
      <c r="G269" s="59"/>
      <c r="H269" s="59"/>
      <c r="I269" s="59"/>
      <c r="J269" s="59"/>
      <c r="K269" s="59"/>
      <c r="L269" s="59"/>
      <c r="M269" s="59"/>
      <c r="N269" s="59"/>
      <c r="O269" s="59"/>
      <c r="P269" s="59"/>
      <c r="Q269" s="59"/>
      <c r="R269" s="59"/>
      <c r="S269" s="59"/>
      <c r="T269" s="59"/>
      <c r="U269" s="59"/>
      <c r="V269" s="59"/>
      <c r="W269" s="59"/>
      <c r="X269" s="59"/>
      <c r="Y269" s="176"/>
      <c r="Z269" s="172"/>
      <c r="AA269" s="59"/>
      <c r="AB269" s="168"/>
      <c r="AC269" s="173"/>
      <c r="AD269" s="5"/>
    </row>
    <row r="270" spans="1:31" s="23" customFormat="1" x14ac:dyDescent="0.3">
      <c r="A270" s="174"/>
      <c r="B270" s="40" t="s">
        <v>134</v>
      </c>
      <c r="C270" s="4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1" s="23" customFormat="1" x14ac:dyDescent="0.3">
      <c r="A271" s="160"/>
      <c r="B271" s="40" t="s">
        <v>57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1" s="23" customFormat="1" x14ac:dyDescent="0.3">
      <c r="A272" s="160"/>
      <c r="B272" s="40" t="s">
        <v>58</v>
      </c>
      <c r="C272" s="70"/>
      <c r="D272" s="40"/>
      <c r="E272" s="40"/>
      <c r="F272" s="40"/>
      <c r="G272" s="40"/>
      <c r="H272" s="40"/>
      <c r="I272" s="40"/>
      <c r="J272" s="40"/>
      <c r="K272" s="40"/>
      <c r="L272" s="40"/>
      <c r="M272" s="40"/>
      <c r="N272" s="40"/>
      <c r="O272" s="40"/>
      <c r="P272" s="40"/>
      <c r="Q272" s="40"/>
      <c r="R272" s="40"/>
      <c r="S272" s="40"/>
      <c r="T272" s="40"/>
      <c r="U272" s="40"/>
      <c r="V272" s="40"/>
      <c r="W272" s="40"/>
      <c r="X272" s="40"/>
      <c r="Y272" s="40"/>
      <c r="Z272" s="177">
        <v>0</v>
      </c>
      <c r="AA272" s="40"/>
      <c r="AB272" s="163"/>
      <c r="AC272" s="175"/>
      <c r="AD272" s="22"/>
    </row>
    <row r="273" spans="1:30" x14ac:dyDescent="0.3">
      <c r="A273" s="165"/>
      <c r="B273" s="166" t="s">
        <v>116</v>
      </c>
      <c r="C273" s="178"/>
      <c r="D273" s="59"/>
      <c r="E273" s="59"/>
      <c r="F273" s="59"/>
      <c r="G273" s="59"/>
      <c r="H273" s="59"/>
      <c r="I273" s="59"/>
      <c r="J273" s="59"/>
      <c r="K273" s="59"/>
      <c r="L273" s="59"/>
      <c r="M273" s="59"/>
      <c r="N273" s="59"/>
      <c r="O273" s="59"/>
      <c r="P273" s="59"/>
      <c r="Q273" s="59"/>
      <c r="R273" s="59"/>
      <c r="S273" s="59"/>
      <c r="T273" s="59"/>
      <c r="U273" s="59"/>
      <c r="V273" s="59"/>
      <c r="W273" s="59"/>
      <c r="X273" s="59"/>
      <c r="Y273" s="112"/>
      <c r="Z273" s="179"/>
      <c r="AA273" s="59"/>
      <c r="AB273" s="168"/>
      <c r="AC273" s="173"/>
      <c r="AD273" s="5"/>
    </row>
    <row r="274" spans="1:30" s="23" customFormat="1" x14ac:dyDescent="0.3">
      <c r="A274" s="160"/>
      <c r="B274" s="40" t="s">
        <v>134</v>
      </c>
      <c r="C274" s="70"/>
      <c r="D274" s="40"/>
      <c r="E274" s="40"/>
      <c r="F274" s="40"/>
      <c r="G274" s="40"/>
      <c r="H274" s="40"/>
      <c r="I274" s="40"/>
      <c r="J274" s="40"/>
      <c r="K274" s="40"/>
      <c r="L274" s="40"/>
      <c r="M274" s="40"/>
      <c r="N274" s="40"/>
      <c r="O274" s="40"/>
      <c r="P274" s="40"/>
      <c r="Q274" s="40"/>
      <c r="R274" s="40"/>
      <c r="S274" s="40"/>
      <c r="T274" s="40"/>
      <c r="U274" s="40"/>
      <c r="V274" s="40"/>
      <c r="W274" s="40"/>
      <c r="X274" s="40"/>
      <c r="Y274" s="48">
        <v>0</v>
      </c>
      <c r="Z274" s="162">
        <v>0</v>
      </c>
      <c r="AA274" s="40"/>
      <c r="AB274" s="163"/>
      <c r="AC274" s="175"/>
      <c r="AD274" s="22"/>
    </row>
    <row r="275" spans="1:30" s="23" customFormat="1" x14ac:dyDescent="0.3">
      <c r="A275" s="160"/>
      <c r="B275" s="40" t="s">
        <v>117</v>
      </c>
      <c r="C275" s="70"/>
      <c r="D275" s="40"/>
      <c r="E275" s="40"/>
      <c r="F275" s="40"/>
      <c r="G275" s="40"/>
      <c r="H275" s="40"/>
      <c r="I275" s="40"/>
      <c r="J275" s="40"/>
      <c r="K275" s="40"/>
      <c r="L275" s="40"/>
      <c r="M275" s="40"/>
      <c r="N275" s="40"/>
      <c r="O275" s="40"/>
      <c r="P275" s="40"/>
      <c r="Q275" s="40"/>
      <c r="R275" s="40"/>
      <c r="S275" s="40"/>
      <c r="T275" s="40"/>
      <c r="U275" s="40"/>
      <c r="V275" s="40"/>
      <c r="W275" s="40"/>
      <c r="X275" s="40"/>
      <c r="Y275" s="40"/>
      <c r="Z275" s="177">
        <v>0</v>
      </c>
      <c r="AA275" s="40"/>
      <c r="AB275" s="163"/>
      <c r="AC275" s="175"/>
      <c r="AD275" s="22"/>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112"/>
      <c r="Z276" s="179"/>
      <c r="AA276" s="59"/>
      <c r="AB276" s="168"/>
      <c r="AC276" s="173"/>
      <c r="AD276" s="5"/>
    </row>
    <row r="277" spans="1:30" x14ac:dyDescent="0.3">
      <c r="A277" s="165"/>
      <c r="B277" s="171"/>
      <c r="C277" s="178"/>
      <c r="D277" s="59"/>
      <c r="E277" s="59"/>
      <c r="F277" s="59"/>
      <c r="G277" s="59"/>
      <c r="H277" s="59"/>
      <c r="I277" s="59"/>
      <c r="J277" s="59"/>
      <c r="K277" s="59"/>
      <c r="L277" s="59"/>
      <c r="M277" s="59"/>
      <c r="N277" s="59"/>
      <c r="O277" s="59"/>
      <c r="P277" s="59"/>
      <c r="Q277" s="59"/>
      <c r="R277" s="59"/>
      <c r="S277" s="59"/>
      <c r="T277" s="59"/>
      <c r="U277" s="59"/>
      <c r="V277" s="59"/>
      <c r="W277" s="59"/>
      <c r="X277" s="59"/>
      <c r="Y277" s="59"/>
      <c r="Z277" s="180"/>
      <c r="AA277" s="59"/>
      <c r="AB277" s="168"/>
      <c r="AC277" s="173"/>
      <c r="AD277" s="5"/>
    </row>
    <row r="278" spans="1:30" ht="18" x14ac:dyDescent="0.35">
      <c r="A278" s="165"/>
      <c r="B278" s="181" t="s">
        <v>109</v>
      </c>
      <c r="C278" s="178"/>
      <c r="D278" s="59"/>
      <c r="E278" s="59"/>
      <c r="F278" s="59"/>
      <c r="G278" s="59"/>
      <c r="H278" s="59"/>
      <c r="I278" s="59"/>
      <c r="J278" s="59"/>
      <c r="K278" s="59"/>
      <c r="L278" s="182"/>
      <c r="M278" s="182"/>
      <c r="N278" s="182"/>
      <c r="O278" s="182"/>
      <c r="P278" s="261" t="s">
        <v>167</v>
      </c>
      <c r="Q278" s="182"/>
      <c r="R278" s="182"/>
      <c r="S278" s="182"/>
      <c r="T278" s="182"/>
      <c r="U278" s="182"/>
      <c r="V278" s="182"/>
      <c r="W278" s="59"/>
      <c r="X278" s="183"/>
      <c r="Y278" s="182"/>
      <c r="Z278" s="180"/>
      <c r="AA278" s="59"/>
      <c r="AB278" s="168"/>
      <c r="AC278" s="173"/>
      <c r="AD278" s="5"/>
    </row>
    <row r="279" spans="1:30" ht="18" x14ac:dyDescent="0.35">
      <c r="A279" s="184"/>
      <c r="B279" s="185"/>
      <c r="C279" s="186"/>
      <c r="D279" s="99"/>
      <c r="E279" s="99"/>
      <c r="F279" s="99"/>
      <c r="G279" s="99"/>
      <c r="H279" s="99"/>
      <c r="I279" s="99"/>
      <c r="J279" s="99"/>
      <c r="K279" s="99"/>
      <c r="L279" s="187"/>
      <c r="M279" s="187"/>
      <c r="N279" s="187"/>
      <c r="O279" s="187"/>
      <c r="P279" s="187"/>
      <c r="Q279" s="187"/>
      <c r="R279" s="187"/>
      <c r="S279" s="187"/>
      <c r="T279" s="187"/>
      <c r="U279" s="187"/>
      <c r="V279" s="187"/>
      <c r="W279" s="99"/>
      <c r="X279" s="99"/>
      <c r="Y279" s="99"/>
      <c r="Z279" s="188"/>
      <c r="AA279" s="99"/>
      <c r="AB279" s="152"/>
      <c r="AC279" s="189"/>
      <c r="AD279" s="5"/>
    </row>
    <row r="280" spans="1:30" x14ac:dyDescent="0.3">
      <c r="A280" s="33"/>
      <c r="B280" s="102" t="s">
        <v>126</v>
      </c>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54" t="s">
        <v>69</v>
      </c>
      <c r="Y280" s="103" t="s">
        <v>70</v>
      </c>
      <c r="Z280" s="154" t="s">
        <v>75</v>
      </c>
      <c r="AA280" s="103" t="s">
        <v>70</v>
      </c>
      <c r="AB280" s="34"/>
      <c r="AC280" s="190"/>
      <c r="AD280" s="5"/>
    </row>
    <row r="281" spans="1:30" s="23" customFormat="1" x14ac:dyDescent="0.3">
      <c r="A281" s="18"/>
      <c r="B281" s="106" t="s">
        <v>59</v>
      </c>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06">
        <f t="shared" ref="X281:X288" si="1">+X293+X305+X327</f>
        <v>1674</v>
      </c>
      <c r="Y281" s="192">
        <f>X281/$X$290</f>
        <v>0.99524375743162896</v>
      </c>
      <c r="Z281" s="107">
        <f t="shared" ref="Z281:Z288" si="2">+Z293+Z305+Z327</f>
        <v>288698</v>
      </c>
      <c r="AA281" s="192">
        <f t="shared" ref="AA281:AA288" si="3">Z281/$Z$290</f>
        <v>0.99221550506421774</v>
      </c>
      <c r="AB281" s="158"/>
      <c r="AC281" s="193"/>
      <c r="AD281" s="22"/>
    </row>
    <row r="282" spans="1:30" s="23" customFormat="1" x14ac:dyDescent="0.3">
      <c r="A282" s="47"/>
      <c r="B282" s="97" t="s">
        <v>60</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5">
        <f t="shared" si="1"/>
        <v>2</v>
      </c>
      <c r="Y282" s="196">
        <f t="shared" ref="Y282:Y288" si="4">X282/$X$290</f>
        <v>1.1890606420927466E-3</v>
      </c>
      <c r="Z282" s="197">
        <f t="shared" si="2"/>
        <v>580</v>
      </c>
      <c r="AA282" s="198">
        <f t="shared" si="3"/>
        <v>1.9933806016572556E-3</v>
      </c>
      <c r="AB282" s="163"/>
      <c r="AC282" s="175"/>
      <c r="AD282" s="22"/>
    </row>
    <row r="283" spans="1:30" s="23" customFormat="1" x14ac:dyDescent="0.3">
      <c r="A283" s="47"/>
      <c r="B283" s="97" t="s">
        <v>61</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1</v>
      </c>
      <c r="Y283" s="200">
        <f t="shared" si="4"/>
        <v>5.9453032104637331E-4</v>
      </c>
      <c r="Z283" s="131">
        <f t="shared" si="2"/>
        <v>443</v>
      </c>
      <c r="AA283" s="198">
        <f t="shared" si="3"/>
        <v>1.5225303560933864E-3</v>
      </c>
      <c r="AB283" s="163"/>
      <c r="AC283" s="175"/>
      <c r="AD283" s="22"/>
    </row>
    <row r="284" spans="1:30" s="23" customFormat="1" x14ac:dyDescent="0.3">
      <c r="A284" s="47"/>
      <c r="B284" s="97" t="s">
        <v>100</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1</v>
      </c>
      <c r="Y284" s="200">
        <f t="shared" si="4"/>
        <v>5.9453032104637331E-4</v>
      </c>
      <c r="Z284" s="131">
        <f t="shared" si="2"/>
        <v>333</v>
      </c>
      <c r="AA284" s="198">
        <f t="shared" si="3"/>
        <v>1.1444754143997691E-3</v>
      </c>
      <c r="AB284" s="163"/>
      <c r="AC284" s="175"/>
      <c r="AD284" s="22"/>
    </row>
    <row r="285" spans="1:30" s="23" customFormat="1" x14ac:dyDescent="0.3">
      <c r="A285" s="47"/>
      <c r="B285" s="97" t="s">
        <v>101</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0</v>
      </c>
      <c r="Y285" s="200">
        <f t="shared" si="4"/>
        <v>0</v>
      </c>
      <c r="Z285" s="131">
        <f t="shared" si="2"/>
        <v>0</v>
      </c>
      <c r="AA285" s="198">
        <f t="shared" si="3"/>
        <v>0</v>
      </c>
      <c r="AB285" s="163"/>
      <c r="AC285" s="175"/>
      <c r="AD285" s="22"/>
    </row>
    <row r="286" spans="1:30" s="23" customFormat="1" x14ac:dyDescent="0.3">
      <c r="A286" s="47"/>
      <c r="B286" s="97" t="s">
        <v>102</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199">
        <f t="shared" si="1"/>
        <v>0</v>
      </c>
      <c r="Y286" s="200">
        <f t="shared" si="4"/>
        <v>0</v>
      </c>
      <c r="Z286" s="131">
        <f t="shared" si="2"/>
        <v>0</v>
      </c>
      <c r="AA286" s="198">
        <f t="shared" si="3"/>
        <v>0</v>
      </c>
      <c r="AB286" s="163"/>
      <c r="AC286" s="175"/>
      <c r="AD286" s="22"/>
    </row>
    <row r="287" spans="1:30" s="23" customFormat="1" x14ac:dyDescent="0.3">
      <c r="A287" s="47"/>
      <c r="B287" s="97" t="s">
        <v>103</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201">
        <f t="shared" si="1"/>
        <v>3</v>
      </c>
      <c r="Y287" s="202">
        <f t="shared" si="4"/>
        <v>1.7835909631391202E-3</v>
      </c>
      <c r="Z287" s="203">
        <f t="shared" si="2"/>
        <v>630</v>
      </c>
      <c r="AA287" s="198">
        <f t="shared" si="3"/>
        <v>2.1652237569725358E-3</v>
      </c>
      <c r="AB287" s="163"/>
      <c r="AC287" s="175"/>
      <c r="AD287" s="22"/>
    </row>
    <row r="288" spans="1:30" s="23" customFormat="1" x14ac:dyDescent="0.3">
      <c r="A288" s="47"/>
      <c r="B288" s="97" t="s">
        <v>104</v>
      </c>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106">
        <f t="shared" si="1"/>
        <v>1</v>
      </c>
      <c r="Y288" s="198">
        <f t="shared" si="4"/>
        <v>5.9453032104637331E-4</v>
      </c>
      <c r="Z288" s="107">
        <f t="shared" si="2"/>
        <v>279</v>
      </c>
      <c r="AA288" s="198">
        <f t="shared" si="3"/>
        <v>9.5888480665926598E-4</v>
      </c>
      <c r="AB288" s="163"/>
      <c r="AC288" s="306"/>
      <c r="AD288" s="22"/>
    </row>
    <row r="289" spans="1:31" s="23" customFormat="1" x14ac:dyDescent="0.3">
      <c r="A289" s="47"/>
      <c r="B289" s="97"/>
      <c r="C289" s="194"/>
      <c r="D289" s="194"/>
      <c r="E289" s="194"/>
      <c r="F289" s="194"/>
      <c r="G289" s="194"/>
      <c r="H289" s="194"/>
      <c r="I289" s="194"/>
      <c r="J289" s="194"/>
      <c r="K289" s="194"/>
      <c r="L289" s="194"/>
      <c r="M289" s="194"/>
      <c r="N289" s="194"/>
      <c r="O289" s="194"/>
      <c r="P289" s="194"/>
      <c r="Q289" s="194"/>
      <c r="R289" s="194"/>
      <c r="S289" s="194"/>
      <c r="T289" s="194"/>
      <c r="U289" s="194"/>
      <c r="V289" s="194"/>
      <c r="W289" s="194"/>
      <c r="X289" s="97"/>
      <c r="Y289" s="198"/>
      <c r="Z289" s="98"/>
      <c r="AA289" s="198"/>
      <c r="AB289" s="163"/>
      <c r="AC289" s="175"/>
      <c r="AD289" s="22"/>
    </row>
    <row r="290" spans="1:31" s="23" customFormat="1" x14ac:dyDescent="0.3">
      <c r="A290" s="47"/>
      <c r="B290" s="40" t="s">
        <v>80</v>
      </c>
      <c r="C290" s="40"/>
      <c r="D290" s="204"/>
      <c r="E290" s="204"/>
      <c r="F290" s="204"/>
      <c r="G290" s="204"/>
      <c r="H290" s="204"/>
      <c r="I290" s="204"/>
      <c r="J290" s="204"/>
      <c r="K290" s="204"/>
      <c r="L290" s="204"/>
      <c r="M290" s="204"/>
      <c r="N290" s="204"/>
      <c r="O290" s="204"/>
      <c r="P290" s="204"/>
      <c r="Q290" s="204"/>
      <c r="R290" s="204"/>
      <c r="S290" s="204"/>
      <c r="T290" s="204"/>
      <c r="U290" s="204"/>
      <c r="V290" s="204"/>
      <c r="W290" s="204"/>
      <c r="X290" s="97">
        <f>SUM(X281:X289)</f>
        <v>1682</v>
      </c>
      <c r="Y290" s="198">
        <f>SUM(Y281:Y289)</f>
        <v>1</v>
      </c>
      <c r="Z290" s="98">
        <f>SUM(Z281:Z289)</f>
        <v>290963</v>
      </c>
      <c r="AA290" s="198">
        <f>SUM(AA281:AA289)</f>
        <v>1</v>
      </c>
      <c r="AB290" s="40"/>
      <c r="AC290" s="43"/>
      <c r="AD290" s="22"/>
    </row>
    <row r="291" spans="1:31" x14ac:dyDescent="0.3">
      <c r="A291" s="7"/>
      <c r="B291" s="151"/>
      <c r="C291" s="186"/>
      <c r="D291" s="99"/>
      <c r="E291" s="99"/>
      <c r="F291" s="99"/>
      <c r="G291" s="99"/>
      <c r="H291" s="99"/>
      <c r="I291" s="99"/>
      <c r="J291" s="99"/>
      <c r="K291" s="99"/>
      <c r="L291" s="99"/>
      <c r="M291" s="99"/>
      <c r="N291" s="99"/>
      <c r="O291" s="99"/>
      <c r="P291" s="99"/>
      <c r="Q291" s="99"/>
      <c r="R291" s="99"/>
      <c r="S291" s="99"/>
      <c r="T291" s="99"/>
      <c r="U291" s="99"/>
      <c r="V291" s="99"/>
      <c r="W291" s="99"/>
      <c r="X291" s="99"/>
      <c r="Y291" s="99"/>
      <c r="Z291" s="188"/>
      <c r="AA291" s="99"/>
      <c r="AB291" s="99"/>
      <c r="AC291" s="10"/>
      <c r="AD291" s="5"/>
    </row>
    <row r="292" spans="1:31" x14ac:dyDescent="0.3">
      <c r="A292" s="33"/>
      <c r="B292" s="102" t="s">
        <v>105</v>
      </c>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54" t="s">
        <v>69</v>
      </c>
      <c r="Y292" s="103" t="s">
        <v>70</v>
      </c>
      <c r="Z292" s="154" t="s">
        <v>75</v>
      </c>
      <c r="AA292" s="103" t="s">
        <v>70</v>
      </c>
      <c r="AB292" s="34"/>
      <c r="AC292" s="190"/>
      <c r="AD292" s="5"/>
    </row>
    <row r="293" spans="1:31" s="23" customFormat="1" x14ac:dyDescent="0.3">
      <c r="A293" s="18"/>
      <c r="B293" s="106" t="s">
        <v>59</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6">
        <v>1674</v>
      </c>
      <c r="Y293" s="192">
        <f>X293/$X$302</f>
        <v>0.99642857142857144</v>
      </c>
      <c r="Z293" s="107">
        <v>288698</v>
      </c>
      <c r="AA293" s="192">
        <f>Z293/$Z$302</f>
        <v>0.99296629669501935</v>
      </c>
      <c r="AB293" s="158"/>
      <c r="AC293" s="193"/>
      <c r="AD293" s="22"/>
    </row>
    <row r="294" spans="1:31" s="23" customFormat="1" x14ac:dyDescent="0.3">
      <c r="A294" s="47"/>
      <c r="B294" s="97" t="s">
        <v>60</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2</v>
      </c>
      <c r="Y294" s="198">
        <f t="shared" ref="Y294:Y300" si="5">X294/$X$302</f>
        <v>1.1904761904761906E-3</v>
      </c>
      <c r="Z294" s="98">
        <v>580</v>
      </c>
      <c r="AA294" s="198">
        <f t="shared" ref="AA294:AA300" si="6">Z294/$Z$302</f>
        <v>1.9948889569138379E-3</v>
      </c>
      <c r="AB294" s="163"/>
      <c r="AC294" s="175"/>
      <c r="AD294" s="22"/>
      <c r="AE294" s="115"/>
    </row>
    <row r="295" spans="1:31" s="23" customFormat="1" x14ac:dyDescent="0.3">
      <c r="A295" s="47"/>
      <c r="B295" s="97" t="s">
        <v>61</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1</v>
      </c>
      <c r="Y295" s="198">
        <f t="shared" si="5"/>
        <v>5.9523809523809529E-4</v>
      </c>
      <c r="Z295" s="98">
        <v>443</v>
      </c>
      <c r="AA295" s="198">
        <f t="shared" si="6"/>
        <v>1.5236824274359143E-3</v>
      </c>
      <c r="AB295" s="163"/>
      <c r="AC295" s="175"/>
      <c r="AD295" s="22"/>
    </row>
    <row r="296" spans="1:31" s="23" customFormat="1" x14ac:dyDescent="0.3">
      <c r="A296" s="47"/>
      <c r="B296" s="97" t="s">
        <v>100</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1</v>
      </c>
      <c r="Y296" s="198">
        <f t="shared" si="5"/>
        <v>5.9523809523809529E-4</v>
      </c>
      <c r="Z296" s="98">
        <v>333</v>
      </c>
      <c r="AA296" s="198">
        <f t="shared" si="6"/>
        <v>1.1453414183660484E-3</v>
      </c>
      <c r="AB296" s="163"/>
      <c r="AC296" s="175"/>
      <c r="AD296" s="22"/>
      <c r="AE296" s="115"/>
    </row>
    <row r="297" spans="1:31" s="23" customFormat="1" x14ac:dyDescent="0.3">
      <c r="A297" s="47"/>
      <c r="B297" s="97" t="s">
        <v>101</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0</v>
      </c>
      <c r="Y297" s="198">
        <f t="shared" si="5"/>
        <v>0</v>
      </c>
      <c r="Z297" s="98">
        <v>0</v>
      </c>
      <c r="AA297" s="198">
        <f t="shared" si="6"/>
        <v>0</v>
      </c>
      <c r="AB297" s="163"/>
      <c r="AC297" s="175"/>
      <c r="AD297" s="22"/>
    </row>
    <row r="298" spans="1:31" s="23" customFormat="1" x14ac:dyDescent="0.3">
      <c r="A298" s="47"/>
      <c r="B298" s="97" t="s">
        <v>102</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0</v>
      </c>
      <c r="Y298" s="198">
        <f t="shared" si="5"/>
        <v>0</v>
      </c>
      <c r="Z298" s="98">
        <v>0</v>
      </c>
      <c r="AA298" s="198">
        <f t="shared" si="6"/>
        <v>0</v>
      </c>
      <c r="AB298" s="163"/>
      <c r="AC298" s="175"/>
      <c r="AD298" s="22"/>
      <c r="AE298" s="115"/>
    </row>
    <row r="299" spans="1:31" s="23" customFormat="1" x14ac:dyDescent="0.3">
      <c r="A299" s="47"/>
      <c r="B299" s="97" t="s">
        <v>103</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1</v>
      </c>
      <c r="Y299" s="198">
        <f>X299/$X$302</f>
        <v>5.9523809523809529E-4</v>
      </c>
      <c r="Z299" s="98">
        <v>410</v>
      </c>
      <c r="AA299" s="198">
        <f t="shared" si="6"/>
        <v>1.4101801247149545E-3</v>
      </c>
      <c r="AB299" s="163"/>
      <c r="AC299" s="175"/>
      <c r="AD299" s="22"/>
    </row>
    <row r="300" spans="1:31" s="23" customFormat="1" x14ac:dyDescent="0.3">
      <c r="A300" s="47"/>
      <c r="B300" s="97" t="s">
        <v>104</v>
      </c>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v>1</v>
      </c>
      <c r="Y300" s="198">
        <f t="shared" si="5"/>
        <v>5.9523809523809529E-4</v>
      </c>
      <c r="Z300" s="98">
        <v>279</v>
      </c>
      <c r="AA300" s="198">
        <f t="shared" si="6"/>
        <v>9.5961037754993246E-4</v>
      </c>
      <c r="AB300" s="163"/>
      <c r="AC300" s="175"/>
      <c r="AD300" s="22"/>
      <c r="AE300" s="115"/>
    </row>
    <row r="301" spans="1:31" s="23" customFormat="1" x14ac:dyDescent="0.3">
      <c r="A301" s="47"/>
      <c r="B301" s="97"/>
      <c r="C301" s="194"/>
      <c r="D301" s="194"/>
      <c r="E301" s="194"/>
      <c r="F301" s="194"/>
      <c r="G301" s="194"/>
      <c r="H301" s="194"/>
      <c r="I301" s="194"/>
      <c r="J301" s="194"/>
      <c r="K301" s="194"/>
      <c r="L301" s="194"/>
      <c r="M301" s="194"/>
      <c r="N301" s="194"/>
      <c r="O301" s="194"/>
      <c r="P301" s="194"/>
      <c r="Q301" s="194"/>
      <c r="R301" s="194"/>
      <c r="S301" s="194"/>
      <c r="T301" s="194"/>
      <c r="U301" s="194"/>
      <c r="V301" s="194"/>
      <c r="W301" s="194"/>
      <c r="X301" s="97"/>
      <c r="Y301" s="198"/>
      <c r="Z301" s="98"/>
      <c r="AA301" s="198"/>
      <c r="AB301" s="163"/>
      <c r="AC301" s="175"/>
      <c r="AD301" s="22"/>
    </row>
    <row r="302" spans="1:31" s="23" customFormat="1" x14ac:dyDescent="0.3">
      <c r="A302" s="47"/>
      <c r="B302" s="40" t="s">
        <v>80</v>
      </c>
      <c r="C302" s="40"/>
      <c r="D302" s="204"/>
      <c r="E302" s="204"/>
      <c r="F302" s="204"/>
      <c r="G302" s="204"/>
      <c r="H302" s="204"/>
      <c r="I302" s="204"/>
      <c r="J302" s="204"/>
      <c r="K302" s="204"/>
      <c r="L302" s="204"/>
      <c r="M302" s="204"/>
      <c r="N302" s="204"/>
      <c r="O302" s="204"/>
      <c r="P302" s="204"/>
      <c r="Q302" s="204"/>
      <c r="R302" s="204"/>
      <c r="S302" s="204"/>
      <c r="T302" s="204"/>
      <c r="U302" s="204"/>
      <c r="V302" s="204"/>
      <c r="W302" s="204"/>
      <c r="X302" s="97">
        <f>SUM(X293:X301)</f>
        <v>1680</v>
      </c>
      <c r="Y302" s="198">
        <f>SUM(Y293:Y301)</f>
        <v>1</v>
      </c>
      <c r="Z302" s="98">
        <f>SUM(Z293:Z301)</f>
        <v>290743</v>
      </c>
      <c r="AA302" s="198">
        <f>SUM(AA293:AA301)</f>
        <v>1</v>
      </c>
      <c r="AB302" s="40"/>
      <c r="AC302" s="43"/>
      <c r="AD302" s="22"/>
    </row>
    <row r="303" spans="1:31" x14ac:dyDescent="0.3">
      <c r="A303" s="7"/>
      <c r="B303" s="99"/>
      <c r="C303" s="99"/>
      <c r="D303" s="205"/>
      <c r="E303" s="205"/>
      <c r="F303" s="205"/>
      <c r="G303" s="205"/>
      <c r="H303" s="205"/>
      <c r="I303" s="205"/>
      <c r="J303" s="205"/>
      <c r="K303" s="205"/>
      <c r="L303" s="205"/>
      <c r="M303" s="205"/>
      <c r="N303" s="205"/>
      <c r="O303" s="205"/>
      <c r="P303" s="205"/>
      <c r="Q303" s="205"/>
      <c r="R303" s="205"/>
      <c r="S303" s="205"/>
      <c r="T303" s="205"/>
      <c r="U303" s="205"/>
      <c r="V303" s="205"/>
      <c r="W303" s="205"/>
      <c r="X303" s="100"/>
      <c r="Y303" s="206"/>
      <c r="Z303" s="207"/>
      <c r="AA303" s="206"/>
      <c r="AB303" s="99"/>
      <c r="AC303" s="10"/>
      <c r="AD303" s="5"/>
    </row>
    <row r="304" spans="1:31" x14ac:dyDescent="0.3">
      <c r="A304" s="33"/>
      <c r="B304" s="102" t="s">
        <v>121</v>
      </c>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54" t="s">
        <v>69</v>
      </c>
      <c r="Y304" s="103" t="s">
        <v>70</v>
      </c>
      <c r="Z304" s="154" t="s">
        <v>75</v>
      </c>
      <c r="AA304" s="103" t="s">
        <v>70</v>
      </c>
      <c r="AB304" s="34"/>
      <c r="AC304" s="36"/>
      <c r="AD304" s="5"/>
    </row>
    <row r="305" spans="1:30" s="23" customFormat="1" x14ac:dyDescent="0.3">
      <c r="A305" s="18"/>
      <c r="B305" s="106" t="s">
        <v>59</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06">
        <v>0</v>
      </c>
      <c r="Y305" s="192">
        <v>0</v>
      </c>
      <c r="Z305" s="107">
        <v>0</v>
      </c>
      <c r="AA305" s="192">
        <v>0</v>
      </c>
      <c r="AB305" s="37"/>
      <c r="AC305" s="21"/>
      <c r="AD305" s="22"/>
    </row>
    <row r="306" spans="1:30" s="23" customFormat="1" x14ac:dyDescent="0.3">
      <c r="A306" s="47"/>
      <c r="B306" s="97" t="s">
        <v>60</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61</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100</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f>X308/X314</f>
        <v>0</v>
      </c>
      <c r="Z308" s="98">
        <v>0</v>
      </c>
      <c r="AA308" s="198">
        <f>Z308/Z314</f>
        <v>0</v>
      </c>
      <c r="AB308" s="40"/>
      <c r="AC308" s="43"/>
      <c r="AD308" s="22"/>
    </row>
    <row r="309" spans="1:30" s="23" customFormat="1" x14ac:dyDescent="0.3">
      <c r="A309" s="47"/>
      <c r="B309" s="97" t="s">
        <v>101</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102</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v>0</v>
      </c>
      <c r="Z310" s="98">
        <v>0</v>
      </c>
      <c r="AA310" s="198">
        <v>0</v>
      </c>
      <c r="AB310" s="40"/>
      <c r="AC310" s="43"/>
      <c r="AD310" s="22"/>
    </row>
    <row r="311" spans="1:30" s="23" customFormat="1" x14ac:dyDescent="0.3">
      <c r="A311" s="47"/>
      <c r="B311" s="97" t="s">
        <v>103</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2</v>
      </c>
      <c r="Y311" s="198">
        <f>X311/X314</f>
        <v>1</v>
      </c>
      <c r="Z311" s="98">
        <v>220</v>
      </c>
      <c r="AA311" s="198">
        <f>Z311/Z314</f>
        <v>1</v>
      </c>
      <c r="AB311" s="40"/>
      <c r="AC311" s="43"/>
      <c r="AD311" s="22"/>
    </row>
    <row r="312" spans="1:30" s="23" customFormat="1" x14ac:dyDescent="0.3">
      <c r="A312" s="47"/>
      <c r="B312" s="97" t="s">
        <v>104</v>
      </c>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v>0</v>
      </c>
      <c r="Y312" s="198">
        <v>0</v>
      </c>
      <c r="Z312" s="98">
        <v>0</v>
      </c>
      <c r="AA312" s="198">
        <v>0</v>
      </c>
      <c r="AB312" s="40"/>
      <c r="AC312" s="43"/>
      <c r="AD312" s="22"/>
    </row>
    <row r="313" spans="1:30" s="23" customFormat="1" x14ac:dyDescent="0.3">
      <c r="A313" s="47"/>
      <c r="B313" s="97"/>
      <c r="C313" s="194"/>
      <c r="D313" s="194"/>
      <c r="E313" s="194"/>
      <c r="F313" s="194"/>
      <c r="G313" s="194"/>
      <c r="H313" s="194"/>
      <c r="I313" s="194"/>
      <c r="J313" s="194"/>
      <c r="K313" s="194"/>
      <c r="L313" s="194"/>
      <c r="M313" s="194"/>
      <c r="N313" s="194"/>
      <c r="O313" s="194"/>
      <c r="P313" s="194"/>
      <c r="Q313" s="194"/>
      <c r="R313" s="194"/>
      <c r="S313" s="194"/>
      <c r="T313" s="194"/>
      <c r="U313" s="194"/>
      <c r="V313" s="194"/>
      <c r="W313" s="194"/>
      <c r="X313" s="97"/>
      <c r="Y313" s="198"/>
      <c r="Z313" s="98"/>
      <c r="AA313" s="198"/>
      <c r="AB313" s="40"/>
      <c r="AC313" s="43"/>
      <c r="AD313" s="22"/>
    </row>
    <row r="314" spans="1:30" s="23" customFormat="1" x14ac:dyDescent="0.3">
      <c r="A314" s="47"/>
      <c r="B314" s="40" t="s">
        <v>80</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f>SUM(X305:X313)</f>
        <v>2</v>
      </c>
      <c r="Y314" s="198">
        <f>SUM(Y305:Y313)</f>
        <v>1</v>
      </c>
      <c r="Z314" s="98">
        <f>SUM(Z305:Z313)</f>
        <v>220</v>
      </c>
      <c r="AA314" s="198">
        <f>SUM(AA305:AA313)</f>
        <v>1</v>
      </c>
      <c r="AB314" s="40"/>
      <c r="AC314" s="43"/>
      <c r="AD314" s="22"/>
    </row>
    <row r="315" spans="1:30" s="23" customFormat="1" x14ac:dyDescent="0.3">
      <c r="A315" s="47"/>
      <c r="B315" s="40"/>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97"/>
      <c r="Y315" s="198"/>
      <c r="Z315" s="98"/>
      <c r="AA315" s="198"/>
      <c r="AB315" s="40"/>
      <c r="AC315" s="43"/>
      <c r="AD315" s="22"/>
    </row>
    <row r="316" spans="1:30" s="23" customFormat="1" x14ac:dyDescent="0.3">
      <c r="A316" s="242"/>
      <c r="B316" s="243" t="s">
        <v>330</v>
      </c>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62" t="s">
        <v>69</v>
      </c>
      <c r="Y316" s="263" t="s">
        <v>70</v>
      </c>
      <c r="Z316" s="262" t="s">
        <v>75</v>
      </c>
      <c r="AA316" s="263" t="s">
        <v>70</v>
      </c>
      <c r="AB316" s="243"/>
      <c r="AC316" s="243"/>
      <c r="AD316" s="22"/>
    </row>
    <row r="317" spans="1:30" s="23" customFormat="1" x14ac:dyDescent="0.3">
      <c r="A317" s="273"/>
      <c r="B317" s="274" t="s">
        <v>326</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302">
        <v>0</v>
      </c>
      <c r="Y317" s="303">
        <f>X317/X324</f>
        <v>0</v>
      </c>
      <c r="Z317" s="304">
        <v>0</v>
      </c>
      <c r="AA317" s="303">
        <f>Z317/Z324</f>
        <v>0</v>
      </c>
      <c r="AB317" s="40"/>
      <c r="AC317" s="43"/>
      <c r="AD317" s="22"/>
    </row>
    <row r="318" spans="1:30" s="23" customFormat="1" x14ac:dyDescent="0.3">
      <c r="A318" s="273"/>
      <c r="B318" s="274" t="s">
        <v>327</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302">
        <v>0</v>
      </c>
      <c r="Y318" s="303">
        <v>0</v>
      </c>
      <c r="Z318" s="304">
        <v>0</v>
      </c>
      <c r="AA318" s="303">
        <v>0</v>
      </c>
      <c r="AB318" s="40"/>
      <c r="AC318" s="43"/>
      <c r="AD318" s="22"/>
    </row>
    <row r="319" spans="1:30" s="23" customFormat="1" x14ac:dyDescent="0.3">
      <c r="A319" s="273"/>
      <c r="B319" s="274" t="s">
        <v>328</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302">
        <v>0</v>
      </c>
      <c r="Y319" s="303">
        <v>0</v>
      </c>
      <c r="Z319" s="304">
        <v>0</v>
      </c>
      <c r="AA319" s="303">
        <v>0</v>
      </c>
      <c r="AB319" s="40"/>
      <c r="AC319" s="43"/>
      <c r="AD319" s="22"/>
    </row>
    <row r="320" spans="1:30" s="23" customFormat="1" x14ac:dyDescent="0.3">
      <c r="A320" s="273"/>
      <c r="B320" s="274" t="s">
        <v>329</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302">
        <v>1</v>
      </c>
      <c r="Y320" s="303">
        <f>X320/X324</f>
        <v>0.5</v>
      </c>
      <c r="Z320" s="304">
        <v>83</v>
      </c>
      <c r="AA320" s="303">
        <f>Z320/Z324</f>
        <v>0.37727272727272726</v>
      </c>
      <c r="AB320" s="40"/>
      <c r="AC320" s="43"/>
      <c r="AD320" s="22"/>
    </row>
    <row r="321" spans="1:30" s="23" customFormat="1" x14ac:dyDescent="0.3">
      <c r="A321" s="273"/>
      <c r="B321" s="274" t="s">
        <v>334</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302">
        <v>0</v>
      </c>
      <c r="Y321" s="303">
        <v>0</v>
      </c>
      <c r="Z321" s="304">
        <v>0</v>
      </c>
      <c r="AA321" s="303">
        <v>0</v>
      </c>
      <c r="AB321" s="40"/>
      <c r="AC321" s="43"/>
      <c r="AD321" s="22"/>
    </row>
    <row r="322" spans="1:30" s="23" customFormat="1" x14ac:dyDescent="0.3">
      <c r="A322" s="273"/>
      <c r="B322" s="275" t="s">
        <v>331</v>
      </c>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302">
        <v>1</v>
      </c>
      <c r="Y322" s="303">
        <f>X322/X324</f>
        <v>0.5</v>
      </c>
      <c r="Z322" s="304">
        <v>137</v>
      </c>
      <c r="AA322" s="303">
        <f>Z322/Z324</f>
        <v>0.62272727272727268</v>
      </c>
      <c r="AB322" s="40"/>
      <c r="AC322" s="43"/>
      <c r="AD322" s="22"/>
    </row>
    <row r="323" spans="1:30" s="23" customFormat="1" x14ac:dyDescent="0.3">
      <c r="A323" s="273"/>
      <c r="B323" s="274"/>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c r="Y323" s="277"/>
      <c r="Z323" s="278"/>
      <c r="AA323" s="277"/>
      <c r="AB323" s="40"/>
      <c r="AC323" s="43"/>
      <c r="AD323" s="22"/>
    </row>
    <row r="324" spans="1:30" s="23" customFormat="1" x14ac:dyDescent="0.3">
      <c r="A324" s="273"/>
      <c r="B324" s="274" t="s">
        <v>80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276">
        <f>SUM(X317:X323)</f>
        <v>2</v>
      </c>
      <c r="Y324" s="277">
        <f>SUM(Y317:Y322)</f>
        <v>1</v>
      </c>
      <c r="Z324" s="278">
        <f>SUM(Z317:Z322)</f>
        <v>220</v>
      </c>
      <c r="AA324" s="277">
        <f>SUM(AA317:AA323)</f>
        <v>1</v>
      </c>
      <c r="AB324" s="40"/>
      <c r="AC324" s="43"/>
      <c r="AD324" s="22"/>
    </row>
    <row r="325" spans="1:30" x14ac:dyDescent="0.3">
      <c r="A325" s="7"/>
      <c r="B325" s="99"/>
      <c r="C325" s="99"/>
      <c r="D325" s="205"/>
      <c r="E325" s="205"/>
      <c r="F325" s="205"/>
      <c r="G325" s="205"/>
      <c r="H325" s="205"/>
      <c r="I325" s="205"/>
      <c r="J325" s="205"/>
      <c r="K325" s="205"/>
      <c r="L325" s="205"/>
      <c r="M325" s="205"/>
      <c r="N325" s="205"/>
      <c r="O325" s="205"/>
      <c r="P325" s="205"/>
      <c r="Q325" s="205"/>
      <c r="R325" s="205"/>
      <c r="S325" s="205"/>
      <c r="T325" s="205"/>
      <c r="U325" s="205"/>
      <c r="V325" s="205"/>
      <c r="W325" s="205"/>
      <c r="X325" s="100"/>
      <c r="Y325" s="206"/>
      <c r="Z325" s="207"/>
      <c r="AA325" s="206"/>
      <c r="AB325" s="99"/>
      <c r="AC325" s="10"/>
      <c r="AD325" s="5"/>
    </row>
    <row r="326" spans="1:30" x14ac:dyDescent="0.3">
      <c r="A326" s="33"/>
      <c r="B326" s="102" t="s">
        <v>106</v>
      </c>
      <c r="C326" s="34"/>
      <c r="D326" s="208"/>
      <c r="E326" s="208"/>
      <c r="F326" s="208"/>
      <c r="G326" s="208"/>
      <c r="H326" s="208"/>
      <c r="I326" s="208"/>
      <c r="J326" s="208"/>
      <c r="K326" s="208"/>
      <c r="L326" s="208"/>
      <c r="M326" s="208"/>
      <c r="N326" s="208"/>
      <c r="O326" s="208"/>
      <c r="P326" s="208"/>
      <c r="Q326" s="208"/>
      <c r="R326" s="208"/>
      <c r="S326" s="208"/>
      <c r="T326" s="208"/>
      <c r="U326" s="208"/>
      <c r="V326" s="208"/>
      <c r="W326" s="208"/>
      <c r="X326" s="154" t="s">
        <v>69</v>
      </c>
      <c r="Y326" s="103" t="s">
        <v>70</v>
      </c>
      <c r="Z326" s="154" t="s">
        <v>75</v>
      </c>
      <c r="AA326" s="103" t="s">
        <v>70</v>
      </c>
      <c r="AB326" s="34"/>
      <c r="AC326" s="36"/>
      <c r="AD326" s="5"/>
    </row>
    <row r="327" spans="1:30" s="23" customFormat="1" x14ac:dyDescent="0.3">
      <c r="A327" s="18"/>
      <c r="B327" s="106" t="s">
        <v>59</v>
      </c>
      <c r="C327" s="37"/>
      <c r="D327" s="209"/>
      <c r="E327" s="209"/>
      <c r="F327" s="209"/>
      <c r="G327" s="209"/>
      <c r="H327" s="209"/>
      <c r="I327" s="209"/>
      <c r="J327" s="209"/>
      <c r="K327" s="209"/>
      <c r="L327" s="209"/>
      <c r="M327" s="209"/>
      <c r="N327" s="209"/>
      <c r="O327" s="209"/>
      <c r="P327" s="209"/>
      <c r="Q327" s="209"/>
      <c r="R327" s="209"/>
      <c r="S327" s="209"/>
      <c r="T327" s="209"/>
      <c r="U327" s="209"/>
      <c r="V327" s="209"/>
      <c r="W327" s="209"/>
      <c r="X327" s="106">
        <v>0</v>
      </c>
      <c r="Y327" s="192">
        <v>0</v>
      </c>
      <c r="Z327" s="107">
        <v>0</v>
      </c>
      <c r="AA327" s="192">
        <v>0</v>
      </c>
      <c r="AB327" s="37"/>
      <c r="AC327" s="21"/>
      <c r="AD327" s="22"/>
    </row>
    <row r="328" spans="1:30" s="23" customFormat="1" x14ac:dyDescent="0.3">
      <c r="A328" s="47"/>
      <c r="B328" s="97" t="s">
        <v>60</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61</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100</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101</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102</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103</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t="s">
        <v>104</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v>0</v>
      </c>
      <c r="Y334" s="198">
        <v>0</v>
      </c>
      <c r="Z334" s="98">
        <v>0</v>
      </c>
      <c r="AA334" s="198">
        <v>0</v>
      </c>
      <c r="AB334" s="40"/>
      <c r="AC334" s="43"/>
      <c r="AD334" s="22"/>
    </row>
    <row r="335" spans="1:30" s="23" customFormat="1" x14ac:dyDescent="0.3">
      <c r="A335" s="47"/>
      <c r="B335" s="97"/>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c r="Y335" s="198"/>
      <c r="Z335" s="98"/>
      <c r="AA335" s="198"/>
      <c r="AB335" s="40"/>
      <c r="AC335" s="43"/>
      <c r="AD335" s="22"/>
    </row>
    <row r="336" spans="1:30" s="23" customFormat="1" x14ac:dyDescent="0.3">
      <c r="A336" s="47"/>
      <c r="B336" s="40" t="s">
        <v>80</v>
      </c>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f>SUM(X327:X334)</f>
        <v>0</v>
      </c>
      <c r="Y336" s="198">
        <f>SUM(Y327:Y334)</f>
        <v>0</v>
      </c>
      <c r="Z336" s="98">
        <f>SUM(Z327:Z334)</f>
        <v>0</v>
      </c>
      <c r="AA336" s="198">
        <f>SUM(AA327:AA334)</f>
        <v>0</v>
      </c>
      <c r="AB336" s="40"/>
      <c r="AC336" s="43"/>
      <c r="AD336" s="22"/>
    </row>
    <row r="337" spans="1:30" s="23" customFormat="1" x14ac:dyDescent="0.3">
      <c r="A337" s="47"/>
      <c r="B337" s="40"/>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97"/>
      <c r="Y337" s="198"/>
      <c r="Z337" s="98"/>
      <c r="AA337" s="198"/>
      <c r="AB337" s="40"/>
      <c r="AC337" s="43"/>
      <c r="AD337" s="22"/>
    </row>
    <row r="338" spans="1:30" s="23" customFormat="1" x14ac:dyDescent="0.3">
      <c r="A338" s="47"/>
      <c r="B338" s="44" t="s">
        <v>139</v>
      </c>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f>X336+X314+X302</f>
        <v>1682</v>
      </c>
      <c r="Y338" s="198"/>
      <c r="Z338" s="211">
        <f>+Z336+Z314+Z302</f>
        <v>290963</v>
      </c>
      <c r="AA338" s="198"/>
      <c r="AB338" s="40"/>
      <c r="AC338" s="43"/>
      <c r="AD338" s="22"/>
    </row>
    <row r="339" spans="1:30" s="23" customFormat="1" x14ac:dyDescent="0.3">
      <c r="A339" s="47"/>
      <c r="B339" s="44" t="s">
        <v>304</v>
      </c>
      <c r="C339" s="44"/>
      <c r="D339" s="212"/>
      <c r="E339" s="212"/>
      <c r="F339" s="212"/>
      <c r="G339" s="212"/>
      <c r="H339" s="212"/>
      <c r="I339" s="212"/>
      <c r="J339" s="212"/>
      <c r="K339" s="212"/>
      <c r="L339" s="212"/>
      <c r="M339" s="212"/>
      <c r="N339" s="212"/>
      <c r="O339" s="212"/>
      <c r="P339" s="212"/>
      <c r="Q339" s="212"/>
      <c r="R339" s="212"/>
      <c r="S339" s="212"/>
      <c r="T339" s="212"/>
      <c r="U339" s="212"/>
      <c r="V339" s="212"/>
      <c r="W339" s="212"/>
      <c r="X339" s="210"/>
      <c r="Y339" s="213"/>
      <c r="Z339" s="211">
        <f>+AB65+AB64</f>
        <v>0</v>
      </c>
      <c r="AA339" s="198"/>
      <c r="AB339" s="40"/>
      <c r="AC339" s="43"/>
      <c r="AD339" s="22"/>
    </row>
    <row r="340" spans="1:30" s="23" customFormat="1" x14ac:dyDescent="0.3">
      <c r="A340" s="47"/>
      <c r="B340" s="44" t="s">
        <v>107</v>
      </c>
      <c r="C340" s="44"/>
      <c r="D340" s="212"/>
      <c r="E340" s="212"/>
      <c r="F340" s="212"/>
      <c r="G340" s="212"/>
      <c r="H340" s="212"/>
      <c r="I340" s="212"/>
      <c r="J340" s="212"/>
      <c r="K340" s="212"/>
      <c r="L340" s="212"/>
      <c r="M340" s="212"/>
      <c r="N340" s="212"/>
      <c r="O340" s="212"/>
      <c r="P340" s="212"/>
      <c r="Q340" s="212"/>
      <c r="R340" s="212"/>
      <c r="S340" s="212"/>
      <c r="T340" s="212"/>
      <c r="U340" s="212"/>
      <c r="V340" s="212"/>
      <c r="W340" s="212"/>
      <c r="X340" s="210"/>
      <c r="Y340" s="213"/>
      <c r="Z340" s="211">
        <f>+Z338+Z339</f>
        <v>290963</v>
      </c>
      <c r="AA340" s="198"/>
      <c r="AB340" s="40"/>
      <c r="AC340" s="43"/>
      <c r="AD340" s="22"/>
    </row>
    <row r="341" spans="1:30" s="23" customFormat="1" x14ac:dyDescent="0.3">
      <c r="A341" s="47"/>
      <c r="B341" s="44" t="s">
        <v>237</v>
      </c>
      <c r="C341" s="40"/>
      <c r="D341" s="204"/>
      <c r="E341" s="204"/>
      <c r="F341" s="204"/>
      <c r="G341" s="204"/>
      <c r="H341" s="204"/>
      <c r="I341" s="204"/>
      <c r="J341" s="204"/>
      <c r="K341" s="204"/>
      <c r="L341" s="204"/>
      <c r="M341" s="204"/>
      <c r="N341" s="204"/>
      <c r="O341" s="204"/>
      <c r="P341" s="204"/>
      <c r="Q341" s="204"/>
      <c r="R341" s="204"/>
      <c r="S341" s="204"/>
      <c r="T341" s="204"/>
      <c r="U341" s="204"/>
      <c r="V341" s="204"/>
      <c r="W341" s="204"/>
      <c r="X341" s="210"/>
      <c r="Y341" s="198"/>
      <c r="Z341" s="211">
        <f>+AB67</f>
        <v>290963</v>
      </c>
      <c r="AA341" s="198"/>
      <c r="AB341" s="40"/>
      <c r="AC341" s="43"/>
      <c r="AD341" s="22"/>
    </row>
    <row r="342" spans="1:30" s="23" customFormat="1" x14ac:dyDescent="0.3">
      <c r="A342" s="47"/>
      <c r="B342" s="44"/>
      <c r="C342" s="40"/>
      <c r="D342" s="204"/>
      <c r="E342" s="204"/>
      <c r="F342" s="204"/>
      <c r="G342" s="204"/>
      <c r="H342" s="204"/>
      <c r="I342" s="204"/>
      <c r="J342" s="204"/>
      <c r="K342" s="204"/>
      <c r="L342" s="204"/>
      <c r="M342" s="204"/>
      <c r="N342" s="204"/>
      <c r="O342" s="204"/>
      <c r="P342" s="204"/>
      <c r="Q342" s="204"/>
      <c r="R342" s="204"/>
      <c r="S342" s="204"/>
      <c r="T342" s="204"/>
      <c r="U342" s="204"/>
      <c r="V342" s="204"/>
      <c r="W342" s="204"/>
      <c r="X342" s="210"/>
      <c r="Y342" s="198"/>
      <c r="Z342" s="211"/>
      <c r="AA342" s="198"/>
      <c r="AB342" s="40"/>
      <c r="AC342" s="43"/>
      <c r="AD342" s="22"/>
    </row>
    <row r="343" spans="1:30" s="23" customFormat="1" x14ac:dyDescent="0.3">
      <c r="A343" s="47"/>
      <c r="B343" s="44" t="s">
        <v>305</v>
      </c>
      <c r="C343" s="40"/>
      <c r="D343" s="204"/>
      <c r="E343" s="204"/>
      <c r="F343" s="204"/>
      <c r="G343" s="204"/>
      <c r="H343" s="204"/>
      <c r="I343" s="204"/>
      <c r="J343" s="204"/>
      <c r="K343" s="204"/>
      <c r="L343" s="204"/>
      <c r="M343" s="204"/>
      <c r="N343" s="204"/>
      <c r="O343" s="204"/>
      <c r="P343" s="204"/>
      <c r="Q343" s="204"/>
      <c r="R343" s="204"/>
      <c r="S343" s="204"/>
      <c r="T343" s="204"/>
      <c r="U343" s="204"/>
      <c r="V343" s="204"/>
      <c r="W343" s="204"/>
      <c r="X343" s="210"/>
      <c r="Y343" s="198"/>
      <c r="Z343" s="236">
        <f>(D31*0.05+F31+H31+J31+L31+N31)/AB31</f>
        <v>0.81741911906307951</v>
      </c>
      <c r="AA343" s="198"/>
      <c r="AB343" s="40"/>
      <c r="AC343" s="43"/>
      <c r="AD343" s="22"/>
    </row>
    <row r="344" spans="1:30" s="23" customFormat="1" x14ac:dyDescent="0.3">
      <c r="A344" s="18"/>
      <c r="B344" s="20"/>
      <c r="C344" s="20"/>
      <c r="D344" s="214"/>
      <c r="E344" s="214"/>
      <c r="F344" s="214"/>
      <c r="G344" s="214"/>
      <c r="H344" s="214"/>
      <c r="I344" s="214"/>
      <c r="J344" s="214"/>
      <c r="K344" s="214"/>
      <c r="L344" s="214"/>
      <c r="M344" s="214"/>
      <c r="N344" s="214"/>
      <c r="O344" s="214"/>
      <c r="P344" s="214"/>
      <c r="Q344" s="214"/>
      <c r="R344" s="214"/>
      <c r="S344" s="214"/>
      <c r="T344" s="214"/>
      <c r="U344" s="214"/>
      <c r="V344" s="214"/>
      <c r="W344" s="214"/>
      <c r="X344" s="214"/>
      <c r="Y344" s="214"/>
      <c r="Z344" s="215"/>
      <c r="AA344" s="214"/>
      <c r="AB344" s="20"/>
      <c r="AC344" s="21"/>
      <c r="AD344" s="22"/>
    </row>
    <row r="345" spans="1:30" s="23" customFormat="1" x14ac:dyDescent="0.3">
      <c r="A345" s="18"/>
      <c r="B345" s="19" t="s">
        <v>62</v>
      </c>
      <c r="C345" s="20"/>
      <c r="D345" s="216" t="s">
        <v>66</v>
      </c>
      <c r="E345" s="19"/>
      <c r="F345" s="19" t="s">
        <v>67</v>
      </c>
      <c r="G345" s="20"/>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s="23" customFormat="1" x14ac:dyDescent="0.3">
      <c r="A346" s="18"/>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1"/>
      <c r="AD346" s="22"/>
    </row>
    <row r="347" spans="1:30" s="23" customFormat="1" x14ac:dyDescent="0.3">
      <c r="A347" s="18"/>
      <c r="B347" s="19" t="s">
        <v>152</v>
      </c>
      <c r="C347" s="19"/>
      <c r="D347" s="217" t="s">
        <v>122</v>
      </c>
      <c r="E347" s="19"/>
      <c r="F347" s="19" t="s">
        <v>168</v>
      </c>
      <c r="G347" s="19"/>
      <c r="H347" s="19"/>
      <c r="I347" s="20"/>
      <c r="J347" s="20"/>
      <c r="K347" s="20"/>
      <c r="L347" s="20"/>
      <c r="M347" s="20"/>
      <c r="N347" s="20"/>
      <c r="O347" s="20"/>
      <c r="P347" s="20"/>
      <c r="Q347" s="20"/>
      <c r="R347" s="20"/>
      <c r="S347" s="20"/>
      <c r="T347" s="20"/>
      <c r="U347" s="20"/>
      <c r="V347" s="20"/>
      <c r="W347" s="20"/>
      <c r="X347" s="20"/>
      <c r="Y347" s="20"/>
      <c r="Z347" s="20"/>
      <c r="AA347" s="20"/>
      <c r="AB347" s="20"/>
      <c r="AC347" s="21"/>
      <c r="AD347" s="22"/>
    </row>
    <row r="348" spans="1:30" s="23" customFormat="1" x14ac:dyDescent="0.3">
      <c r="A348" s="18"/>
      <c r="B348" s="19" t="s">
        <v>153</v>
      </c>
      <c r="C348" s="19"/>
      <c r="D348" s="217" t="s">
        <v>98</v>
      </c>
      <c r="E348" s="19"/>
      <c r="F348" s="19" t="s">
        <v>169</v>
      </c>
      <c r="G348" s="19"/>
      <c r="H348" s="19"/>
      <c r="I348" s="20"/>
      <c r="J348" s="20"/>
      <c r="K348" s="20"/>
      <c r="L348" s="20"/>
      <c r="M348" s="20"/>
      <c r="N348" s="20"/>
      <c r="O348" s="20"/>
      <c r="P348" s="20"/>
      <c r="Q348" s="20"/>
      <c r="R348" s="20"/>
      <c r="S348" s="20"/>
      <c r="T348" s="20"/>
      <c r="U348" s="20"/>
      <c r="V348" s="20"/>
      <c r="W348" s="20"/>
      <c r="X348" s="20"/>
      <c r="Y348" s="20"/>
      <c r="Z348" s="20"/>
      <c r="AA348" s="20"/>
      <c r="AB348" s="20"/>
      <c r="AC348" s="21"/>
      <c r="AD348" s="22"/>
    </row>
    <row r="349" spans="1:30" x14ac:dyDescent="0.3">
      <c r="A349" s="218"/>
      <c r="B349" s="258"/>
      <c r="C349" s="219"/>
      <c r="D349" s="220"/>
      <c r="E349" s="220"/>
      <c r="F349" s="220"/>
      <c r="G349" s="220"/>
      <c r="H349" s="220"/>
      <c r="I349" s="220"/>
      <c r="J349" s="220"/>
      <c r="K349" s="220"/>
      <c r="L349" s="220"/>
      <c r="M349" s="220"/>
      <c r="N349" s="220"/>
      <c r="O349" s="220"/>
      <c r="P349" s="220"/>
      <c r="Q349" s="220"/>
      <c r="R349" s="220"/>
      <c r="S349" s="220"/>
      <c r="T349" s="220"/>
      <c r="U349" s="220"/>
      <c r="V349" s="220"/>
      <c r="W349" s="220"/>
      <c r="X349" s="220"/>
      <c r="Y349" s="220"/>
      <c r="Z349" s="220"/>
      <c r="AA349" s="220"/>
      <c r="AB349" s="220"/>
      <c r="AC349" s="221"/>
      <c r="AD349" s="5"/>
    </row>
    <row r="350" spans="1:30" ht="18" x14ac:dyDescent="0.35">
      <c r="A350" s="218"/>
      <c r="B350" s="259" t="s">
        <v>109</v>
      </c>
      <c r="C350" s="219"/>
      <c r="D350" s="220"/>
      <c r="E350" s="220"/>
      <c r="F350" s="220"/>
      <c r="G350" s="220"/>
      <c r="H350" s="220"/>
      <c r="I350" s="220"/>
      <c r="J350" s="220"/>
      <c r="K350" s="220"/>
      <c r="L350" s="220"/>
      <c r="M350" s="220"/>
      <c r="N350" s="220"/>
      <c r="O350" s="220"/>
      <c r="P350" s="260" t="s">
        <v>167</v>
      </c>
      <c r="Q350" s="220"/>
      <c r="R350" s="220"/>
      <c r="S350" s="220"/>
      <c r="T350" s="220"/>
      <c r="U350" s="220"/>
      <c r="V350" s="220"/>
      <c r="W350" s="220"/>
      <c r="X350" s="220"/>
      <c r="Y350" s="220"/>
      <c r="Z350" s="220"/>
      <c r="AA350" s="220"/>
      <c r="AB350" s="220"/>
      <c r="AC350" s="221"/>
      <c r="AD350" s="5"/>
    </row>
    <row r="351" spans="1:30" ht="18" x14ac:dyDescent="0.35">
      <c r="A351" s="218"/>
      <c r="B351" s="259"/>
      <c r="C351" s="219"/>
      <c r="D351" s="220"/>
      <c r="E351" s="220"/>
      <c r="F351" s="220"/>
      <c r="G351" s="220"/>
      <c r="H351" s="220"/>
      <c r="I351" s="220"/>
      <c r="J351" s="220"/>
      <c r="K351" s="220"/>
      <c r="L351" s="220"/>
      <c r="M351" s="220"/>
      <c r="N351" s="220"/>
      <c r="O351" s="220"/>
      <c r="P351" s="260"/>
      <c r="Q351" s="220"/>
      <c r="R351" s="220"/>
      <c r="S351" s="220"/>
      <c r="T351" s="220"/>
      <c r="U351" s="220"/>
      <c r="V351" s="220"/>
      <c r="W351" s="220"/>
      <c r="X351" s="220"/>
      <c r="Y351" s="220"/>
      <c r="Z351" s="220"/>
      <c r="AA351" s="220"/>
      <c r="AB351" s="220"/>
      <c r="AC351" s="221"/>
      <c r="AD351" s="5"/>
    </row>
    <row r="352" spans="1:30" ht="18.600000000000001" thickBot="1" x14ac:dyDescent="0.4">
      <c r="A352" s="218"/>
      <c r="B352" s="222" t="str">
        <f>B238</f>
        <v>PM26 INVESTOR REPORT QUARTER ENDING OCTOBER 2022</v>
      </c>
      <c r="C352" s="219"/>
      <c r="D352" s="220"/>
      <c r="E352" s="220"/>
      <c r="F352" s="220"/>
      <c r="G352" s="220"/>
      <c r="H352" s="220"/>
      <c r="I352" s="220"/>
      <c r="J352" s="220"/>
      <c r="K352" s="220"/>
      <c r="L352" s="220"/>
      <c r="M352" s="220"/>
      <c r="N352" s="220"/>
      <c r="O352" s="220"/>
      <c r="P352" s="220"/>
      <c r="Q352" s="220"/>
      <c r="R352" s="220"/>
      <c r="S352" s="220"/>
      <c r="T352" s="220"/>
      <c r="U352" s="220"/>
      <c r="V352" s="220"/>
      <c r="W352" s="220"/>
      <c r="X352" s="220"/>
      <c r="Y352" s="220"/>
      <c r="Z352" s="220"/>
      <c r="AA352" s="220"/>
      <c r="AB352" s="220"/>
      <c r="AC352" s="223"/>
      <c r="AD352" s="5"/>
    </row>
    <row r="353" spans="1:29" x14ac:dyDescent="0.3">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row>
    <row r="354" spans="1:29" x14ac:dyDescent="0.3">
      <c r="B354" s="6" t="s">
        <v>307</v>
      </c>
      <c r="AC354" s="271"/>
    </row>
    <row r="355" spans="1:29" x14ac:dyDescent="0.3">
      <c r="B355" s="271"/>
    </row>
    <row r="356" spans="1:29" x14ac:dyDescent="0.3">
      <c r="B356" s="279" t="s">
        <v>354</v>
      </c>
    </row>
    <row r="357" spans="1:29" x14ac:dyDescent="0.3">
      <c r="B357" s="270" t="s">
        <v>352</v>
      </c>
    </row>
    <row r="358" spans="1:29" x14ac:dyDescent="0.3">
      <c r="B358" s="300" t="s">
        <v>353</v>
      </c>
    </row>
  </sheetData>
  <hyperlinks>
    <hyperlink ref="K9" r:id="rId1" display="http://www.paragon-group.co.uk" xr:uid="{1D919F72-9CDE-4DFA-AC7C-1F7F44E23EA8}"/>
    <hyperlink ref="P350" r:id="rId2" xr:uid="{265DD814-40CA-4F62-AF0A-06273B03B272}"/>
    <hyperlink ref="P278" r:id="rId3" xr:uid="{B530071F-9A8E-4614-B2DF-88973EC961EA}"/>
    <hyperlink ref="B358" r:id="rId4" display="https://investorreporting.paragonbankinggroup.co.uk/bondinvestor_viewer/resources/bondinvestor/pdf/investornews/2021/libor-mortgages-transition-july-19" xr:uid="{252CB688-6EF6-4B2D-A435-F2FE09AB0E47}"/>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8" max="18" man="1"/>
  </rowBreaks>
  <colBreaks count="1" manualBreakCount="1">
    <brk id="29" max="299" man="1"/>
  </colBreaks>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C3D68-13CF-4F5C-97D6-3A434C564E97}">
  <sheetPr>
    <tabColor rgb="FF2D2926"/>
  </sheetPr>
  <dimension ref="A1:JB361"/>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0.29905831564698382</v>
      </c>
      <c r="Z17" s="29" t="s">
        <v>258</v>
      </c>
      <c r="AA17" s="29">
        <v>0.70094168435301618</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44979</v>
      </c>
      <c r="AC19" s="21"/>
      <c r="AD19" s="22"/>
    </row>
    <row r="20" spans="1:33" s="23" customFormat="1" x14ac:dyDescent="0.3">
      <c r="A20" s="18"/>
      <c r="B20" s="20"/>
      <c r="C20" s="20"/>
      <c r="D20" s="308"/>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307"/>
      <c r="E21" s="20"/>
      <c r="F21" s="287"/>
      <c r="G21" s="20"/>
      <c r="H21" s="309"/>
      <c r="I21" s="20"/>
      <c r="J21" s="308"/>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213</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214</v>
      </c>
      <c r="I27" s="229"/>
      <c r="J27" s="229" t="s">
        <v>215</v>
      </c>
      <c r="K27" s="229"/>
      <c r="L27" s="229" t="s">
        <v>365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55920.365980000002</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4927.9069399999998</v>
      </c>
      <c r="Q30" s="54"/>
      <c r="R30" s="54">
        <v>0</v>
      </c>
      <c r="S30" s="54"/>
      <c r="T30" s="54" t="s">
        <v>83</v>
      </c>
      <c r="U30" s="54"/>
      <c r="V30" s="54" t="s">
        <v>83</v>
      </c>
      <c r="W30" s="54"/>
      <c r="X30" s="54" t="s">
        <v>83</v>
      </c>
      <c r="Y30" s="54" t="s">
        <v>83</v>
      </c>
      <c r="Z30" s="54"/>
      <c r="AA30" s="49"/>
      <c r="AB30" s="50">
        <f>SUM(D30:N30)</f>
        <v>290963.36598</v>
      </c>
      <c r="AC30" s="51"/>
      <c r="AD30" s="22"/>
    </row>
    <row r="31" spans="1:33" s="23" customFormat="1" x14ac:dyDescent="0.3">
      <c r="A31" s="47"/>
      <c r="B31" s="44" t="s">
        <v>92</v>
      </c>
      <c r="C31" s="49"/>
      <c r="D31" s="57">
        <f>D29*D32</f>
        <v>42310.341370000002</v>
      </c>
      <c r="E31" s="57"/>
      <c r="F31" s="57">
        <f>F29</f>
        <v>151540</v>
      </c>
      <c r="G31" s="57"/>
      <c r="H31" s="57">
        <f>H29</f>
        <v>24741</v>
      </c>
      <c r="I31" s="57"/>
      <c r="J31" s="57">
        <f>J29</f>
        <v>18555</v>
      </c>
      <c r="K31" s="57"/>
      <c r="L31" s="57">
        <f>L29</f>
        <v>20102</v>
      </c>
      <c r="M31" s="57"/>
      <c r="N31" s="57">
        <f>N29</f>
        <v>20105</v>
      </c>
      <c r="O31" s="57"/>
      <c r="P31" s="57">
        <f>P29*P32</f>
        <v>4062.9637099999995</v>
      </c>
      <c r="Q31" s="57"/>
      <c r="R31" s="57">
        <v>0</v>
      </c>
      <c r="S31" s="57"/>
      <c r="T31" s="57" t="s">
        <v>83</v>
      </c>
      <c r="U31" s="57"/>
      <c r="V31" s="57" t="s">
        <v>83</v>
      </c>
      <c r="W31" s="57"/>
      <c r="X31" s="57" t="s">
        <v>83</v>
      </c>
      <c r="Y31" s="57" t="s">
        <v>83</v>
      </c>
      <c r="Z31" s="57"/>
      <c r="AA31" s="49"/>
      <c r="AB31" s="56">
        <f>SUM(D31:N31)</f>
        <v>277353.34137000004</v>
      </c>
      <c r="AC31" s="51"/>
      <c r="AD31" s="22"/>
      <c r="AE31" s="235"/>
    </row>
    <row r="32" spans="1:33" s="65" customFormat="1" x14ac:dyDescent="0.3">
      <c r="A32" s="58"/>
      <c r="B32" s="166" t="s">
        <v>88</v>
      </c>
      <c r="C32" s="61"/>
      <c r="D32" s="60">
        <v>0.11033</v>
      </c>
      <c r="E32" s="60"/>
      <c r="F32" s="60">
        <v>1</v>
      </c>
      <c r="G32" s="60"/>
      <c r="H32" s="60">
        <v>1</v>
      </c>
      <c r="I32" s="60"/>
      <c r="J32" s="60">
        <v>1</v>
      </c>
      <c r="K32" s="60"/>
      <c r="L32" s="60">
        <v>1</v>
      </c>
      <c r="M32" s="60"/>
      <c r="N32" s="60">
        <v>1</v>
      </c>
      <c r="O32" s="60"/>
      <c r="P32" s="60">
        <v>0.39922999999999997</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0.14582000000000001</v>
      </c>
      <c r="E33" s="60"/>
      <c r="F33" s="60">
        <v>1</v>
      </c>
      <c r="G33" s="60"/>
      <c r="H33" s="60">
        <v>1</v>
      </c>
      <c r="I33" s="60"/>
      <c r="J33" s="60">
        <v>1</v>
      </c>
      <c r="K33" s="60"/>
      <c r="L33" s="60">
        <v>1</v>
      </c>
      <c r="M33" s="60"/>
      <c r="N33" s="60">
        <v>1</v>
      </c>
      <c r="O33" s="60"/>
      <c r="P33" s="60">
        <v>0.48421999999999998</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4.3221700000000002E-2</v>
      </c>
      <c r="E35" s="241"/>
      <c r="F35" s="241">
        <v>4.4721700000000003E-2</v>
      </c>
      <c r="G35" s="241"/>
      <c r="H35" s="241">
        <v>5.1721700000000002E-2</v>
      </c>
      <c r="I35" s="241"/>
      <c r="J35" s="241">
        <v>5.5221699999999999E-2</v>
      </c>
      <c r="K35" s="241"/>
      <c r="L35" s="241">
        <v>5.8721700000000002E-2</v>
      </c>
      <c r="M35" s="241"/>
      <c r="N35" s="241">
        <v>6.8721699999999997E-2</v>
      </c>
      <c r="O35" s="241"/>
      <c r="P35" s="241">
        <v>7.27217E-2</v>
      </c>
      <c r="Q35" s="241"/>
      <c r="R35" s="241">
        <v>7.27217E-2</v>
      </c>
      <c r="S35" s="68"/>
      <c r="T35" s="68" t="s">
        <v>83</v>
      </c>
      <c r="U35" s="68"/>
      <c r="V35" s="68" t="s">
        <v>83</v>
      </c>
      <c r="W35" s="68"/>
      <c r="X35" s="68" t="s">
        <v>83</v>
      </c>
      <c r="Y35" s="68" t="s">
        <v>83</v>
      </c>
      <c r="Z35" s="68"/>
      <c r="AA35" s="40"/>
      <c r="AB35" s="67">
        <f>SUMPRODUCT(D35:N35,D30:N30)/AB30</f>
        <v>4.8323809659062862E-2</v>
      </c>
      <c r="AC35" s="43"/>
      <c r="AD35" s="22"/>
    </row>
    <row r="36" spans="1:30" s="23" customFormat="1" x14ac:dyDescent="0.3">
      <c r="A36" s="47"/>
      <c r="B36" s="40" t="s">
        <v>10</v>
      </c>
      <c r="C36" s="69"/>
      <c r="D36" s="241">
        <v>3.03906E-2</v>
      </c>
      <c r="E36" s="241"/>
      <c r="F36" s="241">
        <v>3.1890599999999998E-2</v>
      </c>
      <c r="G36" s="241"/>
      <c r="H36" s="241">
        <v>3.8890599999999997E-2</v>
      </c>
      <c r="I36" s="241"/>
      <c r="J36" s="241">
        <v>4.2390600000000001E-2</v>
      </c>
      <c r="K36" s="241"/>
      <c r="L36" s="241">
        <v>4.5890599999999997E-2</v>
      </c>
      <c r="M36" s="241"/>
      <c r="N36" s="241">
        <v>5.5890599999999999E-2</v>
      </c>
      <c r="O36" s="241"/>
      <c r="P36" s="241">
        <v>5.9890600000000002E-2</v>
      </c>
      <c r="Q36" s="241"/>
      <c r="R36" s="241">
        <v>5.9890600000000002E-2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0.43076013903229987</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44972</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92</v>
      </c>
      <c r="Y48" s="40"/>
      <c r="Z48" s="76">
        <v>44788</v>
      </c>
      <c r="AA48" s="77"/>
      <c r="AB48" s="76">
        <v>44879</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92</v>
      </c>
      <c r="Y49" s="40"/>
      <c r="Z49" s="76">
        <v>44880</v>
      </c>
      <c r="AA49" s="77"/>
      <c r="AB49" s="76">
        <v>44971</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44971</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380</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290963</v>
      </c>
      <c r="S58" s="238"/>
      <c r="T58" s="237">
        <f>139+139</f>
        <v>278</v>
      </c>
      <c r="U58" s="237"/>
      <c r="V58" s="237">
        <v>13334</v>
      </c>
      <c r="W58" s="238"/>
      <c r="X58" s="238">
        <v>0</v>
      </c>
      <c r="Y58" s="238"/>
      <c r="Z58" s="238">
        <v>0</v>
      </c>
      <c r="AA58" s="238"/>
      <c r="AB58" s="237">
        <f>R58-T58-V58+X58-Z58</f>
        <v>277351</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290963</v>
      </c>
      <c r="S61" s="238"/>
      <c r="T61" s="238">
        <f>T58+T59</f>
        <v>278</v>
      </c>
      <c r="U61" s="238"/>
      <c r="V61" s="238">
        <f>SUM(V58:V60)</f>
        <v>13334</v>
      </c>
      <c r="W61" s="238"/>
      <c r="X61" s="238">
        <f>SUM(X58:X60)</f>
        <v>0</v>
      </c>
      <c r="Y61" s="238"/>
      <c r="Z61" s="238">
        <f>SUM(Z58:Z60)</f>
        <v>0</v>
      </c>
      <c r="AA61" s="238"/>
      <c r="AB61" s="238">
        <f>SUM(AB58:AB60)</f>
        <v>277351</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0</v>
      </c>
      <c r="S64" s="238"/>
      <c r="T64" s="238">
        <v>0</v>
      </c>
      <c r="U64" s="238"/>
      <c r="V64" s="238">
        <v>2</v>
      </c>
      <c r="W64" s="238"/>
      <c r="X64" s="238"/>
      <c r="Y64" s="238"/>
      <c r="Z64" s="238"/>
      <c r="AA64" s="238"/>
      <c r="AB64" s="238">
        <f>R64+V64</f>
        <v>2</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290963</v>
      </c>
      <c r="S67" s="238"/>
      <c r="T67" s="238"/>
      <c r="U67" s="238"/>
      <c r="V67" s="238"/>
      <c r="W67" s="238"/>
      <c r="X67" s="238"/>
      <c r="Y67" s="238"/>
      <c r="Z67" s="238"/>
      <c r="AA67" s="238"/>
      <c r="AB67" s="238">
        <f>SUM(AB61:AB66)</f>
        <v>277353</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+Z239</f>
        <v>44957</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0</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+T58+V58+Z58+1</f>
        <v>13613</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2310+1508-234-367</f>
        <v>3217</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116+20</f>
        <v>136</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243</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865</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378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431</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4013</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13613</v>
      </c>
      <c r="AA84" s="40"/>
      <c r="AB84" s="97">
        <f>SUM(AB71:AB83)</f>
        <v>8905</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13613</v>
      </c>
      <c r="AA87" s="40"/>
      <c r="AB87" s="97">
        <f>AB84+AB85+AB86</f>
        <v>8905</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-147-16-5</f>
        <v>-168</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859</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-609</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-1708</v>
      </c>
      <c r="AC94" s="114"/>
      <c r="AD94" s="30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-322</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-258</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-297</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-1</v>
      </c>
      <c r="AA101" s="112"/>
      <c r="AB101" s="98">
        <v>1</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-1039</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-3000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-348</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-90</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-865</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-12-89</f>
        <v>-101</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30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-934</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-13610</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-13610</v>
      </c>
      <c r="AA130" s="97"/>
      <c r="AB130" s="97">
        <f>SUM(AB88:AB128)</f>
        <v>-8905</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2</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JANUARY 2023</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+'October 22'!AB146</f>
        <v>4348.5499999999993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-865</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3483.5499999999993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+'October 22'!AB159</f>
        <v>579.85500000000002</v>
      </c>
      <c r="AC150" s="43"/>
      <c r="AD150" s="22"/>
      <c r="AE150" s="115"/>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c r="AE159" s="115"/>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+'October 22'!AB165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+'October 22'!AB173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-1</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-1</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1</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+'October 22'!AB182</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311" t="s">
        <v>381</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237">
        <f>AB197+AB189</f>
        <v>1470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379</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431</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1039</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+'October 22'!AB190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382</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f>-AB102</f>
        <v>1039</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220</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+AB187-AB102</f>
        <v>1339</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AB187-AB189+AB188</f>
        <v>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+'October 22'!AB199</f>
        <v>3511</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237">
        <f>AB205</f>
        <v>3067</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377</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237">
        <v>131</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222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AB83</f>
        <v>4013</v>
      </c>
      <c r="AC198" s="43"/>
      <c r="AD198" s="310"/>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7" customFormat="1" x14ac:dyDescent="0.3">
      <c r="A199" s="47"/>
      <c r="B199" s="40" t="s">
        <v>356</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f>AB195+AB196-AB198-AB197</f>
        <v>2434</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9" customFormat="1" ht="16.2" thickBot="1" x14ac:dyDescent="0.35">
      <c r="A200" s="138"/>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126"/>
      <c r="AC200" s="10"/>
      <c r="AD200" s="5"/>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row>
    <row r="201" spans="1:262" x14ac:dyDescent="0.3">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134"/>
      <c r="AC201" s="4"/>
      <c r="AD201" s="5"/>
    </row>
    <row r="202" spans="1:262" s="136" customFormat="1" x14ac:dyDescent="0.3">
      <c r="A202" s="7"/>
      <c r="B202" s="125" t="s">
        <v>350</v>
      </c>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135"/>
      <c r="AC202" s="10"/>
      <c r="AD202" s="5"/>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row>
    <row r="203" spans="1:262" s="137" customFormat="1" x14ac:dyDescent="0.3">
      <c r="A203" s="47"/>
      <c r="B203" s="40" t="s">
        <v>209</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v>901</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40" t="s">
        <v>210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f>+'October 22'!AB207</f>
        <v>3118</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250</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v>3067</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59" t="s">
        <v>223</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-AB103</f>
        <v>3000</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7" customFormat="1" x14ac:dyDescent="0.3">
      <c r="A207" s="47"/>
      <c r="B207" s="40" t="s">
        <v>211</v>
      </c>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98">
        <f>AB204-AB205+AB206</f>
        <v>3051</v>
      </c>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9" customFormat="1" ht="16.2" thickBot="1" x14ac:dyDescent="0.35">
      <c r="A208" s="138"/>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126"/>
      <c r="AC208" s="10"/>
      <c r="AD208" s="5"/>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row>
    <row r="209" spans="1:262" x14ac:dyDescent="0.3">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134"/>
      <c r="AC209" s="4"/>
      <c r="AD209" s="5"/>
    </row>
    <row r="210" spans="1:262" s="136" customFormat="1" x14ac:dyDescent="0.3">
      <c r="A210" s="7"/>
      <c r="B210" s="125" t="s">
        <v>229</v>
      </c>
      <c r="C210" s="99"/>
      <c r="D210" s="99"/>
      <c r="E210" s="99"/>
      <c r="F210" s="99"/>
      <c r="G210" s="99"/>
      <c r="H210" s="99"/>
      <c r="I210" s="99"/>
      <c r="J210" s="99"/>
      <c r="K210" s="99"/>
      <c r="L210" s="99"/>
      <c r="M210" s="99"/>
      <c r="N210" s="99"/>
      <c r="O210" s="99"/>
      <c r="P210" s="99"/>
      <c r="Q210" s="99"/>
      <c r="R210" s="99"/>
      <c r="S210" s="99"/>
      <c r="T210" s="99"/>
      <c r="U210" s="99"/>
      <c r="V210" s="99"/>
      <c r="W210" s="99"/>
      <c r="X210" s="99"/>
      <c r="Y210" s="233" t="s">
        <v>235</v>
      </c>
      <c r="Z210" s="233" t="s">
        <v>236</v>
      </c>
      <c r="AA210" s="12"/>
      <c r="AB210" s="234" t="s">
        <v>80</v>
      </c>
      <c r="AC210" s="10"/>
      <c r="AD210" s="5"/>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row>
    <row r="211" spans="1:262" s="137" customFormat="1" x14ac:dyDescent="0.3">
      <c r="A211" s="47"/>
      <c r="B211" s="40" t="s">
        <v>230</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+AB29*0.16</f>
        <v>98965.119999999995</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231</v>
      </c>
      <c r="C212" s="40"/>
      <c r="D212" s="40"/>
      <c r="E212" s="40"/>
      <c r="F212" s="40"/>
      <c r="G212" s="40"/>
      <c r="H212" s="40"/>
      <c r="I212" s="40"/>
      <c r="J212" s="40"/>
      <c r="K212" s="40"/>
      <c r="L212" s="40"/>
      <c r="M212" s="40"/>
      <c r="N212" s="40"/>
      <c r="O212" s="40"/>
      <c r="P212" s="40"/>
      <c r="Q212" s="40"/>
      <c r="R212" s="40"/>
      <c r="S212" s="40"/>
      <c r="T212" s="40"/>
      <c r="U212" s="40"/>
      <c r="V212" s="40"/>
      <c r="W212" s="40"/>
      <c r="X212" s="40"/>
      <c r="Y212" s="98">
        <f>+'October 22'!Y213</f>
        <v>0</v>
      </c>
      <c r="Z212" s="98">
        <f>+'October 22'!Z213</f>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232</v>
      </c>
      <c r="C213" s="40"/>
      <c r="D213" s="40"/>
      <c r="E213" s="40"/>
      <c r="F213" s="40"/>
      <c r="G213" s="40"/>
      <c r="H213" s="40"/>
      <c r="I213" s="40"/>
      <c r="J213" s="40"/>
      <c r="K213" s="40"/>
      <c r="L213" s="40"/>
      <c r="M213" s="40"/>
      <c r="N213" s="40"/>
      <c r="O213" s="40"/>
      <c r="P213" s="40"/>
      <c r="Q213" s="40"/>
      <c r="R213" s="40"/>
      <c r="S213" s="40"/>
      <c r="T213" s="40"/>
      <c r="U213" s="40"/>
      <c r="V213" s="40"/>
      <c r="W213" s="40"/>
      <c r="X213" s="40"/>
      <c r="Y213" s="97">
        <v>0</v>
      </c>
      <c r="Z213" s="97">
        <v>0</v>
      </c>
      <c r="AA213" s="40"/>
      <c r="AB213" s="98">
        <f>Y213+Z213</f>
        <v>0</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233</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Y212+Y213</f>
        <v>0</v>
      </c>
      <c r="Z214" s="98">
        <f>Z213+Z212</f>
        <v>0</v>
      </c>
      <c r="AA214" s="40"/>
      <c r="AB214" s="98">
        <f>Y214+Z214</f>
        <v>0</v>
      </c>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7" customFormat="1" x14ac:dyDescent="0.3">
      <c r="A215" s="47"/>
      <c r="B215" s="40" t="s">
        <v>234</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f>Y211-Y214-Z214</f>
        <v>98965.119999999995</v>
      </c>
      <c r="Z215" s="70"/>
      <c r="AA215" s="40"/>
      <c r="AB215" s="98"/>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9" customFormat="1" ht="16.2" thickBot="1" x14ac:dyDescent="0.35">
      <c r="A216" s="138"/>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126"/>
      <c r="AC216" s="10"/>
      <c r="AD216" s="5"/>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row>
    <row r="217" spans="1:262" x14ac:dyDescent="0.3">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134"/>
      <c r="AC217" s="4"/>
      <c r="AD217" s="5"/>
    </row>
    <row r="218" spans="1:262" s="136" customFormat="1" x14ac:dyDescent="0.3">
      <c r="A218" s="7"/>
      <c r="B218" s="125" t="s">
        <v>261</v>
      </c>
      <c r="C218" s="99"/>
      <c r="D218" s="99"/>
      <c r="E218" s="99"/>
      <c r="F218" s="99"/>
      <c r="G218" s="99"/>
      <c r="H218" s="99"/>
      <c r="I218" s="99"/>
      <c r="J218" s="99"/>
      <c r="K218" s="99"/>
      <c r="L218" s="99"/>
      <c r="M218" s="99"/>
      <c r="N218" s="99"/>
      <c r="O218" s="99"/>
      <c r="P218" s="99"/>
      <c r="Q218" s="99"/>
      <c r="R218" s="99"/>
      <c r="S218" s="99"/>
      <c r="T218" s="99"/>
      <c r="U218" s="99"/>
      <c r="V218" s="99"/>
      <c r="W218" s="99"/>
      <c r="X218" s="99"/>
      <c r="Y218" s="233"/>
      <c r="Z218" s="233"/>
      <c r="AA218" s="12"/>
      <c r="AB218" s="234" t="s">
        <v>80</v>
      </c>
      <c r="AC218" s="10"/>
      <c r="AD218" s="5"/>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row>
    <row r="219" spans="1:262" s="137" customFormat="1" x14ac:dyDescent="0.3">
      <c r="A219" s="47"/>
      <c r="B219" s="40" t="s">
        <v>373</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70"/>
      <c r="AA219" s="40"/>
      <c r="AB219" s="237">
        <v>231763</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306</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237">
        <v>231700</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260</v>
      </c>
      <c r="C221" s="40"/>
      <c r="D221" s="40"/>
      <c r="E221" s="40"/>
      <c r="F221" s="40"/>
      <c r="G221" s="40"/>
      <c r="H221" s="40"/>
      <c r="I221" s="40"/>
      <c r="J221" s="40"/>
      <c r="K221" s="40"/>
      <c r="L221" s="40"/>
      <c r="M221" s="40"/>
      <c r="N221" s="40"/>
      <c r="O221" s="40"/>
      <c r="P221" s="40"/>
      <c r="Q221" s="40"/>
      <c r="R221" s="40"/>
      <c r="S221" s="40"/>
      <c r="T221" s="40"/>
      <c r="U221" s="40"/>
      <c r="V221" s="40"/>
      <c r="W221" s="40"/>
      <c r="X221" s="40"/>
      <c r="Y221" s="98"/>
      <c r="Z221" s="98"/>
      <c r="AA221" s="40"/>
      <c r="AB221" s="98">
        <f>AB219-AB220</f>
        <v>63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7" customFormat="1" x14ac:dyDescent="0.3">
      <c r="A222" s="47"/>
      <c r="B222" s="40" t="s">
        <v>303</v>
      </c>
      <c r="C222" s="40"/>
      <c r="D222" s="40"/>
      <c r="E222" s="40"/>
      <c r="F222" s="40"/>
      <c r="G222" s="40"/>
      <c r="H222" s="40"/>
      <c r="I222" s="40"/>
      <c r="J222" s="40"/>
      <c r="K222" s="40"/>
      <c r="L222" s="40"/>
      <c r="M222" s="40"/>
      <c r="N222" s="40"/>
      <c r="O222" s="40"/>
      <c r="P222" s="40"/>
      <c r="Q222" s="40"/>
      <c r="R222" s="40"/>
      <c r="S222" s="40"/>
      <c r="T222" s="40"/>
      <c r="U222" s="40"/>
      <c r="V222" s="40"/>
      <c r="W222" s="40"/>
      <c r="X222" s="40"/>
      <c r="Y222" s="97"/>
      <c r="Z222" s="97"/>
      <c r="AA222" s="40"/>
      <c r="AB222" s="240">
        <v>1.80859794428283E-2</v>
      </c>
      <c r="AC222" s="43"/>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39" customFormat="1" ht="16.2" thickBot="1" x14ac:dyDescent="0.35">
      <c r="A223" s="138"/>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126"/>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4"/>
      <c r="AC224" s="4"/>
      <c r="AD224" s="5"/>
    </row>
    <row r="225" spans="1:30" x14ac:dyDescent="0.3">
      <c r="A225" s="7"/>
      <c r="B225" s="125" t="s">
        <v>39</v>
      </c>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140"/>
      <c r="AC225" s="10"/>
      <c r="AD225" s="5"/>
    </row>
    <row r="226" spans="1:30" s="23" customFormat="1" x14ac:dyDescent="0.3">
      <c r="A226" s="47"/>
      <c r="B226" s="40" t="s">
        <v>40</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f>(AB87+AB89+AB90+AB91+AB92)/-(AB93+AB94)</f>
        <v>4.1406991799741046</v>
      </c>
      <c r="AC226" s="43" t="s">
        <v>81</v>
      </c>
      <c r="AD226" s="22"/>
    </row>
    <row r="227" spans="1:30" s="23" customFormat="1" x14ac:dyDescent="0.3">
      <c r="A227" s="47"/>
      <c r="B227" s="40" t="s">
        <v>41</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3.62</v>
      </c>
      <c r="AC227" s="43" t="s">
        <v>81</v>
      </c>
      <c r="AD227" s="22"/>
    </row>
    <row r="228" spans="1:30" s="23" customFormat="1" x14ac:dyDescent="0.3">
      <c r="A228" s="47"/>
      <c r="B228" s="40" t="s">
        <v>144</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(AB87+AB89+AB90+AB91+AB92+AB93+AB94)/-(AB95)</f>
        <v>22.599378881987576</v>
      </c>
      <c r="AC228" s="43" t="s">
        <v>81</v>
      </c>
      <c r="AD228" s="22"/>
    </row>
    <row r="229" spans="1:30" s="23" customFormat="1" x14ac:dyDescent="0.3">
      <c r="A229" s="47"/>
      <c r="B229" s="40" t="s">
        <v>145</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25.48</v>
      </c>
      <c r="AC229" s="43" t="s">
        <v>81</v>
      </c>
      <c r="AD229" s="22"/>
    </row>
    <row r="230" spans="1:30" s="23" customFormat="1" x14ac:dyDescent="0.3">
      <c r="A230" s="47"/>
      <c r="B230" s="40" t="s">
        <v>146</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(AB87+AB89+AB90+AB91+AB92+AB93+AB94+AB95)/-(AB97)</f>
        <v>26.95736434108527</v>
      </c>
      <c r="AC230" s="43" t="s">
        <v>81</v>
      </c>
      <c r="AD230" s="22"/>
    </row>
    <row r="231" spans="1:30" s="23" customFormat="1" x14ac:dyDescent="0.3">
      <c r="A231" s="47"/>
      <c r="B231" s="40" t="s">
        <v>147</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28.74</v>
      </c>
      <c r="AC231" s="43" t="s">
        <v>81</v>
      </c>
      <c r="AD231" s="22"/>
    </row>
    <row r="232" spans="1:30" s="23" customFormat="1" x14ac:dyDescent="0.3">
      <c r="A232" s="47"/>
      <c r="B232" s="40" t="s">
        <v>176</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1">
        <f>(AB87+AB89+AB90+AB91+AB92+AB93+AB94+AB95+AB97)/-(AB98)</f>
        <v>22.54882154882155</v>
      </c>
      <c r="AC232" s="43" t="s">
        <v>81</v>
      </c>
      <c r="AD232" s="22"/>
    </row>
    <row r="233" spans="1:30" s="23" customFormat="1" x14ac:dyDescent="0.3">
      <c r="A233" s="47"/>
      <c r="B233" s="40" t="s">
        <v>177</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2">
        <v>22.84</v>
      </c>
      <c r="AC233" s="43" t="s">
        <v>81</v>
      </c>
      <c r="AD233" s="22"/>
    </row>
    <row r="234" spans="1:30" s="23" customFormat="1" x14ac:dyDescent="0.3">
      <c r="A234" s="47"/>
      <c r="B234" s="40" t="s">
        <v>163</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1">
        <f>(AB87+AB89+AB90+AB91+AB92+AB93+AB94+AB95+AB97+AB98)/-(AB107)</f>
        <v>18.390804597701148</v>
      </c>
      <c r="AC234" s="43" t="s">
        <v>81</v>
      </c>
      <c r="AD234" s="22"/>
    </row>
    <row r="235" spans="1:30" s="23" customFormat="1" x14ac:dyDescent="0.3">
      <c r="A235" s="47"/>
      <c r="B235" s="40" t="s">
        <v>164</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2">
        <v>16.7</v>
      </c>
      <c r="AC235" s="43" t="s">
        <v>81</v>
      </c>
      <c r="AD235" s="22"/>
    </row>
    <row r="236" spans="1:30" s="23" customFormat="1" x14ac:dyDescent="0.3">
      <c r="A236" s="18"/>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21"/>
      <c r="AD236" s="22"/>
    </row>
    <row r="237" spans="1:30" s="23" customFormat="1" x14ac:dyDescent="0.3">
      <c r="A237" s="18"/>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1"/>
      <c r="AD237" s="22"/>
    </row>
    <row r="238" spans="1:30" s="23" customFormat="1" ht="18.600000000000001" thickBot="1" x14ac:dyDescent="0.4">
      <c r="A238" s="83"/>
      <c r="B238" s="84" t="str">
        <f>B134</f>
        <v>PM26 INVESTOR REPORT QUARTER ENDING JANUARY 2023</v>
      </c>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7"/>
      <c r="AD238" s="22"/>
    </row>
    <row r="239" spans="1:30" x14ac:dyDescent="0.3">
      <c r="A239" s="119"/>
      <c r="B239" s="120" t="s">
        <v>42</v>
      </c>
      <c r="C239" s="143"/>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v>44957</v>
      </c>
      <c r="AA239" s="121"/>
      <c r="AB239" s="121"/>
      <c r="AC239" s="123"/>
      <c r="AD239" s="5"/>
    </row>
    <row r="240" spans="1:30" x14ac:dyDescent="0.3">
      <c r="A240" s="145"/>
      <c r="B240" s="146"/>
      <c r="C240" s="147"/>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9"/>
      <c r="AB240" s="9"/>
      <c r="AC240" s="10"/>
      <c r="AD240" s="5"/>
    </row>
    <row r="241" spans="1:30" s="23" customFormat="1" x14ac:dyDescent="0.3">
      <c r="A241" s="47"/>
      <c r="B241" s="40" t="s">
        <v>43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3.773E-2</v>
      </c>
      <c r="AA241" s="40"/>
      <c r="AB241" s="40"/>
      <c r="AC241" s="43"/>
      <c r="AD241" s="22"/>
    </row>
    <row r="242" spans="1:30" s="23" customFormat="1" x14ac:dyDescent="0.3">
      <c r="A242" s="47"/>
      <c r="B242" s="40" t="s">
        <v>132</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v>2.0008281159907649E-2</v>
      </c>
      <c r="AA242" s="40"/>
      <c r="AB242" s="40"/>
      <c r="AC242" s="43"/>
      <c r="AD242" s="22"/>
    </row>
    <row r="243" spans="1:30" s="23" customFormat="1" x14ac:dyDescent="0.3">
      <c r="A243" s="47"/>
      <c r="B243" s="40" t="s">
        <v>44</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Z241-Z242</f>
        <v>1.7721718840092351E-2</v>
      </c>
      <c r="AA243" s="40"/>
      <c r="AB243" s="40"/>
      <c r="AC243" s="43"/>
      <c r="AD243" s="22"/>
    </row>
    <row r="244" spans="1:30" s="23" customFormat="1" x14ac:dyDescent="0.3">
      <c r="A244" s="47"/>
      <c r="B244" s="40" t="s">
        <v>45</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v>4.3328860297760903E-2</v>
      </c>
      <c r="AA244" s="40"/>
      <c r="AB244" s="40"/>
      <c r="AC244" s="43"/>
      <c r="AD244" s="22"/>
    </row>
    <row r="245" spans="1:30" s="23" customFormat="1" x14ac:dyDescent="0.3">
      <c r="A245" s="47"/>
      <c r="B245" s="40" t="s">
        <v>133</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+AB35</f>
        <v>4.8323809659062862E-2</v>
      </c>
      <c r="AA245" s="40"/>
      <c r="AB245" s="40"/>
      <c r="AC245" s="43"/>
      <c r="AD245" s="22"/>
    </row>
    <row r="246" spans="1:30" s="23" customFormat="1" x14ac:dyDescent="0.3">
      <c r="A246" s="47"/>
      <c r="B246" s="40" t="s">
        <v>383</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v>0</v>
      </c>
      <c r="AA246" s="40"/>
      <c r="AB246" s="40"/>
      <c r="AC246" s="43"/>
      <c r="AD246" s="22"/>
    </row>
    <row r="247" spans="1:30" s="23" customFormat="1" x14ac:dyDescent="0.3">
      <c r="A247" s="47"/>
      <c r="B247" s="40" t="s">
        <v>119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67">
        <f>(+AB87+AB89+AB92)/R67</f>
        <v>3.3557531369968002E-2</v>
      </c>
      <c r="AA247" s="40"/>
      <c r="AB247" s="40"/>
      <c r="AC247" s="43"/>
      <c r="AD247" s="22"/>
    </row>
    <row r="248" spans="1:30" s="23" customFormat="1" x14ac:dyDescent="0.3">
      <c r="A248" s="47"/>
      <c r="B248" s="40" t="s">
        <v>112</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0" s="23" customFormat="1" x14ac:dyDescent="0.3">
      <c r="A249" s="47"/>
      <c r="B249" s="40" t="s">
        <v>148</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0" s="23" customFormat="1" x14ac:dyDescent="0.3">
      <c r="A250" s="47"/>
      <c r="B250" s="40" t="s">
        <v>149</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0" s="23" customFormat="1" x14ac:dyDescent="0.3">
      <c r="A251" s="47"/>
      <c r="B251" s="40" t="s">
        <v>178</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0" s="23" customFormat="1" x14ac:dyDescent="0.3">
      <c r="A252" s="47"/>
      <c r="B252" s="40" t="s">
        <v>165</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0" s="23" customFormat="1" x14ac:dyDescent="0.3">
      <c r="A253" s="47"/>
      <c r="B253" s="40" t="s">
        <v>189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0" s="23" customFormat="1" x14ac:dyDescent="0.3">
      <c r="A254" s="47"/>
      <c r="B254" s="40" t="s">
        <v>190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150">
        <v>53097</v>
      </c>
      <c r="AA254" s="40"/>
      <c r="AB254" s="40"/>
      <c r="AC254" s="43"/>
      <c r="AD254" s="22"/>
    </row>
    <row r="255" spans="1:30" s="23" customFormat="1" x14ac:dyDescent="0.3">
      <c r="A255" s="47"/>
      <c r="B255" s="40" t="s">
        <v>47</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18.28</v>
      </c>
      <c r="AA255" s="40" t="s">
        <v>76</v>
      </c>
      <c r="AB255" s="40"/>
      <c r="AC255" s="43"/>
      <c r="AD255" s="22"/>
    </row>
    <row r="256" spans="1:30" s="23" customFormat="1" x14ac:dyDescent="0.3">
      <c r="A256" s="47"/>
      <c r="B256" s="40" t="s">
        <v>48</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71">
        <v>14.93502302744835</v>
      </c>
      <c r="AA256" s="40" t="s">
        <v>76</v>
      </c>
      <c r="AB256" s="40"/>
      <c r="AC256" s="43"/>
      <c r="AD256" s="22"/>
    </row>
    <row r="257" spans="1:31" s="23" customFormat="1" x14ac:dyDescent="0.3">
      <c r="A257" s="47"/>
      <c r="B257" s="40" t="s">
        <v>49</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f>(+T58+V58+Z58)/(R58+R64+R65)</f>
        <v>4.6782580603032003E-2</v>
      </c>
      <c r="AA257" s="40"/>
      <c r="AB257" s="40"/>
      <c r="AC257" s="43"/>
      <c r="AD257" s="22"/>
      <c r="AE257" s="271"/>
    </row>
    <row r="258" spans="1:31" s="23" customFormat="1" x14ac:dyDescent="0.3">
      <c r="A258" s="47"/>
      <c r="B258" s="40" t="s">
        <v>50</v>
      </c>
      <c r="C258" s="149"/>
      <c r="D258" s="73"/>
      <c r="E258" s="73"/>
      <c r="F258" s="73"/>
      <c r="G258" s="73"/>
      <c r="H258" s="73"/>
      <c r="I258" s="73"/>
      <c r="J258" s="73"/>
      <c r="K258" s="73"/>
      <c r="L258" s="73"/>
      <c r="M258" s="73"/>
      <c r="N258" s="73"/>
      <c r="O258" s="73"/>
      <c r="P258" s="73"/>
      <c r="Q258" s="73"/>
      <c r="R258" s="73"/>
      <c r="S258" s="73"/>
      <c r="T258" s="73"/>
      <c r="U258" s="73"/>
      <c r="V258" s="73"/>
      <c r="W258" s="73"/>
      <c r="X258" s="73"/>
      <c r="Y258" s="73"/>
      <c r="Z258" s="67">
        <v>0.19869999999999999</v>
      </c>
      <c r="AA258" s="40"/>
      <c r="AB258" s="40"/>
      <c r="AC258" s="43"/>
      <c r="AD258" s="22"/>
    </row>
    <row r="259" spans="1:31" x14ac:dyDescent="0.3">
      <c r="A259" s="145"/>
      <c r="B259" s="151"/>
      <c r="C259" s="151"/>
      <c r="D259" s="99"/>
      <c r="E259" s="99"/>
      <c r="F259" s="99"/>
      <c r="G259" s="99"/>
      <c r="H259" s="99"/>
      <c r="I259" s="99"/>
      <c r="J259" s="99"/>
      <c r="K259" s="99"/>
      <c r="L259" s="99"/>
      <c r="M259" s="99"/>
      <c r="N259" s="99"/>
      <c r="O259" s="99"/>
      <c r="P259" s="99"/>
      <c r="Q259" s="99"/>
      <c r="R259" s="99"/>
      <c r="S259" s="99"/>
      <c r="T259" s="99"/>
      <c r="U259" s="99"/>
      <c r="V259" s="99"/>
      <c r="W259" s="99"/>
      <c r="X259" s="99"/>
      <c r="Y259" s="99"/>
      <c r="Z259" s="126"/>
      <c r="AA259" s="99"/>
      <c r="AB259" s="152"/>
      <c r="AC259" s="10"/>
      <c r="AD259" s="5"/>
    </row>
    <row r="260" spans="1:31" x14ac:dyDescent="0.3">
      <c r="A260" s="153"/>
      <c r="B260" s="102" t="s">
        <v>51</v>
      </c>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t="s">
        <v>69</v>
      </c>
      <c r="Z260" s="154" t="s">
        <v>74</v>
      </c>
      <c r="AA260" s="34"/>
      <c r="AB260" s="34"/>
      <c r="AC260" s="36"/>
      <c r="AD260" s="5"/>
    </row>
    <row r="261" spans="1:31" s="23" customFormat="1" x14ac:dyDescent="0.3">
      <c r="A261" s="155"/>
      <c r="B261" s="37" t="s">
        <v>52</v>
      </c>
      <c r="C261" s="10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v>0</v>
      </c>
      <c r="Z261" s="157">
        <v>0</v>
      </c>
      <c r="AA261" s="37"/>
      <c r="AB261" s="158"/>
      <c r="AC261" s="159"/>
      <c r="AD261" s="22"/>
    </row>
    <row r="262" spans="1:31" s="23" customFormat="1" x14ac:dyDescent="0.3">
      <c r="A262" s="160"/>
      <c r="B262" s="40" t="s">
        <v>97</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+X314</f>
        <v>3</v>
      </c>
      <c r="Z262" s="162">
        <f>+Z314</f>
        <v>553</v>
      </c>
      <c r="AA262" s="40"/>
      <c r="AB262" s="163"/>
      <c r="AC262" s="164"/>
      <c r="AD262" s="22"/>
    </row>
    <row r="263" spans="1:31" s="23" customFormat="1" x14ac:dyDescent="0.3">
      <c r="A263" s="160"/>
      <c r="B263" s="40" t="s">
        <v>53</v>
      </c>
      <c r="C263" s="97"/>
      <c r="D263" s="48"/>
      <c r="E263" s="48"/>
      <c r="F263" s="48"/>
      <c r="G263" s="48"/>
      <c r="H263" s="48"/>
      <c r="I263" s="48"/>
      <c r="J263" s="48"/>
      <c r="K263" s="48"/>
      <c r="L263" s="48"/>
      <c r="M263" s="48"/>
      <c r="N263" s="48"/>
      <c r="O263" s="48"/>
      <c r="P263" s="48"/>
      <c r="Q263" s="48"/>
      <c r="R263" s="48"/>
      <c r="S263" s="48"/>
      <c r="T263" s="48"/>
      <c r="U263" s="48"/>
      <c r="V263" s="48"/>
      <c r="W263" s="48"/>
      <c r="X263" s="48"/>
      <c r="Y263" s="161">
        <f>+X336</f>
        <v>0</v>
      </c>
      <c r="Z263" s="162">
        <f>+Z336</f>
        <v>0</v>
      </c>
      <c r="AA263" s="40"/>
      <c r="AB263" s="163"/>
      <c r="AC263" s="164"/>
      <c r="AD263" s="22"/>
    </row>
    <row r="264" spans="1:31" x14ac:dyDescent="0.3">
      <c r="A264" s="165"/>
      <c r="B264" s="166" t="s">
        <v>166</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Z58</f>
        <v>0</v>
      </c>
      <c r="AA264" s="59"/>
      <c r="AB264" s="168"/>
      <c r="AC264" s="169"/>
      <c r="AD264" s="5"/>
    </row>
    <row r="265" spans="1:31" x14ac:dyDescent="0.3">
      <c r="A265" s="165"/>
      <c r="B265" s="166" t="s">
        <v>255</v>
      </c>
      <c r="C265" s="167"/>
      <c r="D265" s="59"/>
      <c r="E265" s="59"/>
      <c r="F265" s="59"/>
      <c r="G265" s="59"/>
      <c r="H265" s="59"/>
      <c r="I265" s="59"/>
      <c r="J265" s="59"/>
      <c r="K265" s="59"/>
      <c r="L265" s="59"/>
      <c r="M265" s="59"/>
      <c r="N265" s="59"/>
      <c r="O265" s="59"/>
      <c r="P265" s="59"/>
      <c r="Q265" s="59"/>
      <c r="R265" s="59"/>
      <c r="S265" s="59"/>
      <c r="T265" s="59"/>
      <c r="U265" s="59"/>
      <c r="V265" s="59"/>
      <c r="W265" s="59"/>
      <c r="X265" s="59"/>
      <c r="Y265" s="112"/>
      <c r="Z265" s="162">
        <f>-T64</f>
        <v>0</v>
      </c>
      <c r="AA265" s="59"/>
      <c r="AB265" s="168"/>
      <c r="AC265" s="169"/>
      <c r="AD265" s="5"/>
    </row>
    <row r="266" spans="1:31" x14ac:dyDescent="0.3">
      <c r="A266" s="170"/>
      <c r="B266" s="166" t="s">
        <v>54</v>
      </c>
      <c r="C266" s="171"/>
      <c r="D266" s="59"/>
      <c r="E266" s="59"/>
      <c r="F266" s="59"/>
      <c r="G266" s="59"/>
      <c r="H266" s="59"/>
      <c r="I266" s="59"/>
      <c r="J266" s="59"/>
      <c r="K266" s="59"/>
      <c r="L266" s="59"/>
      <c r="M266" s="59"/>
      <c r="N266" s="59"/>
      <c r="O266" s="59"/>
      <c r="P266" s="59"/>
      <c r="Q266" s="59"/>
      <c r="R266" s="59"/>
      <c r="S266" s="59"/>
      <c r="T266" s="59"/>
      <c r="U266" s="59"/>
      <c r="V266" s="59"/>
      <c r="W266" s="59"/>
      <c r="X266" s="59"/>
      <c r="Y266" s="112"/>
      <c r="Z266" s="172"/>
      <c r="AA266" s="59"/>
      <c r="AB266" s="168"/>
      <c r="AC266" s="173"/>
      <c r="AD266" s="5"/>
    </row>
    <row r="267" spans="1:31" s="23" customFormat="1" x14ac:dyDescent="0.3">
      <c r="A267" s="174"/>
      <c r="B267" s="40" t="s">
        <v>55</v>
      </c>
      <c r="C267" s="40"/>
      <c r="D267" s="40"/>
      <c r="E267" s="40"/>
      <c r="F267" s="40"/>
      <c r="G267" s="40"/>
      <c r="H267" s="40"/>
      <c r="I267" s="40"/>
      <c r="J267" s="40"/>
      <c r="K267" s="40"/>
      <c r="L267" s="40"/>
      <c r="M267" s="40"/>
      <c r="N267" s="40"/>
      <c r="O267" s="40"/>
      <c r="P267" s="40"/>
      <c r="Q267" s="40"/>
      <c r="R267" s="40"/>
      <c r="S267" s="40"/>
      <c r="T267" s="40"/>
      <c r="U267" s="40"/>
      <c r="V267" s="40"/>
      <c r="W267" s="40"/>
      <c r="X267" s="40"/>
      <c r="Y267" s="48"/>
      <c r="Z267" s="162">
        <f>AB169</f>
        <v>-1</v>
      </c>
      <c r="AA267" s="40"/>
      <c r="AB267" s="163"/>
      <c r="AC267" s="175"/>
      <c r="AD267" s="22"/>
    </row>
    <row r="268" spans="1:31" s="23" customFormat="1" x14ac:dyDescent="0.3">
      <c r="A268" s="160"/>
      <c r="B268" s="40" t="s">
        <v>56</v>
      </c>
      <c r="C268" s="97"/>
      <c r="D268" s="40"/>
      <c r="E268" s="40"/>
      <c r="F268" s="40"/>
      <c r="G268" s="40"/>
      <c r="H268" s="40"/>
      <c r="I268" s="40"/>
      <c r="J268" s="40"/>
      <c r="K268" s="40"/>
      <c r="L268" s="40"/>
      <c r="M268" s="40"/>
      <c r="N268" s="40"/>
      <c r="O268" s="40"/>
      <c r="P268" s="40"/>
      <c r="Q268" s="40"/>
      <c r="R268" s="40"/>
      <c r="S268" s="40"/>
      <c r="T268" s="40"/>
      <c r="U268" s="40"/>
      <c r="V268" s="40"/>
      <c r="W268" s="40"/>
      <c r="X268" s="40"/>
      <c r="Y268" s="48"/>
      <c r="Z268" s="162">
        <f>'October 22'!Z268+Z267</f>
        <v>16</v>
      </c>
      <c r="AA268" s="40"/>
      <c r="AB268" s="163"/>
      <c r="AC268" s="175"/>
      <c r="AD268" s="22"/>
    </row>
    <row r="269" spans="1:31" x14ac:dyDescent="0.3">
      <c r="A269" s="170"/>
      <c r="B269" s="166" t="s">
        <v>125</v>
      </c>
      <c r="C269" s="171"/>
      <c r="D269" s="59"/>
      <c r="E269" s="59"/>
      <c r="F269" s="59"/>
      <c r="G269" s="59"/>
      <c r="H269" s="59"/>
      <c r="I269" s="59"/>
      <c r="J269" s="59"/>
      <c r="K269" s="59"/>
      <c r="L269" s="59"/>
      <c r="M269" s="59"/>
      <c r="N269" s="59"/>
      <c r="O269" s="59"/>
      <c r="P269" s="59"/>
      <c r="Q269" s="59"/>
      <c r="R269" s="59"/>
      <c r="S269" s="59"/>
      <c r="T269" s="59"/>
      <c r="U269" s="59"/>
      <c r="V269" s="59"/>
      <c r="W269" s="59"/>
      <c r="X269" s="59"/>
      <c r="Y269" s="176"/>
      <c r="Z269" s="172"/>
      <c r="AA269" s="59"/>
      <c r="AB269" s="168"/>
      <c r="AC269" s="173"/>
      <c r="AD269" s="5"/>
    </row>
    <row r="270" spans="1:31" s="23" customFormat="1" x14ac:dyDescent="0.3">
      <c r="A270" s="174"/>
      <c r="B270" s="40" t="s">
        <v>134</v>
      </c>
      <c r="C270" s="4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1" s="23" customFormat="1" x14ac:dyDescent="0.3">
      <c r="A271" s="160"/>
      <c r="B271" s="40" t="s">
        <v>57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1" s="23" customFormat="1" x14ac:dyDescent="0.3">
      <c r="A272" s="160"/>
      <c r="B272" s="40" t="s">
        <v>58</v>
      </c>
      <c r="C272" s="70"/>
      <c r="D272" s="40"/>
      <c r="E272" s="40"/>
      <c r="F272" s="40"/>
      <c r="G272" s="40"/>
      <c r="H272" s="40"/>
      <c r="I272" s="40"/>
      <c r="J272" s="40"/>
      <c r="K272" s="40"/>
      <c r="L272" s="40"/>
      <c r="M272" s="40"/>
      <c r="N272" s="40"/>
      <c r="O272" s="40"/>
      <c r="P272" s="40"/>
      <c r="Q272" s="40"/>
      <c r="R272" s="40"/>
      <c r="S272" s="40"/>
      <c r="T272" s="40"/>
      <c r="U272" s="40"/>
      <c r="V272" s="40"/>
      <c r="W272" s="40"/>
      <c r="X272" s="40"/>
      <c r="Y272" s="40"/>
      <c r="Z272" s="177">
        <v>0</v>
      </c>
      <c r="AA272" s="40"/>
      <c r="AB272" s="163"/>
      <c r="AC272" s="175"/>
      <c r="AD272" s="22"/>
    </row>
    <row r="273" spans="1:31" x14ac:dyDescent="0.3">
      <c r="A273" s="165"/>
      <c r="B273" s="166" t="s">
        <v>116</v>
      </c>
      <c r="C273" s="178"/>
      <c r="D273" s="59"/>
      <c r="E273" s="59"/>
      <c r="F273" s="59"/>
      <c r="G273" s="59"/>
      <c r="H273" s="59"/>
      <c r="I273" s="59"/>
      <c r="J273" s="59"/>
      <c r="K273" s="59"/>
      <c r="L273" s="59"/>
      <c r="M273" s="59"/>
      <c r="N273" s="59"/>
      <c r="O273" s="59"/>
      <c r="P273" s="59"/>
      <c r="Q273" s="59"/>
      <c r="R273" s="59"/>
      <c r="S273" s="59"/>
      <c r="T273" s="59"/>
      <c r="U273" s="59"/>
      <c r="V273" s="59"/>
      <c r="W273" s="59"/>
      <c r="X273" s="59"/>
      <c r="Y273" s="112"/>
      <c r="Z273" s="179"/>
      <c r="AA273" s="59"/>
      <c r="AB273" s="168"/>
      <c r="AC273" s="173"/>
      <c r="AD273" s="5"/>
    </row>
    <row r="274" spans="1:31" s="23" customFormat="1" x14ac:dyDescent="0.3">
      <c r="A274" s="160"/>
      <c r="B274" s="40" t="s">
        <v>134</v>
      </c>
      <c r="C274" s="70"/>
      <c r="D274" s="40"/>
      <c r="E274" s="40"/>
      <c r="F274" s="40"/>
      <c r="G274" s="40"/>
      <c r="H274" s="40"/>
      <c r="I274" s="40"/>
      <c r="J274" s="40"/>
      <c r="K274" s="40"/>
      <c r="L274" s="40"/>
      <c r="M274" s="40"/>
      <c r="N274" s="40"/>
      <c r="O274" s="40"/>
      <c r="P274" s="40"/>
      <c r="Q274" s="40"/>
      <c r="R274" s="40"/>
      <c r="S274" s="40"/>
      <c r="T274" s="40"/>
      <c r="U274" s="40"/>
      <c r="V274" s="40"/>
      <c r="W274" s="40"/>
      <c r="X274" s="40"/>
      <c r="Y274" s="48">
        <v>0</v>
      </c>
      <c r="Z274" s="162">
        <v>0</v>
      </c>
      <c r="AA274" s="40"/>
      <c r="AB274" s="163"/>
      <c r="AC274" s="175"/>
      <c r="AD274" s="22"/>
    </row>
    <row r="275" spans="1:31" s="23" customFormat="1" x14ac:dyDescent="0.3">
      <c r="A275" s="160"/>
      <c r="B275" s="40" t="s">
        <v>117</v>
      </c>
      <c r="C275" s="70"/>
      <c r="D275" s="40"/>
      <c r="E275" s="40"/>
      <c r="F275" s="40"/>
      <c r="G275" s="40"/>
      <c r="H275" s="40"/>
      <c r="I275" s="40"/>
      <c r="J275" s="40"/>
      <c r="K275" s="40"/>
      <c r="L275" s="40"/>
      <c r="M275" s="40"/>
      <c r="N275" s="40"/>
      <c r="O275" s="40"/>
      <c r="P275" s="40"/>
      <c r="Q275" s="40"/>
      <c r="R275" s="40"/>
      <c r="S275" s="40"/>
      <c r="T275" s="40"/>
      <c r="U275" s="40"/>
      <c r="V275" s="40"/>
      <c r="W275" s="40"/>
      <c r="X275" s="40"/>
      <c r="Y275" s="40"/>
      <c r="Z275" s="177">
        <v>0</v>
      </c>
      <c r="AA275" s="40"/>
      <c r="AB275" s="163"/>
      <c r="AC275" s="175"/>
      <c r="AD275" s="22"/>
    </row>
    <row r="276" spans="1:31"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112"/>
      <c r="Z276" s="179"/>
      <c r="AA276" s="59"/>
      <c r="AB276" s="168"/>
      <c r="AC276" s="173"/>
      <c r="AD276" s="5"/>
    </row>
    <row r="277" spans="1:31" x14ac:dyDescent="0.3">
      <c r="A277" s="165"/>
      <c r="B277" s="171"/>
      <c r="C277" s="178"/>
      <c r="D277" s="59"/>
      <c r="E277" s="59"/>
      <c r="F277" s="59"/>
      <c r="G277" s="59"/>
      <c r="H277" s="59"/>
      <c r="I277" s="59"/>
      <c r="J277" s="59"/>
      <c r="K277" s="59"/>
      <c r="L277" s="59"/>
      <c r="M277" s="59"/>
      <c r="N277" s="59"/>
      <c r="O277" s="59"/>
      <c r="P277" s="59"/>
      <c r="Q277" s="59"/>
      <c r="R277" s="59"/>
      <c r="S277" s="59"/>
      <c r="T277" s="59"/>
      <c r="U277" s="59"/>
      <c r="V277" s="59"/>
      <c r="W277" s="59"/>
      <c r="X277" s="59"/>
      <c r="Y277" s="59"/>
      <c r="Z277" s="180"/>
      <c r="AA277" s="59"/>
      <c r="AB277" s="168"/>
      <c r="AC277" s="173"/>
      <c r="AD277" s="5"/>
    </row>
    <row r="278" spans="1:31" ht="18" x14ac:dyDescent="0.35">
      <c r="A278" s="165"/>
      <c r="B278" s="181" t="s">
        <v>109</v>
      </c>
      <c r="C278" s="178"/>
      <c r="D278" s="59"/>
      <c r="E278" s="59"/>
      <c r="F278" s="59"/>
      <c r="G278" s="59"/>
      <c r="H278" s="59"/>
      <c r="I278" s="59"/>
      <c r="J278" s="59"/>
      <c r="K278" s="59"/>
      <c r="L278" s="182"/>
      <c r="M278" s="182"/>
      <c r="N278" s="182"/>
      <c r="O278" s="182"/>
      <c r="P278" s="261" t="s">
        <v>167</v>
      </c>
      <c r="Q278" s="182"/>
      <c r="R278" s="182"/>
      <c r="S278" s="182"/>
      <c r="T278" s="182"/>
      <c r="U278" s="182"/>
      <c r="V278" s="182"/>
      <c r="W278" s="59"/>
      <c r="X278" s="183"/>
      <c r="Y278" s="182"/>
      <c r="Z278" s="180"/>
      <c r="AA278" s="59"/>
      <c r="AB278" s="168"/>
      <c r="AC278" s="173"/>
      <c r="AD278" s="5"/>
    </row>
    <row r="279" spans="1:31" ht="18" x14ac:dyDescent="0.35">
      <c r="A279" s="184"/>
      <c r="B279" s="185"/>
      <c r="C279" s="186"/>
      <c r="D279" s="99"/>
      <c r="E279" s="99"/>
      <c r="F279" s="99"/>
      <c r="G279" s="99"/>
      <c r="H279" s="99"/>
      <c r="I279" s="99"/>
      <c r="J279" s="99"/>
      <c r="K279" s="99"/>
      <c r="L279" s="187"/>
      <c r="M279" s="187"/>
      <c r="N279" s="187"/>
      <c r="O279" s="187"/>
      <c r="P279" s="187"/>
      <c r="Q279" s="187"/>
      <c r="R279" s="187"/>
      <c r="S279" s="187"/>
      <c r="T279" s="187"/>
      <c r="U279" s="187"/>
      <c r="V279" s="187"/>
      <c r="W279" s="99"/>
      <c r="X279" s="99"/>
      <c r="Y279" s="99"/>
      <c r="Z279" s="188"/>
      <c r="AA279" s="99"/>
      <c r="AB279" s="152"/>
      <c r="AC279" s="189"/>
      <c r="AD279" s="5"/>
    </row>
    <row r="280" spans="1:31" x14ac:dyDescent="0.3">
      <c r="A280" s="33"/>
      <c r="B280" s="102" t="s">
        <v>126</v>
      </c>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54" t="s">
        <v>69</v>
      </c>
      <c r="Y280" s="103" t="s">
        <v>70</v>
      </c>
      <c r="Z280" s="154" t="s">
        <v>75</v>
      </c>
      <c r="AA280" s="103" t="s">
        <v>70</v>
      </c>
      <c r="AB280" s="34"/>
      <c r="AC280" s="190"/>
      <c r="AD280" s="5"/>
    </row>
    <row r="281" spans="1:31" s="23" customFormat="1" x14ac:dyDescent="0.3">
      <c r="A281" s="18"/>
      <c r="B281" s="106" t="s">
        <v>59</v>
      </c>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06">
        <f t="shared" ref="X281:X288" si="1">+X293+X305+X327</f>
        <v>1610</v>
      </c>
      <c r="Y281" s="192">
        <f>X281/$X$290</f>
        <v>0.99567099567099571</v>
      </c>
      <c r="Z281" s="107">
        <f t="shared" ref="Z281:Z288" si="2">+Z293+Z305+Z327</f>
        <v>275590</v>
      </c>
      <c r="AA281" s="192">
        <f t="shared" ref="AA281:AA288" si="3">Z281/$Z$290</f>
        <v>0.99365064485074872</v>
      </c>
      <c r="AB281" s="158"/>
      <c r="AC281" s="193"/>
      <c r="AD281" s="22"/>
    </row>
    <row r="282" spans="1:31" s="23" customFormat="1" x14ac:dyDescent="0.3">
      <c r="A282" s="47"/>
      <c r="B282" s="97" t="s">
        <v>60</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5">
        <f t="shared" si="1"/>
        <v>2</v>
      </c>
      <c r="Y282" s="196">
        <f t="shared" ref="Y282:Y288" si="4">X282/$X$290</f>
        <v>1.2368583797155227E-3</v>
      </c>
      <c r="Z282" s="197">
        <f t="shared" si="2"/>
        <v>372</v>
      </c>
      <c r="AA282" s="198">
        <f t="shared" si="3"/>
        <v>1.3412607129593909E-3</v>
      </c>
      <c r="AB282" s="163"/>
      <c r="AC282" s="175"/>
      <c r="AD282" s="22"/>
    </row>
    <row r="283" spans="1:31" s="23" customFormat="1" x14ac:dyDescent="0.3">
      <c r="A283" s="47"/>
      <c r="B283" s="97" t="s">
        <v>61</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1</v>
      </c>
      <c r="Y283" s="200">
        <f t="shared" si="4"/>
        <v>6.1842918985776133E-4</v>
      </c>
      <c r="Z283" s="131">
        <f t="shared" si="2"/>
        <v>426</v>
      </c>
      <c r="AA283" s="198">
        <f t="shared" si="3"/>
        <v>1.5359598487115604E-3</v>
      </c>
      <c r="AB283" s="163"/>
      <c r="AC283" s="175"/>
      <c r="AD283" s="22"/>
      <c r="AE283" s="312"/>
    </row>
    <row r="284" spans="1:31" s="23" customFormat="1" x14ac:dyDescent="0.3">
      <c r="A284" s="47"/>
      <c r="B284" s="97" t="s">
        <v>100</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0</v>
      </c>
      <c r="Y284" s="200">
        <f t="shared" si="4"/>
        <v>0</v>
      </c>
      <c r="Z284" s="131">
        <f t="shared" si="2"/>
        <v>0</v>
      </c>
      <c r="AA284" s="198">
        <f t="shared" si="3"/>
        <v>0</v>
      </c>
      <c r="AB284" s="163"/>
      <c r="AC284" s="175"/>
      <c r="AD284" s="22"/>
    </row>
    <row r="285" spans="1:31" s="23" customFormat="1" x14ac:dyDescent="0.3">
      <c r="A285" s="47"/>
      <c r="B285" s="97" t="s">
        <v>101</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0</v>
      </c>
      <c r="Y285" s="200">
        <f t="shared" si="4"/>
        <v>0</v>
      </c>
      <c r="Z285" s="131">
        <f t="shared" si="2"/>
        <v>0</v>
      </c>
      <c r="AA285" s="198">
        <f t="shared" si="3"/>
        <v>0</v>
      </c>
      <c r="AB285" s="163"/>
      <c r="AC285" s="175"/>
      <c r="AD285" s="22"/>
    </row>
    <row r="286" spans="1:31" s="23" customFormat="1" x14ac:dyDescent="0.3">
      <c r="A286" s="47"/>
      <c r="B286" s="97" t="s">
        <v>102</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199">
        <f t="shared" si="1"/>
        <v>2</v>
      </c>
      <c r="Y286" s="200">
        <f t="shared" si="4"/>
        <v>1.2368583797155227E-3</v>
      </c>
      <c r="Z286" s="131">
        <f t="shared" si="2"/>
        <v>416</v>
      </c>
      <c r="AA286" s="198">
        <f t="shared" si="3"/>
        <v>1.4999044532018994E-3</v>
      </c>
      <c r="AB286" s="163"/>
      <c r="AC286" s="175"/>
      <c r="AD286" s="22"/>
    </row>
    <row r="287" spans="1:31" s="23" customFormat="1" x14ac:dyDescent="0.3">
      <c r="A287" s="47"/>
      <c r="B287" s="97" t="s">
        <v>103</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201">
        <f t="shared" si="1"/>
        <v>1</v>
      </c>
      <c r="Y287" s="202">
        <f t="shared" si="4"/>
        <v>6.1842918985776133E-4</v>
      </c>
      <c r="Z287" s="203">
        <f t="shared" si="2"/>
        <v>410</v>
      </c>
      <c r="AA287" s="198">
        <f t="shared" si="3"/>
        <v>1.4782712158961028E-3</v>
      </c>
      <c r="AB287" s="163"/>
      <c r="AC287" s="175"/>
      <c r="AD287" s="22"/>
    </row>
    <row r="288" spans="1:31" s="23" customFormat="1" x14ac:dyDescent="0.3">
      <c r="A288" s="47"/>
      <c r="B288" s="97" t="s">
        <v>104</v>
      </c>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106">
        <f t="shared" si="1"/>
        <v>1</v>
      </c>
      <c r="Y288" s="198">
        <f t="shared" si="4"/>
        <v>6.1842918985776133E-4</v>
      </c>
      <c r="Z288" s="107">
        <f t="shared" si="2"/>
        <v>137</v>
      </c>
      <c r="AA288" s="198">
        <f t="shared" si="3"/>
        <v>4.9395891848235632E-4</v>
      </c>
      <c r="AB288" s="163"/>
      <c r="AC288" s="306"/>
      <c r="AD288" s="22"/>
    </row>
    <row r="289" spans="1:31" s="23" customFormat="1" x14ac:dyDescent="0.3">
      <c r="A289" s="47"/>
      <c r="B289" s="97"/>
      <c r="C289" s="194"/>
      <c r="D289" s="194"/>
      <c r="E289" s="194"/>
      <c r="F289" s="194"/>
      <c r="G289" s="194"/>
      <c r="H289" s="194"/>
      <c r="I289" s="194"/>
      <c r="J289" s="194"/>
      <c r="K289" s="194"/>
      <c r="L289" s="194"/>
      <c r="M289" s="194"/>
      <c r="N289" s="194"/>
      <c r="O289" s="194"/>
      <c r="P289" s="194"/>
      <c r="Q289" s="194"/>
      <c r="R289" s="194"/>
      <c r="S289" s="194"/>
      <c r="T289" s="194"/>
      <c r="U289" s="194"/>
      <c r="V289" s="194"/>
      <c r="W289" s="194"/>
      <c r="X289" s="97"/>
      <c r="Y289" s="198"/>
      <c r="Z289" s="98"/>
      <c r="AA289" s="198"/>
      <c r="AB289" s="163"/>
      <c r="AC289" s="175"/>
      <c r="AD289" s="22"/>
    </row>
    <row r="290" spans="1:31" s="23" customFormat="1" x14ac:dyDescent="0.3">
      <c r="A290" s="47"/>
      <c r="B290" s="40" t="s">
        <v>80</v>
      </c>
      <c r="C290" s="40"/>
      <c r="D290" s="204"/>
      <c r="E290" s="204"/>
      <c r="F290" s="204"/>
      <c r="G290" s="204"/>
      <c r="H290" s="204"/>
      <c r="I290" s="204"/>
      <c r="J290" s="204"/>
      <c r="K290" s="204"/>
      <c r="L290" s="204"/>
      <c r="M290" s="204"/>
      <c r="N290" s="204"/>
      <c r="O290" s="204"/>
      <c r="P290" s="204"/>
      <c r="Q290" s="204"/>
      <c r="R290" s="204"/>
      <c r="S290" s="204"/>
      <c r="T290" s="204"/>
      <c r="U290" s="204"/>
      <c r="V290" s="204"/>
      <c r="W290" s="204"/>
      <c r="X290" s="97">
        <f>SUM(X281:X289)</f>
        <v>1617</v>
      </c>
      <c r="Y290" s="198">
        <f>SUM(Y281:Y289)</f>
        <v>1</v>
      </c>
      <c r="Z290" s="98">
        <f>SUM(Z281:Z289)</f>
        <v>277351</v>
      </c>
      <c r="AA290" s="198">
        <f>SUM(AA281:AA289)</f>
        <v>1</v>
      </c>
      <c r="AB290" s="40"/>
      <c r="AC290" s="43"/>
      <c r="AD290" s="22"/>
    </row>
    <row r="291" spans="1:31" x14ac:dyDescent="0.3">
      <c r="A291" s="7"/>
      <c r="B291" s="151"/>
      <c r="C291" s="186"/>
      <c r="D291" s="99"/>
      <c r="E291" s="99"/>
      <c r="F291" s="99"/>
      <c r="G291" s="99"/>
      <c r="H291" s="99"/>
      <c r="I291" s="99"/>
      <c r="J291" s="99"/>
      <c r="K291" s="99"/>
      <c r="L291" s="99"/>
      <c r="M291" s="99"/>
      <c r="N291" s="99"/>
      <c r="O291" s="99"/>
      <c r="P291" s="99"/>
      <c r="Q291" s="99"/>
      <c r="R291" s="99"/>
      <c r="S291" s="99"/>
      <c r="T291" s="99"/>
      <c r="U291" s="99"/>
      <c r="V291" s="99"/>
      <c r="W291" s="99"/>
      <c r="X291" s="99"/>
      <c r="Y291" s="99"/>
      <c r="Z291" s="188"/>
      <c r="AA291" s="99"/>
      <c r="AB291" s="99"/>
      <c r="AC291" s="10"/>
      <c r="AD291" s="5"/>
    </row>
    <row r="292" spans="1:31" x14ac:dyDescent="0.3">
      <c r="A292" s="33"/>
      <c r="B292" s="102" t="s">
        <v>105</v>
      </c>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54" t="s">
        <v>69</v>
      </c>
      <c r="Y292" s="103" t="s">
        <v>70</v>
      </c>
      <c r="Z292" s="154" t="s">
        <v>75</v>
      </c>
      <c r="AA292" s="103" t="s">
        <v>70</v>
      </c>
      <c r="AB292" s="34"/>
      <c r="AC292" s="190"/>
      <c r="AD292" s="5"/>
    </row>
    <row r="293" spans="1:31" s="23" customFormat="1" x14ac:dyDescent="0.3">
      <c r="A293" s="18"/>
      <c r="B293" s="106" t="s">
        <v>59</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6">
        <v>1610</v>
      </c>
      <c r="Y293" s="192">
        <f>X293/$X$302</f>
        <v>0.99752168525402729</v>
      </c>
      <c r="Z293" s="107">
        <v>275590</v>
      </c>
      <c r="AA293" s="192">
        <f>Z293/$Z$302</f>
        <v>0.99563580661709983</v>
      </c>
      <c r="AB293" s="158"/>
      <c r="AC293" s="193"/>
      <c r="AD293" s="22"/>
    </row>
    <row r="294" spans="1:31" s="23" customFormat="1" x14ac:dyDescent="0.3">
      <c r="A294" s="47"/>
      <c r="B294" s="97" t="s">
        <v>60</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2</v>
      </c>
      <c r="Y294" s="198">
        <f t="shared" ref="Y294:Y300" si="5">X294/$X$302</f>
        <v>1.2391573729863693E-3</v>
      </c>
      <c r="Z294" s="98">
        <v>372</v>
      </c>
      <c r="AA294" s="198">
        <f t="shared" ref="AA294:AA300" si="6">Z294/$Z$302</f>
        <v>1.3439403463897861E-3</v>
      </c>
      <c r="AB294" s="163"/>
      <c r="AC294" s="175"/>
      <c r="AD294" s="22"/>
      <c r="AE294" s="115"/>
    </row>
    <row r="295" spans="1:31" s="23" customFormat="1" x14ac:dyDescent="0.3">
      <c r="A295" s="47"/>
      <c r="B295" s="97" t="s">
        <v>61</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1</v>
      </c>
      <c r="Y295" s="198">
        <f t="shared" si="5"/>
        <v>6.1957868649318464E-4</v>
      </c>
      <c r="Z295" s="98">
        <v>426</v>
      </c>
      <c r="AA295" s="198">
        <f t="shared" si="6"/>
        <v>1.5390284611883035E-3</v>
      </c>
      <c r="AB295" s="163"/>
      <c r="AC295" s="175"/>
      <c r="AD295" s="22"/>
    </row>
    <row r="296" spans="1:31" s="23" customFormat="1" x14ac:dyDescent="0.3">
      <c r="A296" s="47"/>
      <c r="B296" s="97" t="s">
        <v>100</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c r="AE296" s="115"/>
    </row>
    <row r="297" spans="1:31" s="23" customFormat="1" x14ac:dyDescent="0.3">
      <c r="A297" s="47"/>
      <c r="B297" s="97" t="s">
        <v>101</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0</v>
      </c>
      <c r="Y297" s="198">
        <f t="shared" si="5"/>
        <v>0</v>
      </c>
      <c r="Z297" s="98">
        <v>0</v>
      </c>
      <c r="AA297" s="198">
        <f t="shared" si="6"/>
        <v>0</v>
      </c>
      <c r="AB297" s="163"/>
      <c r="AC297" s="175"/>
      <c r="AD297" s="22"/>
    </row>
    <row r="298" spans="1:31" s="23" customFormat="1" x14ac:dyDescent="0.3">
      <c r="A298" s="47"/>
      <c r="B298" s="97" t="s">
        <v>102</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0</v>
      </c>
      <c r="Y298" s="198">
        <f t="shared" si="5"/>
        <v>0</v>
      </c>
      <c r="Z298" s="98">
        <v>0</v>
      </c>
      <c r="AA298" s="198">
        <f t="shared" si="6"/>
        <v>0</v>
      </c>
      <c r="AB298" s="163"/>
      <c r="AC298" s="175"/>
      <c r="AD298" s="22"/>
      <c r="AE298" s="115"/>
    </row>
    <row r="299" spans="1:31" s="23" customFormat="1" x14ac:dyDescent="0.3">
      <c r="A299" s="47"/>
      <c r="B299" s="97" t="s">
        <v>103</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1</v>
      </c>
      <c r="Y299" s="198">
        <f>X299/$X$302</f>
        <v>6.1957868649318464E-4</v>
      </c>
      <c r="Z299" s="98">
        <v>410</v>
      </c>
      <c r="AA299" s="198">
        <f t="shared" si="6"/>
        <v>1.481224575322076E-3</v>
      </c>
      <c r="AB299" s="163"/>
      <c r="AC299" s="175"/>
      <c r="AD299" s="22"/>
    </row>
    <row r="300" spans="1:31" s="23" customFormat="1" x14ac:dyDescent="0.3">
      <c r="A300" s="47"/>
      <c r="B300" s="97" t="s">
        <v>104</v>
      </c>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v>0</v>
      </c>
      <c r="Y300" s="198">
        <f t="shared" si="5"/>
        <v>0</v>
      </c>
      <c r="Z300" s="98">
        <v>0</v>
      </c>
      <c r="AA300" s="198">
        <f t="shared" si="6"/>
        <v>0</v>
      </c>
      <c r="AB300" s="163"/>
      <c r="AC300" s="175"/>
      <c r="AD300" s="22"/>
      <c r="AE300" s="115"/>
    </row>
    <row r="301" spans="1:31" s="23" customFormat="1" x14ac:dyDescent="0.3">
      <c r="A301" s="47"/>
      <c r="B301" s="97"/>
      <c r="C301" s="194"/>
      <c r="D301" s="194"/>
      <c r="E301" s="194"/>
      <c r="F301" s="194"/>
      <c r="G301" s="194"/>
      <c r="H301" s="194"/>
      <c r="I301" s="194"/>
      <c r="J301" s="194"/>
      <c r="K301" s="194"/>
      <c r="L301" s="194"/>
      <c r="M301" s="194"/>
      <c r="N301" s="194"/>
      <c r="O301" s="194"/>
      <c r="P301" s="194"/>
      <c r="Q301" s="194"/>
      <c r="R301" s="194"/>
      <c r="S301" s="194"/>
      <c r="T301" s="194"/>
      <c r="U301" s="194"/>
      <c r="V301" s="194"/>
      <c r="W301" s="194"/>
      <c r="X301" s="97"/>
      <c r="Y301" s="198"/>
      <c r="Z301" s="98"/>
      <c r="AA301" s="198"/>
      <c r="AB301" s="163"/>
      <c r="AC301" s="175"/>
      <c r="AD301" s="22"/>
    </row>
    <row r="302" spans="1:31" s="23" customFormat="1" x14ac:dyDescent="0.3">
      <c r="A302" s="47"/>
      <c r="B302" s="40" t="s">
        <v>80</v>
      </c>
      <c r="C302" s="40"/>
      <c r="D302" s="204"/>
      <c r="E302" s="204"/>
      <c r="F302" s="204"/>
      <c r="G302" s="204"/>
      <c r="H302" s="204"/>
      <c r="I302" s="204"/>
      <c r="J302" s="204"/>
      <c r="K302" s="204"/>
      <c r="L302" s="204"/>
      <c r="M302" s="204"/>
      <c r="N302" s="204"/>
      <c r="O302" s="204"/>
      <c r="P302" s="204"/>
      <c r="Q302" s="204"/>
      <c r="R302" s="204"/>
      <c r="S302" s="204"/>
      <c r="T302" s="204"/>
      <c r="U302" s="204"/>
      <c r="V302" s="204"/>
      <c r="W302" s="204"/>
      <c r="X302" s="97">
        <f>SUM(X293:X301)</f>
        <v>1614</v>
      </c>
      <c r="Y302" s="198">
        <f>SUM(Y293:Y301)</f>
        <v>1</v>
      </c>
      <c r="Z302" s="98">
        <f>SUM(Z293:Z301)</f>
        <v>276798</v>
      </c>
      <c r="AA302" s="198">
        <f>SUM(AA293:AA301)</f>
        <v>0.99999999999999989</v>
      </c>
      <c r="AB302" s="40"/>
      <c r="AC302" s="43"/>
      <c r="AD302" s="22"/>
    </row>
    <row r="303" spans="1:31" x14ac:dyDescent="0.3">
      <c r="A303" s="7"/>
      <c r="B303" s="99"/>
      <c r="C303" s="99"/>
      <c r="D303" s="205"/>
      <c r="E303" s="205"/>
      <c r="F303" s="205"/>
      <c r="G303" s="205"/>
      <c r="H303" s="205"/>
      <c r="I303" s="205"/>
      <c r="J303" s="205"/>
      <c r="K303" s="205"/>
      <c r="L303" s="205"/>
      <c r="M303" s="205"/>
      <c r="N303" s="205"/>
      <c r="O303" s="205"/>
      <c r="P303" s="205"/>
      <c r="Q303" s="205"/>
      <c r="R303" s="205"/>
      <c r="S303" s="205"/>
      <c r="T303" s="205"/>
      <c r="U303" s="205"/>
      <c r="V303" s="205"/>
      <c r="W303" s="205"/>
      <c r="X303" s="100"/>
      <c r="Y303" s="206"/>
      <c r="Z303" s="207"/>
      <c r="AA303" s="206"/>
      <c r="AB303" s="99"/>
      <c r="AC303" s="10"/>
      <c r="AD303" s="5"/>
    </row>
    <row r="304" spans="1:31" x14ac:dyDescent="0.3">
      <c r="A304" s="33"/>
      <c r="B304" s="102" t="s">
        <v>121</v>
      </c>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54" t="s">
        <v>69</v>
      </c>
      <c r="Y304" s="103" t="s">
        <v>70</v>
      </c>
      <c r="Z304" s="154" t="s">
        <v>75</v>
      </c>
      <c r="AA304" s="103" t="s">
        <v>70</v>
      </c>
      <c r="AB304" s="34"/>
      <c r="AC304" s="36"/>
      <c r="AD304" s="5"/>
    </row>
    <row r="305" spans="1:30" s="23" customFormat="1" x14ac:dyDescent="0.3">
      <c r="A305" s="18"/>
      <c r="B305" s="106" t="s">
        <v>59</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06">
        <v>0</v>
      </c>
      <c r="Y305" s="192">
        <v>0</v>
      </c>
      <c r="Z305" s="107">
        <v>0</v>
      </c>
      <c r="AA305" s="192">
        <v>0</v>
      </c>
      <c r="AB305" s="37"/>
      <c r="AC305" s="21"/>
      <c r="AD305" s="22"/>
    </row>
    <row r="306" spans="1:30" s="23" customFormat="1" x14ac:dyDescent="0.3">
      <c r="A306" s="47"/>
      <c r="B306" s="97" t="s">
        <v>60</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61</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100</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f>X308/X314</f>
        <v>0</v>
      </c>
      <c r="Z308" s="98">
        <v>0</v>
      </c>
      <c r="AA308" s="198">
        <f>Z308/Z314</f>
        <v>0</v>
      </c>
      <c r="AB308" s="40"/>
      <c r="AC308" s="43"/>
      <c r="AD308" s="22"/>
    </row>
    <row r="309" spans="1:30" s="23" customFormat="1" x14ac:dyDescent="0.3">
      <c r="A309" s="47"/>
      <c r="B309" s="97" t="s">
        <v>101</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102</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2</v>
      </c>
      <c r="Y310" s="198">
        <f>X310/X314</f>
        <v>0.66666666666666663</v>
      </c>
      <c r="Z310" s="98">
        <v>416</v>
      </c>
      <c r="AA310" s="198">
        <f>Z310/Z314</f>
        <v>0.75226039783001808</v>
      </c>
      <c r="AB310" s="40"/>
      <c r="AC310" s="43"/>
      <c r="AD310" s="22"/>
    </row>
    <row r="311" spans="1:30" s="23" customFormat="1" x14ac:dyDescent="0.3">
      <c r="A311" s="47"/>
      <c r="B311" s="97" t="s">
        <v>103</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f>X311/X314</f>
        <v>0</v>
      </c>
      <c r="Z311" s="98">
        <v>0</v>
      </c>
      <c r="AA311" s="198">
        <f>Z311/Z314</f>
        <v>0</v>
      </c>
      <c r="AB311" s="40"/>
      <c r="AC311" s="43"/>
      <c r="AD311" s="22"/>
    </row>
    <row r="312" spans="1:30" s="23" customFormat="1" x14ac:dyDescent="0.3">
      <c r="A312" s="47"/>
      <c r="B312" s="97" t="s">
        <v>104</v>
      </c>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v>1</v>
      </c>
      <c r="Y312" s="198">
        <f>X312/X314</f>
        <v>0.33333333333333331</v>
      </c>
      <c r="Z312" s="98">
        <v>137</v>
      </c>
      <c r="AA312" s="198">
        <f>Z312/Z314</f>
        <v>0.24773960216998192</v>
      </c>
      <c r="AB312" s="40"/>
      <c r="AC312" s="43"/>
      <c r="AD312" s="22"/>
    </row>
    <row r="313" spans="1:30" s="23" customFormat="1" x14ac:dyDescent="0.3">
      <c r="A313" s="47"/>
      <c r="B313" s="97"/>
      <c r="C313" s="194"/>
      <c r="D313" s="194"/>
      <c r="E313" s="194"/>
      <c r="F313" s="194"/>
      <c r="G313" s="194"/>
      <c r="H313" s="194"/>
      <c r="I313" s="194"/>
      <c r="J313" s="194"/>
      <c r="K313" s="194"/>
      <c r="L313" s="194"/>
      <c r="M313" s="194"/>
      <c r="N313" s="194"/>
      <c r="O313" s="194"/>
      <c r="P313" s="194"/>
      <c r="Q313" s="194"/>
      <c r="R313" s="194"/>
      <c r="S313" s="194"/>
      <c r="T313" s="194"/>
      <c r="U313" s="194"/>
      <c r="V313" s="194"/>
      <c r="W313" s="194"/>
      <c r="X313" s="97"/>
      <c r="Y313" s="198"/>
      <c r="Z313" s="98"/>
      <c r="AA313" s="198"/>
      <c r="AB313" s="40"/>
      <c r="AC313" s="43"/>
      <c r="AD313" s="22"/>
    </row>
    <row r="314" spans="1:30" s="23" customFormat="1" x14ac:dyDescent="0.3">
      <c r="A314" s="47"/>
      <c r="B314" s="40" t="s">
        <v>80</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f>SUM(X305:X313)</f>
        <v>3</v>
      </c>
      <c r="Y314" s="198">
        <f>SUM(Y305:Y313)</f>
        <v>1</v>
      </c>
      <c r="Z314" s="98">
        <f>SUM(Z305:Z313)</f>
        <v>553</v>
      </c>
      <c r="AA314" s="198">
        <f>SUM(AA305:AA313)</f>
        <v>1</v>
      </c>
      <c r="AB314" s="40"/>
      <c r="AC314" s="43"/>
      <c r="AD314" s="22"/>
    </row>
    <row r="315" spans="1:30" s="23" customFormat="1" x14ac:dyDescent="0.3">
      <c r="A315" s="47"/>
      <c r="B315" s="40"/>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97"/>
      <c r="Y315" s="198"/>
      <c r="Z315" s="98"/>
      <c r="AA315" s="198"/>
      <c r="AB315" s="40"/>
      <c r="AC315" s="43"/>
      <c r="AD315" s="22"/>
    </row>
    <row r="316" spans="1:30" s="23" customFormat="1" x14ac:dyDescent="0.3">
      <c r="A316" s="242"/>
      <c r="B316" s="243" t="s">
        <v>330</v>
      </c>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62" t="s">
        <v>69</v>
      </c>
      <c r="Y316" s="263" t="s">
        <v>70</v>
      </c>
      <c r="Z316" s="262" t="s">
        <v>75</v>
      </c>
      <c r="AA316" s="263" t="s">
        <v>70</v>
      </c>
      <c r="AB316" s="243"/>
      <c r="AC316" s="243"/>
      <c r="AD316" s="22"/>
    </row>
    <row r="317" spans="1:30" s="23" customFormat="1" x14ac:dyDescent="0.3">
      <c r="A317" s="273"/>
      <c r="B317" s="274" t="s">
        <v>326</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302">
        <v>1</v>
      </c>
      <c r="Y317" s="303">
        <f>X317/X324</f>
        <v>0.33333333333333331</v>
      </c>
      <c r="Z317" s="304">
        <v>137</v>
      </c>
      <c r="AA317" s="303">
        <f>Z317/Z324</f>
        <v>0.24773960216998192</v>
      </c>
      <c r="AB317" s="40"/>
      <c r="AC317" s="43"/>
      <c r="AD317" s="22"/>
    </row>
    <row r="318" spans="1:30" s="23" customFormat="1" x14ac:dyDescent="0.3">
      <c r="A318" s="273"/>
      <c r="B318" s="274" t="s">
        <v>327</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302">
        <v>0</v>
      </c>
      <c r="Y318" s="303">
        <v>0</v>
      </c>
      <c r="Z318" s="304">
        <v>0</v>
      </c>
      <c r="AA318" s="303">
        <v>0</v>
      </c>
      <c r="AB318" s="40"/>
      <c r="AC318" s="43"/>
      <c r="AD318" s="22"/>
    </row>
    <row r="319" spans="1:30" s="23" customFormat="1" x14ac:dyDescent="0.3">
      <c r="A319" s="273"/>
      <c r="B319" s="274" t="s">
        <v>328</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302">
        <v>1</v>
      </c>
      <c r="Y319" s="303">
        <f>X319/X324</f>
        <v>0.33333333333333331</v>
      </c>
      <c r="Z319" s="304">
        <v>333</v>
      </c>
      <c r="AA319" s="303">
        <f>Z319/Z324</f>
        <v>0.60216998191681737</v>
      </c>
      <c r="AB319" s="40"/>
      <c r="AC319" s="43"/>
      <c r="AD319" s="22"/>
    </row>
    <row r="320" spans="1:30" s="23" customFormat="1" x14ac:dyDescent="0.3">
      <c r="A320" s="273"/>
      <c r="B320" s="274" t="s">
        <v>329</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302">
        <v>1</v>
      </c>
      <c r="Y320" s="303">
        <f>X320/X324</f>
        <v>0.33333333333333331</v>
      </c>
      <c r="Z320" s="304">
        <v>83</v>
      </c>
      <c r="AA320" s="303">
        <f>Z320/Z324</f>
        <v>0.15009041591320071</v>
      </c>
      <c r="AB320" s="40"/>
      <c r="AC320" s="43"/>
      <c r="AD320" s="22"/>
    </row>
    <row r="321" spans="1:30" s="23" customFormat="1" x14ac:dyDescent="0.3">
      <c r="A321" s="273"/>
      <c r="B321" s="274" t="s">
        <v>334</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302">
        <v>0</v>
      </c>
      <c r="Y321" s="303">
        <v>0</v>
      </c>
      <c r="Z321" s="304">
        <v>0</v>
      </c>
      <c r="AA321" s="303">
        <v>0</v>
      </c>
      <c r="AB321" s="40"/>
      <c r="AC321" s="43"/>
      <c r="AD321" s="22"/>
    </row>
    <row r="322" spans="1:30" s="23" customFormat="1" x14ac:dyDescent="0.3">
      <c r="A322" s="273"/>
      <c r="B322" s="275" t="s">
        <v>331</v>
      </c>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302">
        <v>0</v>
      </c>
      <c r="Y322" s="303">
        <f>X322/X324</f>
        <v>0</v>
      </c>
      <c r="Z322" s="304">
        <v>0</v>
      </c>
      <c r="AA322" s="303">
        <f>Z322/Z324</f>
        <v>0</v>
      </c>
      <c r="AB322" s="40"/>
      <c r="AC322" s="43"/>
      <c r="AD322" s="22"/>
    </row>
    <row r="323" spans="1:30" s="23" customFormat="1" x14ac:dyDescent="0.3">
      <c r="A323" s="273"/>
      <c r="B323" s="274"/>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c r="Y323" s="277"/>
      <c r="Z323" s="278"/>
      <c r="AA323" s="277"/>
      <c r="AB323" s="40"/>
      <c r="AC323" s="43"/>
      <c r="AD323" s="22"/>
    </row>
    <row r="324" spans="1:30" s="23" customFormat="1" x14ac:dyDescent="0.3">
      <c r="A324" s="273"/>
      <c r="B324" s="274" t="s">
        <v>80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276">
        <f>SUM(X317:X323)</f>
        <v>3</v>
      </c>
      <c r="Y324" s="277">
        <f>SUM(Y317:Y322)</f>
        <v>1</v>
      </c>
      <c r="Z324" s="278">
        <f>SUM(Z317:Z322)</f>
        <v>553</v>
      </c>
      <c r="AA324" s="277">
        <f>SUM(AA317:AA323)</f>
        <v>1</v>
      </c>
      <c r="AB324" s="40"/>
      <c r="AC324" s="43"/>
      <c r="AD324" s="22"/>
    </row>
    <row r="325" spans="1:30" x14ac:dyDescent="0.3">
      <c r="A325" s="7"/>
      <c r="B325" s="99"/>
      <c r="C325" s="99"/>
      <c r="D325" s="205"/>
      <c r="E325" s="205"/>
      <c r="F325" s="205"/>
      <c r="G325" s="205"/>
      <c r="H325" s="205"/>
      <c r="I325" s="205"/>
      <c r="J325" s="205"/>
      <c r="K325" s="205"/>
      <c r="L325" s="205"/>
      <c r="M325" s="205"/>
      <c r="N325" s="205"/>
      <c r="O325" s="205"/>
      <c r="P325" s="205"/>
      <c r="Q325" s="205"/>
      <c r="R325" s="205"/>
      <c r="S325" s="205"/>
      <c r="T325" s="205"/>
      <c r="U325" s="205"/>
      <c r="V325" s="205"/>
      <c r="W325" s="205"/>
      <c r="X325" s="100"/>
      <c r="Y325" s="206"/>
      <c r="Z325" s="207"/>
      <c r="AA325" s="206"/>
      <c r="AB325" s="99"/>
      <c r="AC325" s="10"/>
      <c r="AD325" s="5"/>
    </row>
    <row r="326" spans="1:30" x14ac:dyDescent="0.3">
      <c r="A326" s="33"/>
      <c r="B326" s="102" t="s">
        <v>106</v>
      </c>
      <c r="C326" s="34"/>
      <c r="D326" s="208"/>
      <c r="E326" s="208"/>
      <c r="F326" s="208"/>
      <c r="G326" s="208"/>
      <c r="H326" s="208"/>
      <c r="I326" s="208"/>
      <c r="J326" s="208"/>
      <c r="K326" s="208"/>
      <c r="L326" s="208"/>
      <c r="M326" s="208"/>
      <c r="N326" s="208"/>
      <c r="O326" s="208"/>
      <c r="P326" s="208"/>
      <c r="Q326" s="208"/>
      <c r="R326" s="208"/>
      <c r="S326" s="208"/>
      <c r="T326" s="208"/>
      <c r="U326" s="208"/>
      <c r="V326" s="208"/>
      <c r="W326" s="208"/>
      <c r="X326" s="154" t="s">
        <v>69</v>
      </c>
      <c r="Y326" s="103" t="s">
        <v>70</v>
      </c>
      <c r="Z326" s="154" t="s">
        <v>75</v>
      </c>
      <c r="AA326" s="103" t="s">
        <v>70</v>
      </c>
      <c r="AB326" s="34"/>
      <c r="AC326" s="36"/>
      <c r="AD326" s="5"/>
    </row>
    <row r="327" spans="1:30" s="23" customFormat="1" x14ac:dyDescent="0.3">
      <c r="A327" s="18"/>
      <c r="B327" s="106" t="s">
        <v>59</v>
      </c>
      <c r="C327" s="37"/>
      <c r="D327" s="209"/>
      <c r="E327" s="209"/>
      <c r="F327" s="209"/>
      <c r="G327" s="209"/>
      <c r="H327" s="209"/>
      <c r="I327" s="209"/>
      <c r="J327" s="209"/>
      <c r="K327" s="209"/>
      <c r="L327" s="209"/>
      <c r="M327" s="209"/>
      <c r="N327" s="209"/>
      <c r="O327" s="209"/>
      <c r="P327" s="209"/>
      <c r="Q327" s="209"/>
      <c r="R327" s="209"/>
      <c r="S327" s="209"/>
      <c r="T327" s="209"/>
      <c r="U327" s="209"/>
      <c r="V327" s="209"/>
      <c r="W327" s="209"/>
      <c r="X327" s="106">
        <v>0</v>
      </c>
      <c r="Y327" s="192">
        <v>0</v>
      </c>
      <c r="Z327" s="107">
        <v>0</v>
      </c>
      <c r="AA327" s="192">
        <v>0</v>
      </c>
      <c r="AB327" s="37"/>
      <c r="AC327" s="21"/>
      <c r="AD327" s="22"/>
    </row>
    <row r="328" spans="1:30" s="23" customFormat="1" x14ac:dyDescent="0.3">
      <c r="A328" s="47"/>
      <c r="B328" s="97" t="s">
        <v>60</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61</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100</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101</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102</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103</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t="s">
        <v>104</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v>0</v>
      </c>
      <c r="Y334" s="198">
        <v>0</v>
      </c>
      <c r="Z334" s="98">
        <v>0</v>
      </c>
      <c r="AA334" s="198">
        <v>0</v>
      </c>
      <c r="AB334" s="40"/>
      <c r="AC334" s="43"/>
      <c r="AD334" s="22"/>
    </row>
    <row r="335" spans="1:30" s="23" customFormat="1" x14ac:dyDescent="0.3">
      <c r="A335" s="47"/>
      <c r="B335" s="97"/>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c r="Y335" s="198"/>
      <c r="Z335" s="98"/>
      <c r="AA335" s="198"/>
      <c r="AB335" s="40"/>
      <c r="AC335" s="43"/>
      <c r="AD335" s="22"/>
    </row>
    <row r="336" spans="1:30" s="23" customFormat="1" x14ac:dyDescent="0.3">
      <c r="A336" s="47"/>
      <c r="B336" s="40" t="s">
        <v>80</v>
      </c>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f>SUM(X327:X334)</f>
        <v>0</v>
      </c>
      <c r="Y336" s="198">
        <f>SUM(Y327:Y334)</f>
        <v>0</v>
      </c>
      <c r="Z336" s="98">
        <f>SUM(Z327:Z334)</f>
        <v>0</v>
      </c>
      <c r="AA336" s="198">
        <f>SUM(AA327:AA334)</f>
        <v>0</v>
      </c>
      <c r="AB336" s="40"/>
      <c r="AC336" s="43"/>
      <c r="AD336" s="22"/>
    </row>
    <row r="337" spans="1:30" s="23" customFormat="1" x14ac:dyDescent="0.3">
      <c r="A337" s="47"/>
      <c r="B337" s="40"/>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97"/>
      <c r="Y337" s="198"/>
      <c r="Z337" s="98"/>
      <c r="AA337" s="198"/>
      <c r="AB337" s="40"/>
      <c r="AC337" s="43"/>
      <c r="AD337" s="22"/>
    </row>
    <row r="338" spans="1:30" s="23" customFormat="1" x14ac:dyDescent="0.3">
      <c r="A338" s="47"/>
      <c r="B338" s="44" t="s">
        <v>139</v>
      </c>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f>X336+X314+X302</f>
        <v>1617</v>
      </c>
      <c r="Y338" s="198"/>
      <c r="Z338" s="211">
        <f>+Z336+Z314+Z302</f>
        <v>277351</v>
      </c>
      <c r="AA338" s="198"/>
      <c r="AB338" s="40"/>
      <c r="AC338" s="43"/>
      <c r="AD338" s="22"/>
    </row>
    <row r="339" spans="1:30" s="23" customFormat="1" x14ac:dyDescent="0.3">
      <c r="A339" s="47"/>
      <c r="B339" s="44" t="s">
        <v>304</v>
      </c>
      <c r="C339" s="44"/>
      <c r="D339" s="212"/>
      <c r="E339" s="212"/>
      <c r="F339" s="212"/>
      <c r="G339" s="212"/>
      <c r="H339" s="212"/>
      <c r="I339" s="212"/>
      <c r="J339" s="212"/>
      <c r="K339" s="212"/>
      <c r="L339" s="212"/>
      <c r="M339" s="212"/>
      <c r="N339" s="212"/>
      <c r="O339" s="212"/>
      <c r="P339" s="212"/>
      <c r="Q339" s="212"/>
      <c r="R339" s="212"/>
      <c r="S339" s="212"/>
      <c r="T339" s="212"/>
      <c r="U339" s="212"/>
      <c r="V339" s="212"/>
      <c r="W339" s="212"/>
      <c r="X339" s="210"/>
      <c r="Y339" s="213"/>
      <c r="Z339" s="211">
        <f>+AB65+AB64</f>
        <v>2</v>
      </c>
      <c r="AA339" s="198"/>
      <c r="AB339" s="40"/>
      <c r="AC339" s="43"/>
      <c r="AD339" s="22"/>
    </row>
    <row r="340" spans="1:30" s="23" customFormat="1" x14ac:dyDescent="0.3">
      <c r="A340" s="47"/>
      <c r="B340" s="44" t="s">
        <v>107</v>
      </c>
      <c r="C340" s="44"/>
      <c r="D340" s="212"/>
      <c r="E340" s="212"/>
      <c r="F340" s="212"/>
      <c r="G340" s="212"/>
      <c r="H340" s="212"/>
      <c r="I340" s="212"/>
      <c r="J340" s="212"/>
      <c r="K340" s="212"/>
      <c r="L340" s="212"/>
      <c r="M340" s="212"/>
      <c r="N340" s="212"/>
      <c r="O340" s="212"/>
      <c r="P340" s="212"/>
      <c r="Q340" s="212"/>
      <c r="R340" s="212"/>
      <c r="S340" s="212"/>
      <c r="T340" s="212"/>
      <c r="U340" s="212"/>
      <c r="V340" s="212"/>
      <c r="W340" s="212"/>
      <c r="X340" s="210"/>
      <c r="Y340" s="213"/>
      <c r="Z340" s="211">
        <f>+Z338+Z339</f>
        <v>277353</v>
      </c>
      <c r="AA340" s="198"/>
      <c r="AB340" s="40"/>
      <c r="AC340" s="43"/>
      <c r="AD340" s="22"/>
    </row>
    <row r="341" spans="1:30" s="23" customFormat="1" x14ac:dyDescent="0.3">
      <c r="A341" s="47"/>
      <c r="B341" s="44" t="s">
        <v>237</v>
      </c>
      <c r="C341" s="40"/>
      <c r="D341" s="204"/>
      <c r="E341" s="204"/>
      <c r="F341" s="204"/>
      <c r="G341" s="204"/>
      <c r="H341" s="204"/>
      <c r="I341" s="204"/>
      <c r="J341" s="204"/>
      <c r="K341" s="204"/>
      <c r="L341" s="204"/>
      <c r="M341" s="204"/>
      <c r="N341" s="204"/>
      <c r="O341" s="204"/>
      <c r="P341" s="204"/>
      <c r="Q341" s="204"/>
      <c r="R341" s="204"/>
      <c r="S341" s="204"/>
      <c r="T341" s="204"/>
      <c r="U341" s="204"/>
      <c r="V341" s="204"/>
      <c r="W341" s="204"/>
      <c r="X341" s="210"/>
      <c r="Y341" s="198"/>
      <c r="Z341" s="211">
        <f>+AB67</f>
        <v>277353</v>
      </c>
      <c r="AA341" s="198"/>
      <c r="AB341" s="40"/>
      <c r="AC341" s="43"/>
      <c r="AD341" s="22"/>
    </row>
    <row r="342" spans="1:30" s="23" customFormat="1" x14ac:dyDescent="0.3">
      <c r="A342" s="47"/>
      <c r="B342" s="44"/>
      <c r="C342" s="40"/>
      <c r="D342" s="204"/>
      <c r="E342" s="204"/>
      <c r="F342" s="204"/>
      <c r="G342" s="204"/>
      <c r="H342" s="204"/>
      <c r="I342" s="204"/>
      <c r="J342" s="204"/>
      <c r="K342" s="204"/>
      <c r="L342" s="204"/>
      <c r="M342" s="204"/>
      <c r="N342" s="204"/>
      <c r="O342" s="204"/>
      <c r="P342" s="204"/>
      <c r="Q342" s="204"/>
      <c r="R342" s="204"/>
      <c r="S342" s="204"/>
      <c r="T342" s="204"/>
      <c r="U342" s="204"/>
      <c r="V342" s="204"/>
      <c r="W342" s="204"/>
      <c r="X342" s="210"/>
      <c r="Y342" s="198"/>
      <c r="Z342" s="211"/>
      <c r="AA342" s="198"/>
      <c r="AB342" s="40"/>
      <c r="AC342" s="43"/>
      <c r="AD342" s="22"/>
    </row>
    <row r="343" spans="1:30" s="23" customFormat="1" x14ac:dyDescent="0.3">
      <c r="A343" s="47"/>
      <c r="B343" s="44" t="s">
        <v>305</v>
      </c>
      <c r="C343" s="40"/>
      <c r="D343" s="204"/>
      <c r="E343" s="204"/>
      <c r="F343" s="204"/>
      <c r="G343" s="204"/>
      <c r="H343" s="204"/>
      <c r="I343" s="204"/>
      <c r="J343" s="204"/>
      <c r="K343" s="204"/>
      <c r="L343" s="204"/>
      <c r="M343" s="204"/>
      <c r="N343" s="204"/>
      <c r="O343" s="204"/>
      <c r="P343" s="204"/>
      <c r="Q343" s="204"/>
      <c r="R343" s="204"/>
      <c r="S343" s="204"/>
      <c r="T343" s="204"/>
      <c r="U343" s="204"/>
      <c r="V343" s="204"/>
      <c r="W343" s="204"/>
      <c r="X343" s="210"/>
      <c r="Y343" s="198"/>
      <c r="Z343" s="236">
        <f>(D31*0.05+F31+H31+J31+L31+N31)/AB31</f>
        <v>0.85507719466094834</v>
      </c>
      <c r="AA343" s="198"/>
      <c r="AB343" s="40"/>
      <c r="AC343" s="43"/>
      <c r="AD343" s="22"/>
    </row>
    <row r="344" spans="1:30" s="23" customFormat="1" x14ac:dyDescent="0.3">
      <c r="A344" s="18"/>
      <c r="B344" s="20"/>
      <c r="C344" s="20"/>
      <c r="D344" s="214"/>
      <c r="E344" s="214"/>
      <c r="F344" s="214"/>
      <c r="G344" s="214"/>
      <c r="H344" s="214"/>
      <c r="I344" s="214"/>
      <c r="J344" s="214"/>
      <c r="K344" s="214"/>
      <c r="L344" s="214"/>
      <c r="M344" s="214"/>
      <c r="N344" s="214"/>
      <c r="O344" s="214"/>
      <c r="P344" s="214"/>
      <c r="Q344" s="214"/>
      <c r="R344" s="214"/>
      <c r="S344" s="214"/>
      <c r="T344" s="214"/>
      <c r="U344" s="214"/>
      <c r="V344" s="214"/>
      <c r="W344" s="214"/>
      <c r="X344" s="214"/>
      <c r="Y344" s="214"/>
      <c r="Z344" s="215"/>
      <c r="AA344" s="214"/>
      <c r="AB344" s="20"/>
      <c r="AC344" s="21"/>
      <c r="AD344" s="22"/>
    </row>
    <row r="345" spans="1:30" s="23" customFormat="1" x14ac:dyDescent="0.3">
      <c r="A345" s="18"/>
      <c r="B345" s="19" t="s">
        <v>62</v>
      </c>
      <c r="C345" s="20"/>
      <c r="D345" s="216" t="s">
        <v>66</v>
      </c>
      <c r="E345" s="19"/>
      <c r="F345" s="19" t="s">
        <v>67</v>
      </c>
      <c r="G345" s="20"/>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s="23" customFormat="1" x14ac:dyDescent="0.3">
      <c r="A346" s="18"/>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1"/>
      <c r="AD346" s="22"/>
    </row>
    <row r="347" spans="1:30" s="23" customFormat="1" x14ac:dyDescent="0.3">
      <c r="A347" s="18"/>
      <c r="B347" s="19" t="s">
        <v>152</v>
      </c>
      <c r="C347" s="19"/>
      <c r="D347" s="217" t="s">
        <v>122</v>
      </c>
      <c r="E347" s="19"/>
      <c r="F347" s="19" t="s">
        <v>168</v>
      </c>
      <c r="G347" s="19"/>
      <c r="H347" s="19"/>
      <c r="I347" s="20"/>
      <c r="J347" s="20"/>
      <c r="K347" s="20"/>
      <c r="L347" s="20"/>
      <c r="M347" s="20"/>
      <c r="N347" s="20"/>
      <c r="O347" s="20"/>
      <c r="P347" s="20"/>
      <c r="Q347" s="20"/>
      <c r="R347" s="20"/>
      <c r="S347" s="20"/>
      <c r="T347" s="20"/>
      <c r="U347" s="20"/>
      <c r="V347" s="20"/>
      <c r="W347" s="20"/>
      <c r="X347" s="20"/>
      <c r="Y347" s="20"/>
      <c r="Z347" s="20"/>
      <c r="AA347" s="20"/>
      <c r="AB347" s="20"/>
      <c r="AC347" s="21"/>
      <c r="AD347" s="22"/>
    </row>
    <row r="348" spans="1:30" s="23" customFormat="1" x14ac:dyDescent="0.3">
      <c r="A348" s="18"/>
      <c r="B348" s="19" t="s">
        <v>153</v>
      </c>
      <c r="C348" s="19"/>
      <c r="D348" s="217" t="s">
        <v>98</v>
      </c>
      <c r="E348" s="19"/>
      <c r="F348" s="19" t="s">
        <v>169</v>
      </c>
      <c r="G348" s="19"/>
      <c r="H348" s="19"/>
      <c r="I348" s="20"/>
      <c r="J348" s="20"/>
      <c r="K348" s="20"/>
      <c r="L348" s="20"/>
      <c r="M348" s="20"/>
      <c r="N348" s="20"/>
      <c r="O348" s="20"/>
      <c r="P348" s="20"/>
      <c r="Q348" s="20"/>
      <c r="R348" s="20"/>
      <c r="S348" s="20"/>
      <c r="T348" s="20"/>
      <c r="U348" s="20"/>
      <c r="V348" s="20"/>
      <c r="W348" s="20"/>
      <c r="X348" s="20"/>
      <c r="Y348" s="20"/>
      <c r="Z348" s="20"/>
      <c r="AA348" s="20"/>
      <c r="AB348" s="20"/>
      <c r="AC348" s="21"/>
      <c r="AD348" s="22"/>
    </row>
    <row r="349" spans="1:30" x14ac:dyDescent="0.3">
      <c r="A349" s="218"/>
      <c r="B349" s="258"/>
      <c r="C349" s="219"/>
      <c r="D349" s="220"/>
      <c r="E349" s="220"/>
      <c r="F349" s="220"/>
      <c r="G349" s="220"/>
      <c r="H349" s="220"/>
      <c r="I349" s="220"/>
      <c r="J349" s="220"/>
      <c r="K349" s="220"/>
      <c r="L349" s="220"/>
      <c r="M349" s="220"/>
      <c r="N349" s="220"/>
      <c r="O349" s="220"/>
      <c r="P349" s="220"/>
      <c r="Q349" s="220"/>
      <c r="R349" s="220"/>
      <c r="S349" s="220"/>
      <c r="T349" s="220"/>
      <c r="U349" s="220"/>
      <c r="V349" s="220"/>
      <c r="W349" s="220"/>
      <c r="X349" s="220"/>
      <c r="Y349" s="220"/>
      <c r="Z349" s="220"/>
      <c r="AA349" s="220"/>
      <c r="AB349" s="220"/>
      <c r="AC349" s="221"/>
      <c r="AD349" s="5"/>
    </row>
    <row r="350" spans="1:30" ht="18" x14ac:dyDescent="0.35">
      <c r="A350" s="218"/>
      <c r="B350" s="259" t="s">
        <v>109</v>
      </c>
      <c r="C350" s="219"/>
      <c r="D350" s="220"/>
      <c r="E350" s="220"/>
      <c r="F350" s="220"/>
      <c r="G350" s="220"/>
      <c r="H350" s="220"/>
      <c r="I350" s="220"/>
      <c r="J350" s="220"/>
      <c r="K350" s="220"/>
      <c r="L350" s="220"/>
      <c r="M350" s="220"/>
      <c r="N350" s="220"/>
      <c r="O350" s="220"/>
      <c r="P350" s="260" t="s">
        <v>167</v>
      </c>
      <c r="Q350" s="220"/>
      <c r="R350" s="220"/>
      <c r="S350" s="220"/>
      <c r="T350" s="220"/>
      <c r="U350" s="220"/>
      <c r="V350" s="220"/>
      <c r="W350" s="220"/>
      <c r="X350" s="220"/>
      <c r="Y350" s="220"/>
      <c r="Z350" s="220"/>
      <c r="AA350" s="220"/>
      <c r="AB350" s="220"/>
      <c r="AC350" s="221"/>
      <c r="AD350" s="5"/>
    </row>
    <row r="351" spans="1:30" ht="18" x14ac:dyDescent="0.35">
      <c r="A351" s="218"/>
      <c r="B351" s="259"/>
      <c r="C351" s="219"/>
      <c r="D351" s="220"/>
      <c r="E351" s="220"/>
      <c r="F351" s="220"/>
      <c r="G351" s="220"/>
      <c r="H351" s="220"/>
      <c r="I351" s="220"/>
      <c r="J351" s="220"/>
      <c r="K351" s="220"/>
      <c r="L351" s="220"/>
      <c r="M351" s="220"/>
      <c r="N351" s="220"/>
      <c r="O351" s="220"/>
      <c r="P351" s="260"/>
      <c r="Q351" s="220"/>
      <c r="R351" s="220"/>
      <c r="S351" s="220"/>
      <c r="T351" s="220"/>
      <c r="U351" s="220"/>
      <c r="V351" s="220"/>
      <c r="W351" s="220"/>
      <c r="X351" s="220"/>
      <c r="Y351" s="220"/>
      <c r="Z351" s="220"/>
      <c r="AA351" s="220"/>
      <c r="AB351" s="220"/>
      <c r="AC351" s="221"/>
      <c r="AD351" s="5"/>
    </row>
    <row r="352" spans="1:30" ht="18.600000000000001" thickBot="1" x14ac:dyDescent="0.4">
      <c r="A352" s="218"/>
      <c r="B352" s="222" t="str">
        <f>B238</f>
        <v>PM26 INVESTOR REPORT QUARTER ENDING JANUARY 2023</v>
      </c>
      <c r="C352" s="219"/>
      <c r="D352" s="220"/>
      <c r="E352" s="220"/>
      <c r="F352" s="220"/>
      <c r="G352" s="220"/>
      <c r="H352" s="220"/>
      <c r="I352" s="220"/>
      <c r="J352" s="220"/>
      <c r="K352" s="220"/>
      <c r="L352" s="220"/>
      <c r="M352" s="220"/>
      <c r="N352" s="220"/>
      <c r="O352" s="220"/>
      <c r="P352" s="220"/>
      <c r="Q352" s="220"/>
      <c r="R352" s="220"/>
      <c r="S352" s="220"/>
      <c r="T352" s="220"/>
      <c r="U352" s="220"/>
      <c r="V352" s="220"/>
      <c r="W352" s="220"/>
      <c r="X352" s="220"/>
      <c r="Y352" s="220"/>
      <c r="Z352" s="220"/>
      <c r="AA352" s="220"/>
      <c r="AB352" s="220"/>
      <c r="AC352" s="223"/>
      <c r="AD352" s="5"/>
    </row>
    <row r="353" spans="1:29" x14ac:dyDescent="0.3">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row>
    <row r="354" spans="1:29" x14ac:dyDescent="0.3">
      <c r="B354" s="6" t="s">
        <v>307</v>
      </c>
      <c r="AC354" s="271"/>
    </row>
    <row r="355" spans="1:29" x14ac:dyDescent="0.3">
      <c r="B355" s="271"/>
    </row>
    <row r="356" spans="1:29" x14ac:dyDescent="0.3">
      <c r="B356" s="279" t="s">
        <v>354</v>
      </c>
    </row>
    <row r="357" spans="1:29" x14ac:dyDescent="0.3">
      <c r="B357" s="270" t="s">
        <v>352</v>
      </c>
    </row>
    <row r="358" spans="1:29" x14ac:dyDescent="0.3">
      <c r="B358" s="300" t="s">
        <v>353</v>
      </c>
    </row>
    <row r="360" spans="1:29" x14ac:dyDescent="0.3">
      <c r="B360" s="6" t="s">
        <v>385</v>
      </c>
    </row>
    <row r="361" spans="1:29" x14ac:dyDescent="0.3">
      <c r="B361" s="6" t="s">
        <v>384</v>
      </c>
    </row>
  </sheetData>
  <hyperlinks>
    <hyperlink ref="K9" r:id="rId1" display="http://www.paragon-group.co.uk" xr:uid="{DBDEC4B7-44E6-44B7-A6EF-211D4FE2CDA5}"/>
    <hyperlink ref="P350" r:id="rId2" xr:uid="{FCB7E145-1095-462F-B741-7091628AE4DB}"/>
    <hyperlink ref="P278" r:id="rId3" xr:uid="{27D4F964-92ED-4165-86E3-4EF60DA9C414}"/>
    <hyperlink ref="B358" r:id="rId4" display="https://investorreporting.paragonbankinggroup.co.uk/bondinvestor_viewer/resources/bondinvestor/pdf/investornews/2021/libor-mortgages-transition-july-19" xr:uid="{7C4CD846-5264-496E-A3B6-F0127242A678}"/>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8" max="18" man="1"/>
  </rowBreaks>
  <colBreaks count="1" manualBreakCount="1">
    <brk id="29" max="299" man="1"/>
  </colBreak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E0534-7648-4C32-9D77-9634AF0FA1D4}">
  <sheetPr>
    <tabColor rgb="FF89CB31"/>
  </sheetPr>
  <dimension ref="A1:JB361"/>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0.29233392420751642</v>
      </c>
      <c r="Z17" s="29" t="s">
        <v>258</v>
      </c>
      <c r="AA17" s="29">
        <v>0.70766607579248375</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45065</v>
      </c>
      <c r="AC19" s="21"/>
      <c r="AD19" s="22"/>
    </row>
    <row r="20" spans="1:33" s="23" customFormat="1" x14ac:dyDescent="0.3">
      <c r="A20" s="18"/>
      <c r="B20" s="20"/>
      <c r="C20" s="20"/>
      <c r="D20" s="308"/>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307"/>
      <c r="E21" s="20"/>
      <c r="F21" s="287"/>
      <c r="G21" s="20"/>
      <c r="H21" s="309"/>
      <c r="I21" s="20"/>
      <c r="J21" s="308"/>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213</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214</v>
      </c>
      <c r="I27" s="229"/>
      <c r="J27" s="229" t="s">
        <v>215</v>
      </c>
      <c r="K27" s="229"/>
      <c r="L27" s="229" t="s">
        <v>365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42310.341370000002</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4062.9637099999995</v>
      </c>
      <c r="Q30" s="54"/>
      <c r="R30" s="54">
        <v>0</v>
      </c>
      <c r="S30" s="54"/>
      <c r="T30" s="54" t="s">
        <v>83</v>
      </c>
      <c r="U30" s="54"/>
      <c r="V30" s="54" t="s">
        <v>83</v>
      </c>
      <c r="W30" s="54"/>
      <c r="X30" s="54" t="s">
        <v>83</v>
      </c>
      <c r="Y30" s="54" t="s">
        <v>83</v>
      </c>
      <c r="Z30" s="54"/>
      <c r="AA30" s="49"/>
      <c r="AB30" s="50">
        <f>SUM(D30:N30)</f>
        <v>277353.34137000004</v>
      </c>
      <c r="AC30" s="51"/>
      <c r="AD30" s="22"/>
    </row>
    <row r="31" spans="1:33" s="23" customFormat="1" x14ac:dyDescent="0.3">
      <c r="A31" s="47"/>
      <c r="B31" s="44" t="s">
        <v>92</v>
      </c>
      <c r="C31" s="49"/>
      <c r="D31" s="57">
        <f>D29*D32</f>
        <v>34402.798190000001</v>
      </c>
      <c r="E31" s="57"/>
      <c r="F31" s="57">
        <f>F29</f>
        <v>151540</v>
      </c>
      <c r="G31" s="57"/>
      <c r="H31" s="57">
        <f>H29</f>
        <v>24741</v>
      </c>
      <c r="I31" s="57"/>
      <c r="J31" s="57">
        <f>J29</f>
        <v>18555</v>
      </c>
      <c r="K31" s="57"/>
      <c r="L31" s="57">
        <f>L29</f>
        <v>20102</v>
      </c>
      <c r="M31" s="57"/>
      <c r="N31" s="57">
        <f>N29</f>
        <v>20105</v>
      </c>
      <c r="O31" s="57"/>
      <c r="P31" s="57">
        <f>P29*P32</f>
        <v>3858.7113199999999</v>
      </c>
      <c r="Q31" s="57"/>
      <c r="R31" s="57">
        <v>0</v>
      </c>
      <c r="S31" s="57"/>
      <c r="T31" s="57" t="s">
        <v>83</v>
      </c>
      <c r="U31" s="57"/>
      <c r="V31" s="57" t="s">
        <v>83</v>
      </c>
      <c r="W31" s="57"/>
      <c r="X31" s="57" t="s">
        <v>83</v>
      </c>
      <c r="Y31" s="57" t="s">
        <v>83</v>
      </c>
      <c r="Z31" s="57"/>
      <c r="AA31" s="49"/>
      <c r="AB31" s="56">
        <f>SUM(D31:N31)</f>
        <v>269445.79819</v>
      </c>
      <c r="AC31" s="51"/>
      <c r="AD31" s="22"/>
      <c r="AE31" s="235"/>
    </row>
    <row r="32" spans="1:33" s="65" customFormat="1" x14ac:dyDescent="0.3">
      <c r="A32" s="58"/>
      <c r="B32" s="166" t="s">
        <v>88</v>
      </c>
      <c r="C32" s="61"/>
      <c r="D32" s="60">
        <v>8.9709999999999998E-2</v>
      </c>
      <c r="E32" s="60"/>
      <c r="F32" s="60">
        <v>1</v>
      </c>
      <c r="G32" s="60"/>
      <c r="H32" s="60">
        <v>1</v>
      </c>
      <c r="I32" s="60"/>
      <c r="J32" s="60">
        <v>1</v>
      </c>
      <c r="K32" s="60"/>
      <c r="L32" s="60">
        <v>1</v>
      </c>
      <c r="M32" s="60"/>
      <c r="N32" s="60">
        <v>1</v>
      </c>
      <c r="O32" s="60"/>
      <c r="P32" s="60">
        <v>0.37916</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0.11033</v>
      </c>
      <c r="E33" s="60"/>
      <c r="F33" s="60">
        <v>1</v>
      </c>
      <c r="G33" s="60"/>
      <c r="H33" s="60">
        <v>1</v>
      </c>
      <c r="I33" s="60"/>
      <c r="J33" s="60">
        <v>1</v>
      </c>
      <c r="K33" s="60"/>
      <c r="L33" s="60">
        <v>1</v>
      </c>
      <c r="M33" s="60"/>
      <c r="N33" s="60">
        <v>1</v>
      </c>
      <c r="O33" s="60"/>
      <c r="P33" s="60">
        <v>0.39922999999999997</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5.1260699999999999E-2</v>
      </c>
      <c r="E35" s="241"/>
      <c r="F35" s="241">
        <v>5.2760700000000001E-2</v>
      </c>
      <c r="G35" s="241"/>
      <c r="H35" s="241">
        <v>5.97607E-2</v>
      </c>
      <c r="I35" s="241"/>
      <c r="J35" s="241">
        <v>6.3260700000000003E-2</v>
      </c>
      <c r="K35" s="241"/>
      <c r="L35" s="241">
        <v>6.6760700000000006E-2</v>
      </c>
      <c r="M35" s="241"/>
      <c r="N35" s="241">
        <v>7.6760700000000001E-2</v>
      </c>
      <c r="O35" s="241"/>
      <c r="P35" s="241">
        <v>8.0760700000000005E-2</v>
      </c>
      <c r="Q35" s="241"/>
      <c r="R35" s="241">
        <v>8.0760700000000005E-2</v>
      </c>
      <c r="S35" s="68"/>
      <c r="T35" s="68" t="s">
        <v>83</v>
      </c>
      <c r="U35" s="68"/>
      <c r="V35" s="68" t="s">
        <v>83</v>
      </c>
      <c r="W35" s="68"/>
      <c r="X35" s="68" t="s">
        <v>83</v>
      </c>
      <c r="Y35" s="68" t="s">
        <v>83</v>
      </c>
      <c r="Z35" s="68"/>
      <c r="AA35" s="40"/>
      <c r="AB35" s="67">
        <f>SUMPRODUCT(D35:N35,D30:N30)/AB30</f>
        <v>5.66131756279016E-2</v>
      </c>
      <c r="AC35" s="43"/>
      <c r="AD35" s="22"/>
    </row>
    <row r="36" spans="1:30" s="23" customFormat="1" x14ac:dyDescent="0.3">
      <c r="A36" s="47"/>
      <c r="B36" s="40" t="s">
        <v>10</v>
      </c>
      <c r="C36" s="69"/>
      <c r="D36" s="241">
        <v>4.3221700000000002E-2</v>
      </c>
      <c r="E36" s="241"/>
      <c r="F36" s="241">
        <v>4.4721700000000003E-2</v>
      </c>
      <c r="G36" s="241"/>
      <c r="H36" s="241">
        <v>5.1721700000000002E-2</v>
      </c>
      <c r="I36" s="241"/>
      <c r="J36" s="241">
        <v>5.5221699999999999E-2</v>
      </c>
      <c r="K36" s="241"/>
      <c r="L36" s="241">
        <v>5.8721700000000002E-2</v>
      </c>
      <c r="M36" s="241"/>
      <c r="N36" s="241">
        <v>6.8721699999999997E-2</v>
      </c>
      <c r="O36" s="241"/>
      <c r="P36" s="241">
        <v>7.27217E-2</v>
      </c>
      <c r="Q36" s="241"/>
      <c r="R36" s="241">
        <v>7.27217E-2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0.44907896843993383</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45061</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92</v>
      </c>
      <c r="Y48" s="40"/>
      <c r="Z48" s="76">
        <v>44880</v>
      </c>
      <c r="AA48" s="77"/>
      <c r="AB48" s="76">
        <v>44971</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89</v>
      </c>
      <c r="Y49" s="40"/>
      <c r="Z49" s="76">
        <v>44972</v>
      </c>
      <c r="AA49" s="77"/>
      <c r="AB49" s="76">
        <v>45060</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45060</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386</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277351</v>
      </c>
      <c r="S58" s="238"/>
      <c r="T58" s="237">
        <f>132+129</f>
        <v>261</v>
      </c>
      <c r="U58" s="237"/>
      <c r="V58" s="237">
        <v>7647</v>
      </c>
      <c r="W58" s="238"/>
      <c r="X58" s="238">
        <v>0</v>
      </c>
      <c r="Y58" s="238"/>
      <c r="Z58" s="238">
        <v>0</v>
      </c>
      <c r="AA58" s="238"/>
      <c r="AB58" s="237">
        <f>R58-T58-V58+X58-Z58</f>
        <v>269443</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277351</v>
      </c>
      <c r="S61" s="238"/>
      <c r="T61" s="238">
        <f>T58+T59</f>
        <v>261</v>
      </c>
      <c r="U61" s="238"/>
      <c r="V61" s="238">
        <f>SUM(V58:V60)</f>
        <v>7647</v>
      </c>
      <c r="W61" s="238"/>
      <c r="X61" s="238">
        <f>SUM(X58:X60)</f>
        <v>0</v>
      </c>
      <c r="Y61" s="238"/>
      <c r="Z61" s="238">
        <f>SUM(Z58:Z60)</f>
        <v>0</v>
      </c>
      <c r="AA61" s="238"/>
      <c r="AB61" s="238">
        <f>SUM(AB58:AB60)</f>
        <v>269443</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2</v>
      </c>
      <c r="S64" s="238"/>
      <c r="T64" s="238">
        <v>0</v>
      </c>
      <c r="U64" s="238"/>
      <c r="V64" s="238">
        <v>1</v>
      </c>
      <c r="W64" s="238"/>
      <c r="X64" s="238"/>
      <c r="Y64" s="238"/>
      <c r="Z64" s="238"/>
      <c r="AA64" s="238"/>
      <c r="AB64" s="238">
        <f>R64+V64</f>
        <v>3</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277353</v>
      </c>
      <c r="S67" s="238"/>
      <c r="T67" s="238"/>
      <c r="U67" s="238"/>
      <c r="V67" s="238"/>
      <c r="W67" s="238"/>
      <c r="X67" s="238"/>
      <c r="Y67" s="238"/>
      <c r="Z67" s="238"/>
      <c r="AA67" s="238"/>
      <c r="AB67" s="238">
        <f>SUM(AB61:AB66)</f>
        <v>269446</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+Z239</f>
        <v>45044</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2</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f>
        <v>7908</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2314+1603-299-310</f>
        <v>3308</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53+36</f>
        <v>89</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260</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204</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378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563</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3399</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7910</v>
      </c>
      <c r="AA84" s="40"/>
      <c r="AB84" s="97">
        <f>SUM(AB71:AB83)</f>
        <v>7823</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7910</v>
      </c>
      <c r="AA87" s="40"/>
      <c r="AB87" s="97">
        <f>AB84+AB85+AB86</f>
        <v>7823</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-136-8-5</f>
        <v>-149</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1090</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-529</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-1949</v>
      </c>
      <c r="AC94" s="114"/>
      <c r="AD94" s="30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-360</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-286</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-327</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0</v>
      </c>
      <c r="AA101" s="112"/>
      <c r="AB101" s="98">
        <v>0</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-1186</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-2500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-376</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-80</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-204</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-11-89</f>
        <v>-100</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30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-841</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-7907</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-7907</v>
      </c>
      <c r="AA130" s="97"/>
      <c r="AB130" s="97">
        <f>SUM(AB88:AB128)</f>
        <v>-7823</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3</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APRIL 2023</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+'January 23'!AB146</f>
        <v>3483.5499999999993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-204</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3279.5499999999993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+'January 23'!AB159</f>
        <v>579.85500000000002</v>
      </c>
      <c r="AC150" s="43"/>
      <c r="AD150" s="22"/>
      <c r="AE150" s="115"/>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c r="AE159" s="115"/>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+'January 23'!AB165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+'January 23'!AB173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0</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0</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0</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+'January 23'!AB182</f>
        <v>1039</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311" t="s">
        <v>381</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237">
        <v>1186</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379</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563</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1662</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+'January 23'!AB190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382</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220</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AB187-AB189+AB188</f>
        <v>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+'January 23'!AB199</f>
        <v>2434</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237">
        <f>AB205</f>
        <v>2990</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377</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237">
        <v>0</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222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AB83</f>
        <v>3399</v>
      </c>
      <c r="AC198" s="43"/>
      <c r="AD198" s="310"/>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7" customFormat="1" x14ac:dyDescent="0.3">
      <c r="A199" s="47"/>
      <c r="B199" s="40" t="s">
        <v>356</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f>AB195+AB196-AB198-AB197</f>
        <v>2025</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9" customFormat="1" ht="16.2" thickBot="1" x14ac:dyDescent="0.35">
      <c r="A200" s="138"/>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126"/>
      <c r="AC200" s="10"/>
      <c r="AD200" s="5"/>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row>
    <row r="201" spans="1:262" x14ac:dyDescent="0.3">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134"/>
      <c r="AC201" s="4"/>
      <c r="AD201" s="5"/>
    </row>
    <row r="202" spans="1:262" s="136" customFormat="1" x14ac:dyDescent="0.3">
      <c r="A202" s="7"/>
      <c r="B202" s="125" t="s">
        <v>350</v>
      </c>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135"/>
      <c r="AC202" s="10"/>
      <c r="AD202" s="5"/>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row>
    <row r="203" spans="1:262" s="137" customFormat="1" x14ac:dyDescent="0.3">
      <c r="A203" s="47"/>
      <c r="B203" s="40" t="s">
        <v>209</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v>901</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40" t="s">
        <v>210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f>+'January 23'!AB207</f>
        <v>3051</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250</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v>2990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59" t="s">
        <v>223</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-AB103</f>
        <v>2500</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7" customFormat="1" x14ac:dyDescent="0.3">
      <c r="A207" s="47"/>
      <c r="B207" s="40" t="s">
        <v>211</v>
      </c>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98">
        <f>AB204-AB205+AB206</f>
        <v>2561</v>
      </c>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9" customFormat="1" ht="16.2" thickBot="1" x14ac:dyDescent="0.35">
      <c r="A208" s="138"/>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126"/>
      <c r="AC208" s="10"/>
      <c r="AD208" s="5"/>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row>
    <row r="209" spans="1:262" x14ac:dyDescent="0.3">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134"/>
      <c r="AC209" s="4"/>
      <c r="AD209" s="5"/>
    </row>
    <row r="210" spans="1:262" s="136" customFormat="1" x14ac:dyDescent="0.3">
      <c r="A210" s="7"/>
      <c r="B210" s="125" t="s">
        <v>229</v>
      </c>
      <c r="C210" s="99"/>
      <c r="D210" s="99"/>
      <c r="E210" s="99"/>
      <c r="F210" s="99"/>
      <c r="G210" s="99"/>
      <c r="H210" s="99"/>
      <c r="I210" s="99"/>
      <c r="J210" s="99"/>
      <c r="K210" s="99"/>
      <c r="L210" s="99"/>
      <c r="M210" s="99"/>
      <c r="N210" s="99"/>
      <c r="O210" s="99"/>
      <c r="P210" s="99"/>
      <c r="Q210" s="99"/>
      <c r="R210" s="99"/>
      <c r="S210" s="99"/>
      <c r="T210" s="99"/>
      <c r="U210" s="99"/>
      <c r="V210" s="99"/>
      <c r="W210" s="99"/>
      <c r="X210" s="99"/>
      <c r="Y210" s="233" t="s">
        <v>235</v>
      </c>
      <c r="Z210" s="233" t="s">
        <v>236</v>
      </c>
      <c r="AA210" s="12"/>
      <c r="AB210" s="234" t="s">
        <v>80</v>
      </c>
      <c r="AC210" s="10"/>
      <c r="AD210" s="5"/>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row>
    <row r="211" spans="1:262" s="137" customFormat="1" x14ac:dyDescent="0.3">
      <c r="A211" s="47"/>
      <c r="B211" s="40" t="s">
        <v>230</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+AB29*0.16</f>
        <v>98965.119999999995</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231</v>
      </c>
      <c r="C212" s="40"/>
      <c r="D212" s="40"/>
      <c r="E212" s="40"/>
      <c r="F212" s="40"/>
      <c r="G212" s="40"/>
      <c r="H212" s="40"/>
      <c r="I212" s="40"/>
      <c r="J212" s="40"/>
      <c r="K212" s="40"/>
      <c r="L212" s="40"/>
      <c r="M212" s="40"/>
      <c r="N212" s="40"/>
      <c r="O212" s="40"/>
      <c r="P212" s="40"/>
      <c r="Q212" s="40"/>
      <c r="R212" s="40"/>
      <c r="S212" s="40"/>
      <c r="T212" s="40"/>
      <c r="U212" s="40"/>
      <c r="V212" s="40"/>
      <c r="W212" s="40"/>
      <c r="X212" s="40"/>
      <c r="Y212" s="98">
        <f>+'January 23'!Y213</f>
        <v>0</v>
      </c>
      <c r="Z212" s="98">
        <f>+'January 23'!Z213</f>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232</v>
      </c>
      <c r="C213" s="40"/>
      <c r="D213" s="40"/>
      <c r="E213" s="40"/>
      <c r="F213" s="40"/>
      <c r="G213" s="40"/>
      <c r="H213" s="40"/>
      <c r="I213" s="40"/>
      <c r="J213" s="40"/>
      <c r="K213" s="40"/>
      <c r="L213" s="40"/>
      <c r="M213" s="40"/>
      <c r="N213" s="40"/>
      <c r="O213" s="40"/>
      <c r="P213" s="40"/>
      <c r="Q213" s="40"/>
      <c r="R213" s="40"/>
      <c r="S213" s="40"/>
      <c r="T213" s="40"/>
      <c r="U213" s="40"/>
      <c r="V213" s="40"/>
      <c r="W213" s="40"/>
      <c r="X213" s="40"/>
      <c r="Y213" s="97">
        <v>0</v>
      </c>
      <c r="Z213" s="97">
        <v>0</v>
      </c>
      <c r="AA213" s="40"/>
      <c r="AB213" s="98">
        <f>Y213+Z213</f>
        <v>0</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233</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Y212+Y213</f>
        <v>0</v>
      </c>
      <c r="Z214" s="98">
        <f>Z213+Z212</f>
        <v>0</v>
      </c>
      <c r="AA214" s="40"/>
      <c r="AB214" s="98">
        <f>Y214+Z214</f>
        <v>0</v>
      </c>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7" customFormat="1" x14ac:dyDescent="0.3">
      <c r="A215" s="47"/>
      <c r="B215" s="40" t="s">
        <v>234</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f>Y211-Y214-Z214</f>
        <v>98965.119999999995</v>
      </c>
      <c r="Z215" s="70"/>
      <c r="AA215" s="40"/>
      <c r="AB215" s="98"/>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9" customFormat="1" ht="16.2" thickBot="1" x14ac:dyDescent="0.35">
      <c r="A216" s="138"/>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126"/>
      <c r="AC216" s="10"/>
      <c r="AD216" s="5"/>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row>
    <row r="217" spans="1:262" x14ac:dyDescent="0.3">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134"/>
      <c r="AC217" s="4"/>
      <c r="AD217" s="5"/>
    </row>
    <row r="218" spans="1:262" s="136" customFormat="1" x14ac:dyDescent="0.3">
      <c r="A218" s="7"/>
      <c r="B218" s="125" t="s">
        <v>261</v>
      </c>
      <c r="C218" s="99"/>
      <c r="D218" s="99"/>
      <c r="E218" s="99"/>
      <c r="F218" s="99"/>
      <c r="G218" s="99"/>
      <c r="H218" s="99"/>
      <c r="I218" s="99"/>
      <c r="J218" s="99"/>
      <c r="K218" s="99"/>
      <c r="L218" s="99"/>
      <c r="M218" s="99"/>
      <c r="N218" s="99"/>
      <c r="O218" s="99"/>
      <c r="P218" s="99"/>
      <c r="Q218" s="99"/>
      <c r="R218" s="99"/>
      <c r="S218" s="99"/>
      <c r="T218" s="99"/>
      <c r="U218" s="99"/>
      <c r="V218" s="99"/>
      <c r="W218" s="99"/>
      <c r="X218" s="99"/>
      <c r="Y218" s="233"/>
      <c r="Z218" s="233"/>
      <c r="AA218" s="12"/>
      <c r="AB218" s="234" t="s">
        <v>80</v>
      </c>
      <c r="AC218" s="10"/>
      <c r="AD218" s="5"/>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row>
    <row r="219" spans="1:262" s="137" customFormat="1" x14ac:dyDescent="0.3">
      <c r="A219" s="47"/>
      <c r="B219" s="40" t="s">
        <v>373</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70"/>
      <c r="AA219" s="40"/>
      <c r="AB219" s="237">
        <v>214395</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306</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237">
        <v>220765</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260</v>
      </c>
      <c r="C221" s="40"/>
      <c r="D221" s="40"/>
      <c r="E221" s="40"/>
      <c r="F221" s="40"/>
      <c r="G221" s="40"/>
      <c r="H221" s="40"/>
      <c r="I221" s="40"/>
      <c r="J221" s="40"/>
      <c r="K221" s="40"/>
      <c r="L221" s="40"/>
      <c r="M221" s="40"/>
      <c r="N221" s="40"/>
      <c r="O221" s="40"/>
      <c r="P221" s="40"/>
      <c r="Q221" s="40"/>
      <c r="R221" s="40"/>
      <c r="S221" s="40"/>
      <c r="T221" s="40"/>
      <c r="U221" s="40"/>
      <c r="V221" s="40"/>
      <c r="W221" s="40"/>
      <c r="X221" s="40"/>
      <c r="Y221" s="98"/>
      <c r="Z221" s="98"/>
      <c r="AA221" s="40"/>
      <c r="AB221" s="98">
        <f>AB219-AB220</f>
        <v>-6370</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7" customFormat="1" x14ac:dyDescent="0.3">
      <c r="A222" s="47"/>
      <c r="B222" s="40" t="s">
        <v>303</v>
      </c>
      <c r="C222" s="40"/>
      <c r="D222" s="40"/>
      <c r="E222" s="40"/>
      <c r="F222" s="40"/>
      <c r="G222" s="40"/>
      <c r="H222" s="40"/>
      <c r="I222" s="40"/>
      <c r="J222" s="40"/>
      <c r="K222" s="40"/>
      <c r="L222" s="40"/>
      <c r="M222" s="40"/>
      <c r="N222" s="40"/>
      <c r="O222" s="40"/>
      <c r="P222" s="40"/>
      <c r="Q222" s="40"/>
      <c r="R222" s="40"/>
      <c r="S222" s="40"/>
      <c r="T222" s="40"/>
      <c r="U222" s="40"/>
      <c r="V222" s="40"/>
      <c r="W222" s="40"/>
      <c r="X222" s="40"/>
      <c r="Y222" s="97"/>
      <c r="Z222" s="97"/>
      <c r="AA222" s="40"/>
      <c r="AB222" s="240">
        <v>1.97831725168203E-2</v>
      </c>
      <c r="AC222" s="43"/>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39" customFormat="1" ht="16.2" thickBot="1" x14ac:dyDescent="0.35">
      <c r="A223" s="138"/>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126"/>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4"/>
      <c r="AC224" s="4"/>
      <c r="AD224" s="5"/>
    </row>
    <row r="225" spans="1:30" x14ac:dyDescent="0.3">
      <c r="A225" s="7"/>
      <c r="B225" s="125" t="s">
        <v>39</v>
      </c>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140"/>
      <c r="AC225" s="10"/>
      <c r="AD225" s="5"/>
    </row>
    <row r="226" spans="1:30" s="23" customFormat="1" x14ac:dyDescent="0.3">
      <c r="A226" s="47"/>
      <c r="B226" s="40" t="s">
        <v>40</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f>(AB87+AB89+AB90+AB91+AB92)/-(AB93+AB94)</f>
        <v>3.53591606133979</v>
      </c>
      <c r="AC226" s="43" t="s">
        <v>81</v>
      </c>
      <c r="AD226" s="22"/>
    </row>
    <row r="227" spans="1:30" s="23" customFormat="1" x14ac:dyDescent="0.3">
      <c r="A227" s="47"/>
      <c r="B227" s="40" t="s">
        <v>41</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3.61</v>
      </c>
      <c r="AC227" s="43" t="s">
        <v>81</v>
      </c>
      <c r="AD227" s="22"/>
    </row>
    <row r="228" spans="1:30" s="23" customFormat="1" x14ac:dyDescent="0.3">
      <c r="A228" s="47"/>
      <c r="B228" s="40" t="s">
        <v>144</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(AB87+AB89+AB90+AB91+AB92+AB93+AB94)/-(AB95)</f>
        <v>17.455555555555556</v>
      </c>
      <c r="AC228" s="43" t="s">
        <v>81</v>
      </c>
      <c r="AD228" s="22"/>
    </row>
    <row r="229" spans="1:30" s="23" customFormat="1" x14ac:dyDescent="0.3">
      <c r="A229" s="47"/>
      <c r="B229" s="40" t="s">
        <v>145</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24.39</v>
      </c>
      <c r="AC229" s="43" t="s">
        <v>81</v>
      </c>
      <c r="AD229" s="22"/>
    </row>
    <row r="230" spans="1:30" s="23" customFormat="1" x14ac:dyDescent="0.3">
      <c r="A230" s="47"/>
      <c r="B230" s="40" t="s">
        <v>146</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(AB87+AB89+AB90+AB91+AB92+AB93+AB94+AB95)/-(AB97)</f>
        <v>20.713286713286713</v>
      </c>
      <c r="AC230" s="43" t="s">
        <v>81</v>
      </c>
      <c r="AD230" s="22"/>
    </row>
    <row r="231" spans="1:30" s="23" customFormat="1" x14ac:dyDescent="0.3">
      <c r="A231" s="47"/>
      <c r="B231" s="40" t="s">
        <v>147</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27.72</v>
      </c>
      <c r="AC231" s="43" t="s">
        <v>81</v>
      </c>
      <c r="AD231" s="22"/>
    </row>
    <row r="232" spans="1:30" s="23" customFormat="1" x14ac:dyDescent="0.3">
      <c r="A232" s="47"/>
      <c r="B232" s="40" t="s">
        <v>176</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1">
        <f>(AB87+AB89+AB90+AB91+AB92+AB93+AB94+AB95+AB97)/-(AB98)</f>
        <v>17.24159021406728</v>
      </c>
      <c r="AC232" s="43" t="s">
        <v>81</v>
      </c>
      <c r="AD232" s="22"/>
    </row>
    <row r="233" spans="1:30" s="23" customFormat="1" x14ac:dyDescent="0.3">
      <c r="A233" s="47"/>
      <c r="B233" s="40" t="s">
        <v>177</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2">
        <v>22.16</v>
      </c>
      <c r="AC233" s="43" t="s">
        <v>81</v>
      </c>
      <c r="AD233" s="22"/>
    </row>
    <row r="234" spans="1:30" s="23" customFormat="1" x14ac:dyDescent="0.3">
      <c r="A234" s="47"/>
      <c r="B234" s="40" t="s">
        <v>163</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1">
        <f>(AB87+AB89+AB90+AB91+AB92+AB93+AB94+AB95+AB97+AB98)/-(AB107)</f>
        <v>14.125</v>
      </c>
      <c r="AC234" s="43" t="s">
        <v>81</v>
      </c>
      <c r="AD234" s="22"/>
    </row>
    <row r="235" spans="1:30" s="23" customFormat="1" x14ac:dyDescent="0.3">
      <c r="A235" s="47"/>
      <c r="B235" s="40" t="s">
        <v>164</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2">
        <v>16.420000000000002</v>
      </c>
      <c r="AC235" s="43" t="s">
        <v>81</v>
      </c>
      <c r="AD235" s="22"/>
    </row>
    <row r="236" spans="1:30" s="23" customFormat="1" x14ac:dyDescent="0.3">
      <c r="A236" s="18"/>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21"/>
      <c r="AD236" s="22"/>
    </row>
    <row r="237" spans="1:30" s="23" customFormat="1" x14ac:dyDescent="0.3">
      <c r="A237" s="18"/>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1"/>
      <c r="AD237" s="22"/>
    </row>
    <row r="238" spans="1:30" s="23" customFormat="1" ht="18.600000000000001" thickBot="1" x14ac:dyDescent="0.4">
      <c r="A238" s="83"/>
      <c r="B238" s="84" t="str">
        <f>B134</f>
        <v>PM26 INVESTOR REPORT QUARTER ENDING APRIL 2023</v>
      </c>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7"/>
      <c r="AD238" s="22"/>
    </row>
    <row r="239" spans="1:30" x14ac:dyDescent="0.3">
      <c r="A239" s="119"/>
      <c r="B239" s="120" t="s">
        <v>42</v>
      </c>
      <c r="C239" s="143"/>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v>45044</v>
      </c>
      <c r="AA239" s="121"/>
      <c r="AB239" s="121"/>
      <c r="AC239" s="123"/>
      <c r="AD239" s="5"/>
    </row>
    <row r="240" spans="1:30" x14ac:dyDescent="0.3">
      <c r="A240" s="145"/>
      <c r="B240" s="146"/>
      <c r="C240" s="147"/>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9"/>
      <c r="AB240" s="9"/>
      <c r="AC240" s="10"/>
      <c r="AD240" s="5"/>
    </row>
    <row r="241" spans="1:30" s="23" customFormat="1" x14ac:dyDescent="0.3">
      <c r="A241" s="47"/>
      <c r="B241" s="40" t="s">
        <v>43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3.773E-2</v>
      </c>
      <c r="AA241" s="40"/>
      <c r="AB241" s="40"/>
      <c r="AC241" s="43"/>
      <c r="AD241" s="22"/>
    </row>
    <row r="242" spans="1:30" s="23" customFormat="1" x14ac:dyDescent="0.3">
      <c r="A242" s="47"/>
      <c r="B242" s="40" t="s">
        <v>132</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v>2.0008281159907649E-2</v>
      </c>
      <c r="AA242" s="40"/>
      <c r="AB242" s="40"/>
      <c r="AC242" s="43"/>
      <c r="AD242" s="22"/>
    </row>
    <row r="243" spans="1:30" s="23" customFormat="1" x14ac:dyDescent="0.3">
      <c r="A243" s="47"/>
      <c r="B243" s="40" t="s">
        <v>44</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Z241-Z242</f>
        <v>1.7721718840092351E-2</v>
      </c>
      <c r="AA243" s="40"/>
      <c r="AB243" s="40"/>
      <c r="AC243" s="43"/>
      <c r="AD243" s="22"/>
    </row>
    <row r="244" spans="1:30" s="23" customFormat="1" x14ac:dyDescent="0.3">
      <c r="A244" s="47"/>
      <c r="B244" s="40" t="s">
        <v>45</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v>4.4202092447722947E-2</v>
      </c>
      <c r="AA244" s="40"/>
      <c r="AB244" s="40"/>
      <c r="AC244" s="43"/>
      <c r="AD244" s="22"/>
    </row>
    <row r="245" spans="1:30" s="23" customFormat="1" x14ac:dyDescent="0.3">
      <c r="A245" s="47"/>
      <c r="B245" s="40" t="s">
        <v>133</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+AB35</f>
        <v>5.66131756279016E-2</v>
      </c>
      <c r="AA245" s="40"/>
      <c r="AB245" s="40"/>
      <c r="AC245" s="43"/>
      <c r="AD245" s="22"/>
    </row>
    <row r="246" spans="1:30" s="23" customFormat="1" x14ac:dyDescent="0.3">
      <c r="A246" s="47"/>
      <c r="B246" s="40" t="s">
        <v>383</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v>0</v>
      </c>
      <c r="AA246" s="40"/>
      <c r="AB246" s="40"/>
      <c r="AC246" s="43"/>
      <c r="AD246" s="22"/>
    </row>
    <row r="247" spans="1:30" s="23" customFormat="1" x14ac:dyDescent="0.3">
      <c r="A247" s="47"/>
      <c r="B247" s="40" t="s">
        <v>119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67">
        <f>(+AB87+AB89+AB92)/R67</f>
        <v>3.2135942282939069E-2</v>
      </c>
      <c r="AA247" s="40"/>
      <c r="AB247" s="40"/>
      <c r="AC247" s="43"/>
      <c r="AD247" s="22"/>
    </row>
    <row r="248" spans="1:30" s="23" customFormat="1" x14ac:dyDescent="0.3">
      <c r="A248" s="47"/>
      <c r="B248" s="40" t="s">
        <v>112</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0" s="23" customFormat="1" x14ac:dyDescent="0.3">
      <c r="A249" s="47"/>
      <c r="B249" s="40" t="s">
        <v>148</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0" s="23" customFormat="1" x14ac:dyDescent="0.3">
      <c r="A250" s="47"/>
      <c r="B250" s="40" t="s">
        <v>149</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0" s="23" customFormat="1" x14ac:dyDescent="0.3">
      <c r="A251" s="47"/>
      <c r="B251" s="40" t="s">
        <v>178</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0" s="23" customFormat="1" x14ac:dyDescent="0.3">
      <c r="A252" s="47"/>
      <c r="B252" s="40" t="s">
        <v>165</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0" s="23" customFormat="1" x14ac:dyDescent="0.3">
      <c r="A253" s="47"/>
      <c r="B253" s="40" t="s">
        <v>189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0" s="23" customFormat="1" x14ac:dyDescent="0.3">
      <c r="A254" s="47"/>
      <c r="B254" s="40" t="s">
        <v>190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150">
        <v>53097</v>
      </c>
      <c r="AA254" s="40"/>
      <c r="AB254" s="40"/>
      <c r="AC254" s="43"/>
      <c r="AD254" s="22"/>
    </row>
    <row r="255" spans="1:30" s="23" customFormat="1" x14ac:dyDescent="0.3">
      <c r="A255" s="47"/>
      <c r="B255" s="40" t="s">
        <v>47</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18.28</v>
      </c>
      <c r="AA255" s="40" t="s">
        <v>76</v>
      </c>
      <c r="AB255" s="40"/>
      <c r="AC255" s="43"/>
      <c r="AD255" s="22"/>
    </row>
    <row r="256" spans="1:30" s="23" customFormat="1" x14ac:dyDescent="0.3">
      <c r="A256" s="47"/>
      <c r="B256" s="40" t="s">
        <v>48</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71">
        <v>14.684324940306171</v>
      </c>
      <c r="AA256" s="40" t="s">
        <v>76</v>
      </c>
      <c r="AB256" s="40"/>
      <c r="AC256" s="43"/>
      <c r="AD256" s="22"/>
    </row>
    <row r="257" spans="1:31" s="23" customFormat="1" x14ac:dyDescent="0.3">
      <c r="A257" s="47"/>
      <c r="B257" s="40" t="s">
        <v>49</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f>(+T58+V58+Z58)/(R58+R64+R65)</f>
        <v>2.8512401163859773E-2</v>
      </c>
      <c r="AA257" s="40"/>
      <c r="AB257" s="40"/>
      <c r="AC257" s="43"/>
      <c r="AD257" s="22"/>
      <c r="AE257" s="271"/>
    </row>
    <row r="258" spans="1:31" s="23" customFormat="1" x14ac:dyDescent="0.3">
      <c r="A258" s="47"/>
      <c r="B258" s="40" t="s">
        <v>50</v>
      </c>
      <c r="C258" s="149"/>
      <c r="D258" s="73"/>
      <c r="E258" s="73"/>
      <c r="F258" s="73"/>
      <c r="G258" s="73"/>
      <c r="H258" s="73"/>
      <c r="I258" s="73"/>
      <c r="J258" s="73"/>
      <c r="K258" s="73"/>
      <c r="L258" s="73"/>
      <c r="M258" s="73"/>
      <c r="N258" s="73"/>
      <c r="O258" s="73"/>
      <c r="P258" s="73"/>
      <c r="Q258" s="73"/>
      <c r="R258" s="73"/>
      <c r="S258" s="73"/>
      <c r="T258" s="73"/>
      <c r="U258" s="73"/>
      <c r="V258" s="73"/>
      <c r="W258" s="73"/>
      <c r="X258" s="73"/>
      <c r="Y258" s="73"/>
      <c r="Z258" s="67">
        <v>0.19320000000000001</v>
      </c>
      <c r="AA258" s="40"/>
      <c r="AB258" s="40"/>
      <c r="AC258" s="43"/>
      <c r="AD258" s="22"/>
    </row>
    <row r="259" spans="1:31" x14ac:dyDescent="0.3">
      <c r="A259" s="145"/>
      <c r="B259" s="151"/>
      <c r="C259" s="151"/>
      <c r="D259" s="99"/>
      <c r="E259" s="99"/>
      <c r="F259" s="99"/>
      <c r="G259" s="99"/>
      <c r="H259" s="99"/>
      <c r="I259" s="99"/>
      <c r="J259" s="99"/>
      <c r="K259" s="99"/>
      <c r="L259" s="99"/>
      <c r="M259" s="99"/>
      <c r="N259" s="99"/>
      <c r="O259" s="99"/>
      <c r="P259" s="99"/>
      <c r="Q259" s="99"/>
      <c r="R259" s="99"/>
      <c r="S259" s="99"/>
      <c r="T259" s="99"/>
      <c r="U259" s="99"/>
      <c r="V259" s="99"/>
      <c r="W259" s="99"/>
      <c r="X259" s="99"/>
      <c r="Y259" s="99"/>
      <c r="Z259" s="126"/>
      <c r="AA259" s="99"/>
      <c r="AB259" s="152"/>
      <c r="AC259" s="10"/>
      <c r="AD259" s="5"/>
    </row>
    <row r="260" spans="1:31" x14ac:dyDescent="0.3">
      <c r="A260" s="153"/>
      <c r="B260" s="102" t="s">
        <v>51</v>
      </c>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t="s">
        <v>69</v>
      </c>
      <c r="Z260" s="154" t="s">
        <v>74</v>
      </c>
      <c r="AA260" s="34"/>
      <c r="AB260" s="34"/>
      <c r="AC260" s="36"/>
      <c r="AD260" s="5"/>
    </row>
    <row r="261" spans="1:31" s="23" customFormat="1" x14ac:dyDescent="0.3">
      <c r="A261" s="155"/>
      <c r="B261" s="37" t="s">
        <v>52</v>
      </c>
      <c r="C261" s="10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v>0</v>
      </c>
      <c r="Z261" s="157">
        <v>0</v>
      </c>
      <c r="AA261" s="37"/>
      <c r="AB261" s="158"/>
      <c r="AC261" s="159"/>
      <c r="AD261" s="22"/>
    </row>
    <row r="262" spans="1:31" s="23" customFormat="1" x14ac:dyDescent="0.3">
      <c r="A262" s="160"/>
      <c r="B262" s="40" t="s">
        <v>97</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+X314</f>
        <v>2</v>
      </c>
      <c r="Z262" s="162">
        <f>+Z314</f>
        <v>564</v>
      </c>
      <c r="AA262" s="40"/>
      <c r="AB262" s="163"/>
      <c r="AC262" s="164"/>
      <c r="AD262" s="22"/>
    </row>
    <row r="263" spans="1:31" s="23" customFormat="1" x14ac:dyDescent="0.3">
      <c r="A263" s="160"/>
      <c r="B263" s="40" t="s">
        <v>53</v>
      </c>
      <c r="C263" s="97"/>
      <c r="D263" s="48"/>
      <c r="E263" s="48"/>
      <c r="F263" s="48"/>
      <c r="G263" s="48"/>
      <c r="H263" s="48"/>
      <c r="I263" s="48"/>
      <c r="J263" s="48"/>
      <c r="K263" s="48"/>
      <c r="L263" s="48"/>
      <c r="M263" s="48"/>
      <c r="N263" s="48"/>
      <c r="O263" s="48"/>
      <c r="P263" s="48"/>
      <c r="Q263" s="48"/>
      <c r="R263" s="48"/>
      <c r="S263" s="48"/>
      <c r="T263" s="48"/>
      <c r="U263" s="48"/>
      <c r="V263" s="48"/>
      <c r="W263" s="48"/>
      <c r="X263" s="48"/>
      <c r="Y263" s="161">
        <f>+X336</f>
        <v>0</v>
      </c>
      <c r="Z263" s="162">
        <f>+Z336</f>
        <v>0</v>
      </c>
      <c r="AA263" s="40"/>
      <c r="AB263" s="163"/>
      <c r="AC263" s="164"/>
      <c r="AD263" s="22"/>
    </row>
    <row r="264" spans="1:31" x14ac:dyDescent="0.3">
      <c r="A264" s="165"/>
      <c r="B264" s="166" t="s">
        <v>166</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Z58</f>
        <v>0</v>
      </c>
      <c r="AA264" s="59"/>
      <c r="AB264" s="168"/>
      <c r="AC264" s="169"/>
      <c r="AD264" s="5"/>
    </row>
    <row r="265" spans="1:31" x14ac:dyDescent="0.3">
      <c r="A265" s="165"/>
      <c r="B265" s="166" t="s">
        <v>255</v>
      </c>
      <c r="C265" s="167"/>
      <c r="D265" s="59"/>
      <c r="E265" s="59"/>
      <c r="F265" s="59"/>
      <c r="G265" s="59"/>
      <c r="H265" s="59"/>
      <c r="I265" s="59"/>
      <c r="J265" s="59"/>
      <c r="K265" s="59"/>
      <c r="L265" s="59"/>
      <c r="M265" s="59"/>
      <c r="N265" s="59"/>
      <c r="O265" s="59"/>
      <c r="P265" s="59"/>
      <c r="Q265" s="59"/>
      <c r="R265" s="59"/>
      <c r="S265" s="59"/>
      <c r="T265" s="59"/>
      <c r="U265" s="59"/>
      <c r="V265" s="59"/>
      <c r="W265" s="59"/>
      <c r="X265" s="59"/>
      <c r="Y265" s="112"/>
      <c r="Z265" s="162">
        <f>-T64</f>
        <v>0</v>
      </c>
      <c r="AA265" s="59"/>
      <c r="AB265" s="168"/>
      <c r="AC265" s="169"/>
      <c r="AD265" s="5"/>
    </row>
    <row r="266" spans="1:31" x14ac:dyDescent="0.3">
      <c r="A266" s="170"/>
      <c r="B266" s="166" t="s">
        <v>54</v>
      </c>
      <c r="C266" s="171"/>
      <c r="D266" s="59"/>
      <c r="E266" s="59"/>
      <c r="F266" s="59"/>
      <c r="G266" s="59"/>
      <c r="H266" s="59"/>
      <c r="I266" s="59"/>
      <c r="J266" s="59"/>
      <c r="K266" s="59"/>
      <c r="L266" s="59"/>
      <c r="M266" s="59"/>
      <c r="N266" s="59"/>
      <c r="O266" s="59"/>
      <c r="P266" s="59"/>
      <c r="Q266" s="59"/>
      <c r="R266" s="59"/>
      <c r="S266" s="59"/>
      <c r="T266" s="59"/>
      <c r="U266" s="59"/>
      <c r="V266" s="59"/>
      <c r="W266" s="59"/>
      <c r="X266" s="59"/>
      <c r="Y266" s="112"/>
      <c r="Z266" s="172"/>
      <c r="AA266" s="59"/>
      <c r="AB266" s="168"/>
      <c r="AC266" s="173"/>
      <c r="AD266" s="5"/>
    </row>
    <row r="267" spans="1:31" s="23" customFormat="1" x14ac:dyDescent="0.3">
      <c r="A267" s="174"/>
      <c r="B267" s="40" t="s">
        <v>55</v>
      </c>
      <c r="C267" s="40"/>
      <c r="D267" s="40"/>
      <c r="E267" s="40"/>
      <c r="F267" s="40"/>
      <c r="G267" s="40"/>
      <c r="H267" s="40"/>
      <c r="I267" s="40"/>
      <c r="J267" s="40"/>
      <c r="K267" s="40"/>
      <c r="L267" s="40"/>
      <c r="M267" s="40"/>
      <c r="N267" s="40"/>
      <c r="O267" s="40"/>
      <c r="P267" s="40"/>
      <c r="Q267" s="40"/>
      <c r="R267" s="40"/>
      <c r="S267" s="40"/>
      <c r="T267" s="40"/>
      <c r="U267" s="40"/>
      <c r="V267" s="40"/>
      <c r="W267" s="40"/>
      <c r="X267" s="40"/>
      <c r="Y267" s="48"/>
      <c r="Z267" s="162">
        <f>AB169</f>
        <v>0</v>
      </c>
      <c r="AA267" s="40"/>
      <c r="AB267" s="163"/>
      <c r="AC267" s="175"/>
      <c r="AD267" s="22"/>
    </row>
    <row r="268" spans="1:31" s="23" customFormat="1" x14ac:dyDescent="0.3">
      <c r="A268" s="160"/>
      <c r="B268" s="40" t="s">
        <v>56</v>
      </c>
      <c r="C268" s="97"/>
      <c r="D268" s="40"/>
      <c r="E268" s="40"/>
      <c r="F268" s="40"/>
      <c r="G268" s="40"/>
      <c r="H268" s="40"/>
      <c r="I268" s="40"/>
      <c r="J268" s="40"/>
      <c r="K268" s="40"/>
      <c r="L268" s="40"/>
      <c r="M268" s="40"/>
      <c r="N268" s="40"/>
      <c r="O268" s="40"/>
      <c r="P268" s="40"/>
      <c r="Q268" s="40"/>
      <c r="R268" s="40"/>
      <c r="S268" s="40"/>
      <c r="T268" s="40"/>
      <c r="U268" s="40"/>
      <c r="V268" s="40"/>
      <c r="W268" s="40"/>
      <c r="X268" s="40"/>
      <c r="Y268" s="48"/>
      <c r="Z268" s="162">
        <f>'January 23'!Z268+Z267</f>
        <v>16</v>
      </c>
      <c r="AA268" s="40"/>
      <c r="AB268" s="163"/>
      <c r="AC268" s="175"/>
      <c r="AD268" s="22"/>
    </row>
    <row r="269" spans="1:31" x14ac:dyDescent="0.3">
      <c r="A269" s="170"/>
      <c r="B269" s="166" t="s">
        <v>125</v>
      </c>
      <c r="C269" s="171"/>
      <c r="D269" s="59"/>
      <c r="E269" s="59"/>
      <c r="F269" s="59"/>
      <c r="G269" s="59"/>
      <c r="H269" s="59"/>
      <c r="I269" s="59"/>
      <c r="J269" s="59"/>
      <c r="K269" s="59"/>
      <c r="L269" s="59"/>
      <c r="M269" s="59"/>
      <c r="N269" s="59"/>
      <c r="O269" s="59"/>
      <c r="P269" s="59"/>
      <c r="Q269" s="59"/>
      <c r="R269" s="59"/>
      <c r="S269" s="59"/>
      <c r="T269" s="59"/>
      <c r="U269" s="59"/>
      <c r="V269" s="59"/>
      <c r="W269" s="59"/>
      <c r="X269" s="59"/>
      <c r="Y269" s="176"/>
      <c r="Z269" s="172"/>
      <c r="AA269" s="59"/>
      <c r="AB269" s="168"/>
      <c r="AC269" s="173"/>
      <c r="AD269" s="5"/>
    </row>
    <row r="270" spans="1:31" s="23" customFormat="1" x14ac:dyDescent="0.3">
      <c r="A270" s="174"/>
      <c r="B270" s="40" t="s">
        <v>134</v>
      </c>
      <c r="C270" s="4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1" s="23" customFormat="1" x14ac:dyDescent="0.3">
      <c r="A271" s="160"/>
      <c r="B271" s="40" t="s">
        <v>57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1" s="23" customFormat="1" x14ac:dyDescent="0.3">
      <c r="A272" s="160"/>
      <c r="B272" s="40" t="s">
        <v>58</v>
      </c>
      <c r="C272" s="70"/>
      <c r="D272" s="40"/>
      <c r="E272" s="40"/>
      <c r="F272" s="40"/>
      <c r="G272" s="40"/>
      <c r="H272" s="40"/>
      <c r="I272" s="40"/>
      <c r="J272" s="40"/>
      <c r="K272" s="40"/>
      <c r="L272" s="40"/>
      <c r="M272" s="40"/>
      <c r="N272" s="40"/>
      <c r="O272" s="40"/>
      <c r="P272" s="40"/>
      <c r="Q272" s="40"/>
      <c r="R272" s="40"/>
      <c r="S272" s="40"/>
      <c r="T272" s="40"/>
      <c r="U272" s="40"/>
      <c r="V272" s="40"/>
      <c r="W272" s="40"/>
      <c r="X272" s="40"/>
      <c r="Y272" s="40"/>
      <c r="Z272" s="177">
        <v>0</v>
      </c>
      <c r="AA272" s="40"/>
      <c r="AB272" s="163"/>
      <c r="AC272" s="175"/>
      <c r="AD272" s="22"/>
    </row>
    <row r="273" spans="1:31" x14ac:dyDescent="0.3">
      <c r="A273" s="165"/>
      <c r="B273" s="166" t="s">
        <v>116</v>
      </c>
      <c r="C273" s="178"/>
      <c r="D273" s="59"/>
      <c r="E273" s="59"/>
      <c r="F273" s="59"/>
      <c r="G273" s="59"/>
      <c r="H273" s="59"/>
      <c r="I273" s="59"/>
      <c r="J273" s="59"/>
      <c r="K273" s="59"/>
      <c r="L273" s="59"/>
      <c r="M273" s="59"/>
      <c r="N273" s="59"/>
      <c r="O273" s="59"/>
      <c r="P273" s="59"/>
      <c r="Q273" s="59"/>
      <c r="R273" s="59"/>
      <c r="S273" s="59"/>
      <c r="T273" s="59"/>
      <c r="U273" s="59"/>
      <c r="V273" s="59"/>
      <c r="W273" s="59"/>
      <c r="X273" s="59"/>
      <c r="Y273" s="112"/>
      <c r="Z273" s="179"/>
      <c r="AA273" s="59"/>
      <c r="AB273" s="168"/>
      <c r="AC273" s="173"/>
      <c r="AD273" s="5"/>
    </row>
    <row r="274" spans="1:31" s="23" customFormat="1" x14ac:dyDescent="0.3">
      <c r="A274" s="160"/>
      <c r="B274" s="40" t="s">
        <v>134</v>
      </c>
      <c r="C274" s="70"/>
      <c r="D274" s="40"/>
      <c r="E274" s="40"/>
      <c r="F274" s="40"/>
      <c r="G274" s="40"/>
      <c r="H274" s="40"/>
      <c r="I274" s="40"/>
      <c r="J274" s="40"/>
      <c r="K274" s="40"/>
      <c r="L274" s="40"/>
      <c r="M274" s="40"/>
      <c r="N274" s="40"/>
      <c r="O274" s="40"/>
      <c r="P274" s="40"/>
      <c r="Q274" s="40"/>
      <c r="R274" s="40"/>
      <c r="S274" s="40"/>
      <c r="T274" s="40"/>
      <c r="U274" s="40"/>
      <c r="V274" s="40"/>
      <c r="W274" s="40"/>
      <c r="X274" s="40"/>
      <c r="Y274" s="48">
        <v>1</v>
      </c>
      <c r="Z274" s="162">
        <v>83</v>
      </c>
      <c r="AA274" s="40"/>
      <c r="AB274" s="163"/>
      <c r="AC274" s="175"/>
      <c r="AD274" s="22"/>
    </row>
    <row r="275" spans="1:31" s="23" customFormat="1" x14ac:dyDescent="0.3">
      <c r="A275" s="160"/>
      <c r="B275" s="40" t="s">
        <v>117</v>
      </c>
      <c r="C275" s="70"/>
      <c r="D275" s="40"/>
      <c r="E275" s="40"/>
      <c r="F275" s="40"/>
      <c r="G275" s="40"/>
      <c r="H275" s="40"/>
      <c r="I275" s="40"/>
      <c r="J275" s="40"/>
      <c r="K275" s="40"/>
      <c r="L275" s="40"/>
      <c r="M275" s="40"/>
      <c r="N275" s="40"/>
      <c r="O275" s="40"/>
      <c r="P275" s="40"/>
      <c r="Q275" s="40"/>
      <c r="R275" s="40"/>
      <c r="S275" s="40"/>
      <c r="T275" s="40"/>
      <c r="U275" s="40"/>
      <c r="V275" s="40"/>
      <c r="W275" s="40"/>
      <c r="X275" s="40"/>
      <c r="Y275" s="40"/>
      <c r="Z275" s="177">
        <v>5.87</v>
      </c>
      <c r="AA275" s="40"/>
      <c r="AB275" s="163"/>
      <c r="AC275" s="175"/>
      <c r="AD275" s="22"/>
    </row>
    <row r="276" spans="1:31"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112"/>
      <c r="Z276" s="179"/>
      <c r="AA276" s="59"/>
      <c r="AB276" s="168"/>
      <c r="AC276" s="173"/>
      <c r="AD276" s="5"/>
    </row>
    <row r="277" spans="1:31" x14ac:dyDescent="0.3">
      <c r="A277" s="165"/>
      <c r="B277" s="171"/>
      <c r="C277" s="178"/>
      <c r="D277" s="59"/>
      <c r="E277" s="59"/>
      <c r="F277" s="59"/>
      <c r="G277" s="59"/>
      <c r="H277" s="59"/>
      <c r="I277" s="59"/>
      <c r="J277" s="59"/>
      <c r="K277" s="59"/>
      <c r="L277" s="59"/>
      <c r="M277" s="59"/>
      <c r="N277" s="59"/>
      <c r="O277" s="59"/>
      <c r="P277" s="59"/>
      <c r="Q277" s="59"/>
      <c r="R277" s="59"/>
      <c r="S277" s="59"/>
      <c r="T277" s="59"/>
      <c r="U277" s="59"/>
      <c r="V277" s="59"/>
      <c r="W277" s="59"/>
      <c r="X277" s="59"/>
      <c r="Y277" s="59"/>
      <c r="Z277" s="180"/>
      <c r="AA277" s="59"/>
      <c r="AB277" s="168"/>
      <c r="AC277" s="173"/>
      <c r="AD277" s="5"/>
    </row>
    <row r="278" spans="1:31" ht="18" x14ac:dyDescent="0.35">
      <c r="A278" s="165"/>
      <c r="B278" s="181" t="s">
        <v>109</v>
      </c>
      <c r="C278" s="178"/>
      <c r="D278" s="59"/>
      <c r="E278" s="59"/>
      <c r="F278" s="59"/>
      <c r="G278" s="59"/>
      <c r="H278" s="59"/>
      <c r="I278" s="59"/>
      <c r="J278" s="59"/>
      <c r="K278" s="59"/>
      <c r="L278" s="182"/>
      <c r="M278" s="182"/>
      <c r="N278" s="182"/>
      <c r="O278" s="182"/>
      <c r="P278" s="261" t="s">
        <v>167</v>
      </c>
      <c r="Q278" s="182"/>
      <c r="R278" s="182"/>
      <c r="S278" s="182"/>
      <c r="T278" s="182"/>
      <c r="U278" s="182"/>
      <c r="V278" s="182"/>
      <c r="W278" s="59"/>
      <c r="X278" s="183"/>
      <c r="Y278" s="182"/>
      <c r="Z278" s="180"/>
      <c r="AA278" s="59"/>
      <c r="AB278" s="168"/>
      <c r="AC278" s="173"/>
      <c r="AD278" s="5"/>
    </row>
    <row r="279" spans="1:31" ht="18" x14ac:dyDescent="0.35">
      <c r="A279" s="184"/>
      <c r="B279" s="185"/>
      <c r="C279" s="186"/>
      <c r="D279" s="99"/>
      <c r="E279" s="99"/>
      <c r="F279" s="99"/>
      <c r="G279" s="99"/>
      <c r="H279" s="99"/>
      <c r="I279" s="99"/>
      <c r="J279" s="99"/>
      <c r="K279" s="99"/>
      <c r="L279" s="187"/>
      <c r="M279" s="187"/>
      <c r="N279" s="187"/>
      <c r="O279" s="187"/>
      <c r="P279" s="187"/>
      <c r="Q279" s="187"/>
      <c r="R279" s="187"/>
      <c r="S279" s="187"/>
      <c r="T279" s="187"/>
      <c r="U279" s="187"/>
      <c r="V279" s="187"/>
      <c r="W279" s="99"/>
      <c r="X279" s="99"/>
      <c r="Y279" s="99"/>
      <c r="Z279" s="188"/>
      <c r="AA279" s="99"/>
      <c r="AB279" s="152"/>
      <c r="AC279" s="189"/>
      <c r="AD279" s="5"/>
    </row>
    <row r="280" spans="1:31" x14ac:dyDescent="0.3">
      <c r="A280" s="33"/>
      <c r="B280" s="102" t="s">
        <v>126</v>
      </c>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54" t="s">
        <v>69</v>
      </c>
      <c r="Y280" s="103" t="s">
        <v>70</v>
      </c>
      <c r="Z280" s="154" t="s">
        <v>75</v>
      </c>
      <c r="AA280" s="103" t="s">
        <v>70</v>
      </c>
      <c r="AB280" s="34"/>
      <c r="AC280" s="190"/>
      <c r="AD280" s="5"/>
    </row>
    <row r="281" spans="1:31" s="23" customFormat="1" x14ac:dyDescent="0.3">
      <c r="A281" s="18"/>
      <c r="B281" s="106" t="s">
        <v>59</v>
      </c>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06">
        <f t="shared" ref="X281:X288" si="1">+X293+X305+X327</f>
        <v>1554</v>
      </c>
      <c r="Y281" s="192">
        <f>X281/$X$290</f>
        <v>0.99424184261036463</v>
      </c>
      <c r="Z281" s="107">
        <f t="shared" ref="Z281:Z288" si="2">+Z293+Z305+Z327</f>
        <v>267372</v>
      </c>
      <c r="AA281" s="192">
        <f t="shared" ref="AA281:AA288" si="3">Z281/$Z$290</f>
        <v>0.99231377322847503</v>
      </c>
      <c r="AB281" s="158"/>
      <c r="AC281" s="193"/>
      <c r="AD281" s="22"/>
    </row>
    <row r="282" spans="1:31" s="23" customFormat="1" x14ac:dyDescent="0.3">
      <c r="A282" s="47"/>
      <c r="B282" s="97" t="s">
        <v>60</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5">
        <f t="shared" si="1"/>
        <v>2</v>
      </c>
      <c r="Y282" s="196">
        <f t="shared" ref="Y282:Y288" si="4">X282/$X$290</f>
        <v>1.2795905310300703E-3</v>
      </c>
      <c r="Z282" s="197">
        <f t="shared" si="2"/>
        <v>306</v>
      </c>
      <c r="AA282" s="198">
        <f t="shared" si="3"/>
        <v>1.1356761912538088E-3</v>
      </c>
      <c r="AB282" s="163"/>
      <c r="AC282" s="175"/>
      <c r="AD282" s="22"/>
    </row>
    <row r="283" spans="1:31" s="23" customFormat="1" x14ac:dyDescent="0.3">
      <c r="A283" s="47"/>
      <c r="B283" s="97" t="s">
        <v>61</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3</v>
      </c>
      <c r="Y283" s="200">
        <f t="shared" si="4"/>
        <v>1.9193857965451055E-3</v>
      </c>
      <c r="Z283" s="131">
        <f t="shared" si="2"/>
        <v>499</v>
      </c>
      <c r="AA283" s="198">
        <f t="shared" si="3"/>
        <v>1.8519686909661784E-3</v>
      </c>
      <c r="AB283" s="163"/>
      <c r="AC283" s="175"/>
      <c r="AD283" s="22"/>
      <c r="AE283" s="312"/>
    </row>
    <row r="284" spans="1:31" s="23" customFormat="1" x14ac:dyDescent="0.3">
      <c r="A284" s="47"/>
      <c r="B284" s="97" t="s">
        <v>100</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0</v>
      </c>
      <c r="Y284" s="200">
        <f t="shared" si="4"/>
        <v>0</v>
      </c>
      <c r="Z284" s="131">
        <f t="shared" si="2"/>
        <v>0</v>
      </c>
      <c r="AA284" s="198">
        <f t="shared" si="3"/>
        <v>0</v>
      </c>
      <c r="AB284" s="163"/>
      <c r="AC284" s="175"/>
      <c r="AD284" s="22"/>
    </row>
    <row r="285" spans="1:31" s="23" customFormat="1" x14ac:dyDescent="0.3">
      <c r="A285" s="47"/>
      <c r="B285" s="97" t="s">
        <v>101</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0</v>
      </c>
      <c r="Y285" s="200">
        <f t="shared" si="4"/>
        <v>0</v>
      </c>
      <c r="Z285" s="131">
        <f t="shared" si="2"/>
        <v>0</v>
      </c>
      <c r="AA285" s="198">
        <f t="shared" si="3"/>
        <v>0</v>
      </c>
      <c r="AB285" s="163"/>
      <c r="AC285" s="175"/>
      <c r="AD285" s="22"/>
    </row>
    <row r="286" spans="1:31" s="23" customFormat="1" x14ac:dyDescent="0.3">
      <c r="A286" s="47"/>
      <c r="B286" s="97" t="s">
        <v>102</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199">
        <f t="shared" si="1"/>
        <v>2</v>
      </c>
      <c r="Y286" s="200">
        <f t="shared" si="4"/>
        <v>1.2795905310300703E-3</v>
      </c>
      <c r="Z286" s="131">
        <f t="shared" si="2"/>
        <v>718</v>
      </c>
      <c r="AA286" s="198">
        <f t="shared" si="3"/>
        <v>2.6647565533341002E-3</v>
      </c>
      <c r="AB286" s="163"/>
      <c r="AC286" s="175"/>
      <c r="AD286" s="22"/>
    </row>
    <row r="287" spans="1:31" s="23" customFormat="1" x14ac:dyDescent="0.3">
      <c r="A287" s="47"/>
      <c r="B287" s="97" t="s">
        <v>103</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201">
        <f t="shared" si="1"/>
        <v>1</v>
      </c>
      <c r="Y287" s="202">
        <f t="shared" si="4"/>
        <v>6.3979526551503517E-4</v>
      </c>
      <c r="Z287" s="203">
        <f t="shared" si="2"/>
        <v>410</v>
      </c>
      <c r="AA287" s="198">
        <f t="shared" si="3"/>
        <v>1.5216576418760183E-3</v>
      </c>
      <c r="AB287" s="163"/>
      <c r="AC287" s="175"/>
      <c r="AD287" s="22"/>
    </row>
    <row r="288" spans="1:31" s="23" customFormat="1" x14ac:dyDescent="0.3">
      <c r="A288" s="47"/>
      <c r="B288" s="97" t="s">
        <v>104</v>
      </c>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106">
        <f t="shared" si="1"/>
        <v>1</v>
      </c>
      <c r="Y288" s="198">
        <f t="shared" si="4"/>
        <v>6.3979526551503517E-4</v>
      </c>
      <c r="Z288" s="107">
        <f t="shared" si="2"/>
        <v>138</v>
      </c>
      <c r="AA288" s="198">
        <f t="shared" si="3"/>
        <v>5.1216769409485495E-4</v>
      </c>
      <c r="AB288" s="163"/>
      <c r="AC288" s="306"/>
      <c r="AD288" s="22"/>
    </row>
    <row r="289" spans="1:31" s="23" customFormat="1" x14ac:dyDescent="0.3">
      <c r="A289" s="47"/>
      <c r="B289" s="97"/>
      <c r="C289" s="194"/>
      <c r="D289" s="194"/>
      <c r="E289" s="194"/>
      <c r="F289" s="194"/>
      <c r="G289" s="194"/>
      <c r="H289" s="194"/>
      <c r="I289" s="194"/>
      <c r="J289" s="194"/>
      <c r="K289" s="194"/>
      <c r="L289" s="194"/>
      <c r="M289" s="194"/>
      <c r="N289" s="194"/>
      <c r="O289" s="194"/>
      <c r="P289" s="194"/>
      <c r="Q289" s="194"/>
      <c r="R289" s="194"/>
      <c r="S289" s="194"/>
      <c r="T289" s="194"/>
      <c r="U289" s="194"/>
      <c r="V289" s="194"/>
      <c r="W289" s="194"/>
      <c r="X289" s="97"/>
      <c r="Y289" s="198"/>
      <c r="Z289" s="98"/>
      <c r="AA289" s="198"/>
      <c r="AB289" s="163"/>
      <c r="AC289" s="175"/>
      <c r="AD289" s="22"/>
    </row>
    <row r="290" spans="1:31" s="23" customFormat="1" x14ac:dyDescent="0.3">
      <c r="A290" s="47"/>
      <c r="B290" s="40" t="s">
        <v>80</v>
      </c>
      <c r="C290" s="40"/>
      <c r="D290" s="204"/>
      <c r="E290" s="204"/>
      <c r="F290" s="204"/>
      <c r="G290" s="204"/>
      <c r="H290" s="204"/>
      <c r="I290" s="204"/>
      <c r="J290" s="204"/>
      <c r="K290" s="204"/>
      <c r="L290" s="204"/>
      <c r="M290" s="204"/>
      <c r="N290" s="204"/>
      <c r="O290" s="204"/>
      <c r="P290" s="204"/>
      <c r="Q290" s="204"/>
      <c r="R290" s="204"/>
      <c r="S290" s="204"/>
      <c r="T290" s="204"/>
      <c r="U290" s="204"/>
      <c r="V290" s="204"/>
      <c r="W290" s="204"/>
      <c r="X290" s="97">
        <f>SUM(X281:X289)</f>
        <v>1563</v>
      </c>
      <c r="Y290" s="198">
        <f>SUM(Y281:Y289)</f>
        <v>1</v>
      </c>
      <c r="Z290" s="98">
        <f>SUM(Z281:Z289)</f>
        <v>269443</v>
      </c>
      <c r="AA290" s="198">
        <f>SUM(AA281:AA289)</f>
        <v>1</v>
      </c>
      <c r="AB290" s="40"/>
      <c r="AC290" s="43"/>
      <c r="AD290" s="22"/>
    </row>
    <row r="291" spans="1:31" x14ac:dyDescent="0.3">
      <c r="A291" s="7"/>
      <c r="B291" s="151"/>
      <c r="C291" s="186"/>
      <c r="D291" s="99"/>
      <c r="E291" s="99"/>
      <c r="F291" s="99"/>
      <c r="G291" s="99"/>
      <c r="H291" s="99"/>
      <c r="I291" s="99"/>
      <c r="J291" s="99"/>
      <c r="K291" s="99"/>
      <c r="L291" s="99"/>
      <c r="M291" s="99"/>
      <c r="N291" s="99"/>
      <c r="O291" s="99"/>
      <c r="P291" s="99"/>
      <c r="Q291" s="99"/>
      <c r="R291" s="99"/>
      <c r="S291" s="99"/>
      <c r="T291" s="99"/>
      <c r="U291" s="99"/>
      <c r="V291" s="99"/>
      <c r="W291" s="99"/>
      <c r="X291" s="99"/>
      <c r="Y291" s="99"/>
      <c r="Z291" s="188"/>
      <c r="AA291" s="99"/>
      <c r="AB291" s="99"/>
      <c r="AC291" s="10"/>
      <c r="AD291" s="5"/>
    </row>
    <row r="292" spans="1:31" x14ac:dyDescent="0.3">
      <c r="A292" s="33"/>
      <c r="B292" s="102" t="s">
        <v>105</v>
      </c>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54" t="s">
        <v>69</v>
      </c>
      <c r="Y292" s="103" t="s">
        <v>70</v>
      </c>
      <c r="Z292" s="154" t="s">
        <v>75</v>
      </c>
      <c r="AA292" s="103" t="s">
        <v>70</v>
      </c>
      <c r="AB292" s="34"/>
      <c r="AC292" s="190"/>
      <c r="AD292" s="5"/>
    </row>
    <row r="293" spans="1:31" s="23" customFormat="1" x14ac:dyDescent="0.3">
      <c r="A293" s="18"/>
      <c r="B293" s="106" t="s">
        <v>59</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6">
        <v>1554</v>
      </c>
      <c r="Y293" s="192">
        <f>X293/$X$302</f>
        <v>0.99551569506726456</v>
      </c>
      <c r="Z293" s="107">
        <v>267372</v>
      </c>
      <c r="AA293" s="192">
        <f>Z293/$Z$302</f>
        <v>0.99439524842029314</v>
      </c>
      <c r="AB293" s="158"/>
      <c r="AC293" s="193"/>
      <c r="AD293" s="22"/>
    </row>
    <row r="294" spans="1:31" s="23" customFormat="1" x14ac:dyDescent="0.3">
      <c r="A294" s="47"/>
      <c r="B294" s="97" t="s">
        <v>60</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2</v>
      </c>
      <c r="Y294" s="198">
        <f t="shared" ref="Y294:Y300" si="5">X294/$X$302</f>
        <v>1.2812299807815502E-3</v>
      </c>
      <c r="Z294" s="98">
        <v>306</v>
      </c>
      <c r="AA294" s="198">
        <f t="shared" ref="AA294:AA300" si="6">Z294/$Z$302</f>
        <v>1.1380583831388841E-3</v>
      </c>
      <c r="AB294" s="163"/>
      <c r="AC294" s="175"/>
      <c r="AD294" s="22"/>
      <c r="AE294" s="115"/>
    </row>
    <row r="295" spans="1:31" s="23" customFormat="1" x14ac:dyDescent="0.3">
      <c r="A295" s="47"/>
      <c r="B295" s="97" t="s">
        <v>61</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3</v>
      </c>
      <c r="Y295" s="198">
        <f t="shared" si="5"/>
        <v>1.9218449711723255E-3</v>
      </c>
      <c r="Z295" s="98">
        <v>499</v>
      </c>
      <c r="AA295" s="198">
        <f t="shared" si="6"/>
        <v>1.8558533764258273E-3</v>
      </c>
      <c r="AB295" s="163"/>
      <c r="AC295" s="175"/>
      <c r="AD295" s="22"/>
    </row>
    <row r="296" spans="1:31" s="23" customFormat="1" x14ac:dyDescent="0.3">
      <c r="A296" s="47"/>
      <c r="B296" s="97" t="s">
        <v>100</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c r="AE296" s="115"/>
    </row>
    <row r="297" spans="1:31" s="23" customFormat="1" x14ac:dyDescent="0.3">
      <c r="A297" s="47"/>
      <c r="B297" s="97" t="s">
        <v>101</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0</v>
      </c>
      <c r="Y297" s="198">
        <f t="shared" si="5"/>
        <v>0</v>
      </c>
      <c r="Z297" s="98">
        <v>0</v>
      </c>
      <c r="AA297" s="198">
        <f t="shared" si="6"/>
        <v>0</v>
      </c>
      <c r="AB297" s="163"/>
      <c r="AC297" s="175"/>
      <c r="AD297" s="22"/>
    </row>
    <row r="298" spans="1:31" s="23" customFormat="1" x14ac:dyDescent="0.3">
      <c r="A298" s="47"/>
      <c r="B298" s="97" t="s">
        <v>102</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1</v>
      </c>
      <c r="Y298" s="198">
        <f t="shared" si="5"/>
        <v>6.406149903907751E-4</v>
      </c>
      <c r="Z298" s="98">
        <v>292</v>
      </c>
      <c r="AA298" s="198">
        <f t="shared" si="6"/>
        <v>1.0859903525377585E-3</v>
      </c>
      <c r="AB298" s="163"/>
      <c r="AC298" s="175"/>
      <c r="AD298" s="22"/>
      <c r="AE298" s="115"/>
    </row>
    <row r="299" spans="1:31" s="23" customFormat="1" x14ac:dyDescent="0.3">
      <c r="A299" s="47"/>
      <c r="B299" s="97" t="s">
        <v>103</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1</v>
      </c>
      <c r="Y299" s="198">
        <f>X299/$X$302</f>
        <v>6.406149903907751E-4</v>
      </c>
      <c r="Z299" s="98">
        <v>410</v>
      </c>
      <c r="AA299" s="198">
        <f t="shared" si="6"/>
        <v>1.5248494676043871E-3</v>
      </c>
      <c r="AB299" s="163"/>
      <c r="AC299" s="175"/>
      <c r="AD299" s="22"/>
    </row>
    <row r="300" spans="1:31" s="23" customFormat="1" x14ac:dyDescent="0.3">
      <c r="A300" s="47"/>
      <c r="B300" s="97" t="s">
        <v>104</v>
      </c>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v>0</v>
      </c>
      <c r="Y300" s="198">
        <f t="shared" si="5"/>
        <v>0</v>
      </c>
      <c r="Z300" s="98">
        <v>0</v>
      </c>
      <c r="AA300" s="198">
        <f t="shared" si="6"/>
        <v>0</v>
      </c>
      <c r="AB300" s="163"/>
      <c r="AC300" s="175"/>
      <c r="AD300" s="22"/>
      <c r="AE300" s="115"/>
    </row>
    <row r="301" spans="1:31" s="23" customFormat="1" x14ac:dyDescent="0.3">
      <c r="A301" s="47"/>
      <c r="B301" s="97"/>
      <c r="C301" s="194"/>
      <c r="D301" s="194"/>
      <c r="E301" s="194"/>
      <c r="F301" s="194"/>
      <c r="G301" s="194"/>
      <c r="H301" s="194"/>
      <c r="I301" s="194"/>
      <c r="J301" s="194"/>
      <c r="K301" s="194"/>
      <c r="L301" s="194"/>
      <c r="M301" s="194"/>
      <c r="N301" s="194"/>
      <c r="O301" s="194"/>
      <c r="P301" s="194"/>
      <c r="Q301" s="194"/>
      <c r="R301" s="194"/>
      <c r="S301" s="194"/>
      <c r="T301" s="194"/>
      <c r="U301" s="194"/>
      <c r="V301" s="194"/>
      <c r="W301" s="194"/>
      <c r="X301" s="97"/>
      <c r="Y301" s="198"/>
      <c r="Z301" s="98"/>
      <c r="AA301" s="198"/>
      <c r="AB301" s="163"/>
      <c r="AC301" s="175"/>
      <c r="AD301" s="22"/>
    </row>
    <row r="302" spans="1:31" s="23" customFormat="1" x14ac:dyDescent="0.3">
      <c r="A302" s="47"/>
      <c r="B302" s="40" t="s">
        <v>80</v>
      </c>
      <c r="C302" s="40"/>
      <c r="D302" s="204"/>
      <c r="E302" s="204"/>
      <c r="F302" s="204"/>
      <c r="G302" s="204"/>
      <c r="H302" s="204"/>
      <c r="I302" s="204"/>
      <c r="J302" s="204"/>
      <c r="K302" s="204"/>
      <c r="L302" s="204"/>
      <c r="M302" s="204"/>
      <c r="N302" s="204"/>
      <c r="O302" s="204"/>
      <c r="P302" s="204"/>
      <c r="Q302" s="204"/>
      <c r="R302" s="204"/>
      <c r="S302" s="204"/>
      <c r="T302" s="204"/>
      <c r="U302" s="204"/>
      <c r="V302" s="204"/>
      <c r="W302" s="204"/>
      <c r="X302" s="97">
        <f>SUM(X293:X301)</f>
        <v>1561</v>
      </c>
      <c r="Y302" s="198">
        <f>SUM(Y293:Y301)</f>
        <v>1</v>
      </c>
      <c r="Z302" s="98">
        <f>SUM(Z293:Z301)</f>
        <v>268879</v>
      </c>
      <c r="AA302" s="198">
        <f>SUM(AA293:AA301)</f>
        <v>0.99999999999999989</v>
      </c>
      <c r="AB302" s="40"/>
      <c r="AC302" s="43"/>
      <c r="AD302" s="22"/>
    </row>
    <row r="303" spans="1:31" x14ac:dyDescent="0.3">
      <c r="A303" s="7"/>
      <c r="B303" s="99"/>
      <c r="C303" s="99"/>
      <c r="D303" s="205"/>
      <c r="E303" s="205"/>
      <c r="F303" s="205"/>
      <c r="G303" s="205"/>
      <c r="H303" s="205"/>
      <c r="I303" s="205"/>
      <c r="J303" s="205"/>
      <c r="K303" s="205"/>
      <c r="L303" s="205"/>
      <c r="M303" s="205"/>
      <c r="N303" s="205"/>
      <c r="O303" s="205"/>
      <c r="P303" s="205"/>
      <c r="Q303" s="205"/>
      <c r="R303" s="205"/>
      <c r="S303" s="205"/>
      <c r="T303" s="205"/>
      <c r="U303" s="205"/>
      <c r="V303" s="205"/>
      <c r="W303" s="205"/>
      <c r="X303" s="100"/>
      <c r="Y303" s="206"/>
      <c r="Z303" s="207"/>
      <c r="AA303" s="206"/>
      <c r="AB303" s="99"/>
      <c r="AC303" s="10"/>
      <c r="AD303" s="5"/>
    </row>
    <row r="304" spans="1:31" x14ac:dyDescent="0.3">
      <c r="A304" s="33"/>
      <c r="B304" s="102" t="s">
        <v>121</v>
      </c>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54" t="s">
        <v>69</v>
      </c>
      <c r="Y304" s="103" t="s">
        <v>70</v>
      </c>
      <c r="Z304" s="154" t="s">
        <v>75</v>
      </c>
      <c r="AA304" s="103" t="s">
        <v>70</v>
      </c>
      <c r="AB304" s="34"/>
      <c r="AC304" s="36"/>
      <c r="AD304" s="5"/>
    </row>
    <row r="305" spans="1:30" s="23" customFormat="1" x14ac:dyDescent="0.3">
      <c r="A305" s="18"/>
      <c r="B305" s="106" t="s">
        <v>59</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06">
        <v>0</v>
      </c>
      <c r="Y305" s="192">
        <v>0</v>
      </c>
      <c r="Z305" s="107">
        <v>0</v>
      </c>
      <c r="AA305" s="192">
        <v>0</v>
      </c>
      <c r="AB305" s="37"/>
      <c r="AC305" s="21"/>
      <c r="AD305" s="22"/>
    </row>
    <row r="306" spans="1:30" s="23" customFormat="1" x14ac:dyDescent="0.3">
      <c r="A306" s="47"/>
      <c r="B306" s="97" t="s">
        <v>60</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61</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100</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f>X308/X314</f>
        <v>0</v>
      </c>
      <c r="Z308" s="98">
        <v>0</v>
      </c>
      <c r="AA308" s="198">
        <f>Z308/Z314</f>
        <v>0</v>
      </c>
      <c r="AB308" s="40"/>
      <c r="AC308" s="43"/>
      <c r="AD308" s="22"/>
    </row>
    <row r="309" spans="1:30" s="23" customFormat="1" x14ac:dyDescent="0.3">
      <c r="A309" s="47"/>
      <c r="B309" s="97" t="s">
        <v>101</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102</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1</v>
      </c>
      <c r="Y310" s="198">
        <f>X310/X314</f>
        <v>0.5</v>
      </c>
      <c r="Z310" s="98">
        <v>426</v>
      </c>
      <c r="AA310" s="198">
        <f>Z310/Z314</f>
        <v>0.75531914893617025</v>
      </c>
      <c r="AB310" s="40"/>
      <c r="AC310" s="43"/>
      <c r="AD310" s="22"/>
    </row>
    <row r="311" spans="1:30" s="23" customFormat="1" x14ac:dyDescent="0.3">
      <c r="A311" s="47"/>
      <c r="B311" s="97" t="s">
        <v>103</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f>X311/X314</f>
        <v>0</v>
      </c>
      <c r="Z311" s="98">
        <v>0</v>
      </c>
      <c r="AA311" s="198">
        <f>Z311/Z314</f>
        <v>0</v>
      </c>
      <c r="AB311" s="40"/>
      <c r="AC311" s="43"/>
      <c r="AD311" s="22"/>
    </row>
    <row r="312" spans="1:30" s="23" customFormat="1" x14ac:dyDescent="0.3">
      <c r="A312" s="47"/>
      <c r="B312" s="97" t="s">
        <v>104</v>
      </c>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v>1</v>
      </c>
      <c r="Y312" s="198">
        <f>X312/X314</f>
        <v>0.5</v>
      </c>
      <c r="Z312" s="98">
        <v>138</v>
      </c>
      <c r="AA312" s="198">
        <f>Z312/Z314</f>
        <v>0.24468085106382978</v>
      </c>
      <c r="AB312" s="40"/>
      <c r="AC312" s="43"/>
      <c r="AD312" s="22"/>
    </row>
    <row r="313" spans="1:30" s="23" customFormat="1" x14ac:dyDescent="0.3">
      <c r="A313" s="47"/>
      <c r="B313" s="97"/>
      <c r="C313" s="194"/>
      <c r="D313" s="194"/>
      <c r="E313" s="194"/>
      <c r="F313" s="194"/>
      <c r="G313" s="194"/>
      <c r="H313" s="194"/>
      <c r="I313" s="194"/>
      <c r="J313" s="194"/>
      <c r="K313" s="194"/>
      <c r="L313" s="194"/>
      <c r="M313" s="194"/>
      <c r="N313" s="194"/>
      <c r="O313" s="194"/>
      <c r="P313" s="194"/>
      <c r="Q313" s="194"/>
      <c r="R313" s="194"/>
      <c r="S313" s="194"/>
      <c r="T313" s="194"/>
      <c r="U313" s="194"/>
      <c r="V313" s="194"/>
      <c r="W313" s="194"/>
      <c r="X313" s="97"/>
      <c r="Y313" s="198"/>
      <c r="Z313" s="98"/>
      <c r="AA313" s="198"/>
      <c r="AB313" s="40"/>
      <c r="AC313" s="43"/>
      <c r="AD313" s="22"/>
    </row>
    <row r="314" spans="1:30" s="23" customFormat="1" x14ac:dyDescent="0.3">
      <c r="A314" s="47"/>
      <c r="B314" s="40" t="s">
        <v>80</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f>SUM(X305:X313)</f>
        <v>2</v>
      </c>
      <c r="Y314" s="198">
        <f>SUM(Y305:Y313)</f>
        <v>1</v>
      </c>
      <c r="Z314" s="98">
        <f>SUM(Z305:Z313)</f>
        <v>564</v>
      </c>
      <c r="AA314" s="198">
        <f>SUM(AA305:AA313)</f>
        <v>1</v>
      </c>
      <c r="AB314" s="40"/>
      <c r="AC314" s="43"/>
      <c r="AD314" s="22"/>
    </row>
    <row r="315" spans="1:30" s="23" customFormat="1" x14ac:dyDescent="0.3">
      <c r="A315" s="47"/>
      <c r="B315" s="40"/>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97"/>
      <c r="Y315" s="198"/>
      <c r="Z315" s="98"/>
      <c r="AA315" s="198"/>
      <c r="AB315" s="40"/>
      <c r="AC315" s="43"/>
      <c r="AD315" s="22"/>
    </row>
    <row r="316" spans="1:30" s="23" customFormat="1" x14ac:dyDescent="0.3">
      <c r="A316" s="242"/>
      <c r="B316" s="243" t="s">
        <v>330</v>
      </c>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62" t="s">
        <v>69</v>
      </c>
      <c r="Y316" s="263" t="s">
        <v>70</v>
      </c>
      <c r="Z316" s="262" t="s">
        <v>75</v>
      </c>
      <c r="AA316" s="263" t="s">
        <v>70</v>
      </c>
      <c r="AB316" s="243"/>
      <c r="AC316" s="243"/>
      <c r="AD316" s="22"/>
    </row>
    <row r="317" spans="1:30" s="23" customFormat="1" x14ac:dyDescent="0.3">
      <c r="A317" s="273"/>
      <c r="B317" s="274" t="s">
        <v>326</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302">
        <v>0</v>
      </c>
      <c r="Y317" s="303">
        <f>X317/X324</f>
        <v>0</v>
      </c>
      <c r="Z317" s="304">
        <v>0</v>
      </c>
      <c r="AA317" s="303">
        <f>Z317/Z324</f>
        <v>0</v>
      </c>
      <c r="AB317" s="40"/>
      <c r="AC317" s="43"/>
      <c r="AD317" s="22"/>
    </row>
    <row r="318" spans="1:30" s="23" customFormat="1" x14ac:dyDescent="0.3">
      <c r="A318" s="273"/>
      <c r="B318" s="274" t="s">
        <v>327</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302">
        <v>0</v>
      </c>
      <c r="Y318" s="303">
        <v>0</v>
      </c>
      <c r="Z318" s="304">
        <v>0</v>
      </c>
      <c r="AA318" s="303">
        <v>0</v>
      </c>
      <c r="AB318" s="40"/>
      <c r="AC318" s="43"/>
      <c r="AD318" s="22"/>
    </row>
    <row r="319" spans="1:30" s="23" customFormat="1" x14ac:dyDescent="0.3">
      <c r="A319" s="273"/>
      <c r="B319" s="274" t="s">
        <v>328</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302">
        <v>0</v>
      </c>
      <c r="Y319" s="303">
        <f>X319/X324</f>
        <v>0</v>
      </c>
      <c r="Z319" s="304">
        <v>0</v>
      </c>
      <c r="AA319" s="303">
        <f>Z319/Z324</f>
        <v>0</v>
      </c>
      <c r="AB319" s="40"/>
      <c r="AC319" s="43"/>
      <c r="AD319" s="22"/>
    </row>
    <row r="320" spans="1:30" s="23" customFormat="1" x14ac:dyDescent="0.3">
      <c r="A320" s="273"/>
      <c r="B320" s="274" t="s">
        <v>329</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302">
        <v>0</v>
      </c>
      <c r="Y320" s="303">
        <f>X320/X324</f>
        <v>0</v>
      </c>
      <c r="Z320" s="304">
        <v>0</v>
      </c>
      <c r="AA320" s="303">
        <f>Z320/Z324</f>
        <v>0</v>
      </c>
      <c r="AB320" s="40"/>
      <c r="AC320" s="43"/>
      <c r="AD320" s="22"/>
    </row>
    <row r="321" spans="1:30" s="23" customFormat="1" x14ac:dyDescent="0.3">
      <c r="A321" s="273"/>
      <c r="B321" s="274" t="s">
        <v>334</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302">
        <v>2</v>
      </c>
      <c r="Y321" s="303">
        <f>X321/X324</f>
        <v>1</v>
      </c>
      <c r="Z321" s="304">
        <v>564</v>
      </c>
      <c r="AA321" s="303">
        <f>Z321/Z324</f>
        <v>1</v>
      </c>
      <c r="AB321" s="40"/>
      <c r="AC321" s="43"/>
      <c r="AD321" s="22"/>
    </row>
    <row r="322" spans="1:30" s="23" customFormat="1" x14ac:dyDescent="0.3">
      <c r="A322" s="273"/>
      <c r="B322" s="275" t="s">
        <v>331</v>
      </c>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302">
        <v>0</v>
      </c>
      <c r="Y322" s="303">
        <f>X322/X324</f>
        <v>0</v>
      </c>
      <c r="Z322" s="304">
        <v>0</v>
      </c>
      <c r="AA322" s="303">
        <f>Z322/Z324</f>
        <v>0</v>
      </c>
      <c r="AB322" s="40"/>
      <c r="AC322" s="43"/>
      <c r="AD322" s="22"/>
    </row>
    <row r="323" spans="1:30" s="23" customFormat="1" x14ac:dyDescent="0.3">
      <c r="A323" s="273"/>
      <c r="B323" s="274"/>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c r="Y323" s="277"/>
      <c r="Z323" s="278"/>
      <c r="AA323" s="277"/>
      <c r="AB323" s="40"/>
      <c r="AC323" s="43"/>
      <c r="AD323" s="22"/>
    </row>
    <row r="324" spans="1:30" s="23" customFormat="1" x14ac:dyDescent="0.3">
      <c r="A324" s="273"/>
      <c r="B324" s="274" t="s">
        <v>80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276">
        <f>SUM(X317:X323)</f>
        <v>2</v>
      </c>
      <c r="Y324" s="277">
        <f>SUM(Y317:Y322)</f>
        <v>1</v>
      </c>
      <c r="Z324" s="278">
        <f>SUM(Z317:Z322)</f>
        <v>564</v>
      </c>
      <c r="AA324" s="277">
        <f>SUM(AA317:AA323)</f>
        <v>1</v>
      </c>
      <c r="AB324" s="40"/>
      <c r="AC324" s="43"/>
      <c r="AD324" s="22"/>
    </row>
    <row r="325" spans="1:30" x14ac:dyDescent="0.3">
      <c r="A325" s="7"/>
      <c r="B325" s="99"/>
      <c r="C325" s="99"/>
      <c r="D325" s="205"/>
      <c r="E325" s="205"/>
      <c r="F325" s="205"/>
      <c r="G325" s="205"/>
      <c r="H325" s="205"/>
      <c r="I325" s="205"/>
      <c r="J325" s="205"/>
      <c r="K325" s="205"/>
      <c r="L325" s="205"/>
      <c r="M325" s="205"/>
      <c r="N325" s="205"/>
      <c r="O325" s="205"/>
      <c r="P325" s="205"/>
      <c r="Q325" s="205"/>
      <c r="R325" s="205"/>
      <c r="S325" s="205"/>
      <c r="T325" s="205"/>
      <c r="U325" s="205"/>
      <c r="V325" s="205"/>
      <c r="W325" s="205"/>
      <c r="X325" s="100"/>
      <c r="Y325" s="206"/>
      <c r="Z325" s="207"/>
      <c r="AA325" s="206"/>
      <c r="AB325" s="99"/>
      <c r="AC325" s="10"/>
      <c r="AD325" s="5"/>
    </row>
    <row r="326" spans="1:30" x14ac:dyDescent="0.3">
      <c r="A326" s="33"/>
      <c r="B326" s="102" t="s">
        <v>106</v>
      </c>
      <c r="C326" s="34"/>
      <c r="D326" s="208"/>
      <c r="E326" s="208"/>
      <c r="F326" s="208"/>
      <c r="G326" s="208"/>
      <c r="H326" s="208"/>
      <c r="I326" s="208"/>
      <c r="J326" s="208"/>
      <c r="K326" s="208"/>
      <c r="L326" s="208"/>
      <c r="M326" s="208"/>
      <c r="N326" s="208"/>
      <c r="O326" s="208"/>
      <c r="P326" s="208"/>
      <c r="Q326" s="208"/>
      <c r="R326" s="208"/>
      <c r="S326" s="208"/>
      <c r="T326" s="208"/>
      <c r="U326" s="208"/>
      <c r="V326" s="208"/>
      <c r="W326" s="208"/>
      <c r="X326" s="154" t="s">
        <v>69</v>
      </c>
      <c r="Y326" s="103" t="s">
        <v>70</v>
      </c>
      <c r="Z326" s="154" t="s">
        <v>75</v>
      </c>
      <c r="AA326" s="103" t="s">
        <v>70</v>
      </c>
      <c r="AB326" s="34"/>
      <c r="AC326" s="36"/>
      <c r="AD326" s="5"/>
    </row>
    <row r="327" spans="1:30" s="23" customFormat="1" x14ac:dyDescent="0.3">
      <c r="A327" s="18"/>
      <c r="B327" s="106" t="s">
        <v>59</v>
      </c>
      <c r="C327" s="37"/>
      <c r="D327" s="209"/>
      <c r="E327" s="209"/>
      <c r="F327" s="209"/>
      <c r="G327" s="209"/>
      <c r="H327" s="209"/>
      <c r="I327" s="209"/>
      <c r="J327" s="209"/>
      <c r="K327" s="209"/>
      <c r="L327" s="209"/>
      <c r="M327" s="209"/>
      <c r="N327" s="209"/>
      <c r="O327" s="209"/>
      <c r="P327" s="209"/>
      <c r="Q327" s="209"/>
      <c r="R327" s="209"/>
      <c r="S327" s="209"/>
      <c r="T327" s="209"/>
      <c r="U327" s="209"/>
      <c r="V327" s="209"/>
      <c r="W327" s="209"/>
      <c r="X327" s="106">
        <v>0</v>
      </c>
      <c r="Y327" s="192">
        <v>0</v>
      </c>
      <c r="Z327" s="107">
        <v>0</v>
      </c>
      <c r="AA327" s="192">
        <v>0</v>
      </c>
      <c r="AB327" s="37"/>
      <c r="AC327" s="21"/>
      <c r="AD327" s="22"/>
    </row>
    <row r="328" spans="1:30" s="23" customFormat="1" x14ac:dyDescent="0.3">
      <c r="A328" s="47"/>
      <c r="B328" s="97" t="s">
        <v>60</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61</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100</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101</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102</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103</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t="s">
        <v>104</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v>0</v>
      </c>
      <c r="Y334" s="198">
        <v>0</v>
      </c>
      <c r="Z334" s="98">
        <v>0</v>
      </c>
      <c r="AA334" s="198">
        <v>0</v>
      </c>
      <c r="AB334" s="40"/>
      <c r="AC334" s="43"/>
      <c r="AD334" s="22"/>
    </row>
    <row r="335" spans="1:30" s="23" customFormat="1" x14ac:dyDescent="0.3">
      <c r="A335" s="47"/>
      <c r="B335" s="97"/>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c r="Y335" s="198"/>
      <c r="Z335" s="98"/>
      <c r="AA335" s="198"/>
      <c r="AB335" s="40"/>
      <c r="AC335" s="43"/>
      <c r="AD335" s="22"/>
    </row>
    <row r="336" spans="1:30" s="23" customFormat="1" x14ac:dyDescent="0.3">
      <c r="A336" s="47"/>
      <c r="B336" s="40" t="s">
        <v>80</v>
      </c>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f>SUM(X327:X334)</f>
        <v>0</v>
      </c>
      <c r="Y336" s="198">
        <f>SUM(Y327:Y334)</f>
        <v>0</v>
      </c>
      <c r="Z336" s="98">
        <f>SUM(Z327:Z334)</f>
        <v>0</v>
      </c>
      <c r="AA336" s="198">
        <f>SUM(AA327:AA334)</f>
        <v>0</v>
      </c>
      <c r="AB336" s="40"/>
      <c r="AC336" s="43"/>
      <c r="AD336" s="22"/>
    </row>
    <row r="337" spans="1:30" s="23" customFormat="1" x14ac:dyDescent="0.3">
      <c r="A337" s="47"/>
      <c r="B337" s="40"/>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97"/>
      <c r="Y337" s="198"/>
      <c r="Z337" s="98"/>
      <c r="AA337" s="198"/>
      <c r="AB337" s="40"/>
      <c r="AC337" s="43"/>
      <c r="AD337" s="22"/>
    </row>
    <row r="338" spans="1:30" s="23" customFormat="1" x14ac:dyDescent="0.3">
      <c r="A338" s="47"/>
      <c r="B338" s="44" t="s">
        <v>139</v>
      </c>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f>X336+X314+X302</f>
        <v>1563</v>
      </c>
      <c r="Y338" s="198"/>
      <c r="Z338" s="211">
        <f>+Z336+Z314+Z302</f>
        <v>269443</v>
      </c>
      <c r="AA338" s="198"/>
      <c r="AB338" s="40"/>
      <c r="AC338" s="43"/>
      <c r="AD338" s="22"/>
    </row>
    <row r="339" spans="1:30" s="23" customFormat="1" x14ac:dyDescent="0.3">
      <c r="A339" s="47"/>
      <c r="B339" s="44" t="s">
        <v>304</v>
      </c>
      <c r="C339" s="44"/>
      <c r="D339" s="212"/>
      <c r="E339" s="212"/>
      <c r="F339" s="212"/>
      <c r="G339" s="212"/>
      <c r="H339" s="212"/>
      <c r="I339" s="212"/>
      <c r="J339" s="212"/>
      <c r="K339" s="212"/>
      <c r="L339" s="212"/>
      <c r="M339" s="212"/>
      <c r="N339" s="212"/>
      <c r="O339" s="212"/>
      <c r="P339" s="212"/>
      <c r="Q339" s="212"/>
      <c r="R339" s="212"/>
      <c r="S339" s="212"/>
      <c r="T339" s="212"/>
      <c r="U339" s="212"/>
      <c r="V339" s="212"/>
      <c r="W339" s="212"/>
      <c r="X339" s="210"/>
      <c r="Y339" s="213"/>
      <c r="Z339" s="211">
        <f>+AB65+AB64</f>
        <v>3</v>
      </c>
      <c r="AA339" s="198"/>
      <c r="AB339" s="40"/>
      <c r="AC339" s="43"/>
      <c r="AD339" s="22"/>
    </row>
    <row r="340" spans="1:30" s="23" customFormat="1" x14ac:dyDescent="0.3">
      <c r="A340" s="47"/>
      <c r="B340" s="44" t="s">
        <v>107</v>
      </c>
      <c r="C340" s="44"/>
      <c r="D340" s="212"/>
      <c r="E340" s="212"/>
      <c r="F340" s="212"/>
      <c r="G340" s="212"/>
      <c r="H340" s="212"/>
      <c r="I340" s="212"/>
      <c r="J340" s="212"/>
      <c r="K340" s="212"/>
      <c r="L340" s="212"/>
      <c r="M340" s="212"/>
      <c r="N340" s="212"/>
      <c r="O340" s="212"/>
      <c r="P340" s="212"/>
      <c r="Q340" s="212"/>
      <c r="R340" s="212"/>
      <c r="S340" s="212"/>
      <c r="T340" s="212"/>
      <c r="U340" s="212"/>
      <c r="V340" s="212"/>
      <c r="W340" s="212"/>
      <c r="X340" s="210"/>
      <c r="Y340" s="213"/>
      <c r="Z340" s="211">
        <f>+Z338+Z339</f>
        <v>269446</v>
      </c>
      <c r="AA340" s="198"/>
      <c r="AB340" s="40"/>
      <c r="AC340" s="43"/>
      <c r="AD340" s="22"/>
    </row>
    <row r="341" spans="1:30" s="23" customFormat="1" x14ac:dyDescent="0.3">
      <c r="A341" s="47"/>
      <c r="B341" s="44" t="s">
        <v>237</v>
      </c>
      <c r="C341" s="40"/>
      <c r="D341" s="204"/>
      <c r="E341" s="204"/>
      <c r="F341" s="204"/>
      <c r="G341" s="204"/>
      <c r="H341" s="204"/>
      <c r="I341" s="204"/>
      <c r="J341" s="204"/>
      <c r="K341" s="204"/>
      <c r="L341" s="204"/>
      <c r="M341" s="204"/>
      <c r="N341" s="204"/>
      <c r="O341" s="204"/>
      <c r="P341" s="204"/>
      <c r="Q341" s="204"/>
      <c r="R341" s="204"/>
      <c r="S341" s="204"/>
      <c r="T341" s="204"/>
      <c r="U341" s="204"/>
      <c r="V341" s="204"/>
      <c r="W341" s="204"/>
      <c r="X341" s="210"/>
      <c r="Y341" s="198"/>
      <c r="Z341" s="211">
        <f>+AB67</f>
        <v>269446</v>
      </c>
      <c r="AA341" s="198"/>
      <c r="AB341" s="40"/>
      <c r="AC341" s="43"/>
      <c r="AD341" s="22"/>
    </row>
    <row r="342" spans="1:30" s="23" customFormat="1" x14ac:dyDescent="0.3">
      <c r="A342" s="47"/>
      <c r="B342" s="44"/>
      <c r="C342" s="40"/>
      <c r="D342" s="204"/>
      <c r="E342" s="204"/>
      <c r="F342" s="204"/>
      <c r="G342" s="204"/>
      <c r="H342" s="204"/>
      <c r="I342" s="204"/>
      <c r="J342" s="204"/>
      <c r="K342" s="204"/>
      <c r="L342" s="204"/>
      <c r="M342" s="204"/>
      <c r="N342" s="204"/>
      <c r="O342" s="204"/>
      <c r="P342" s="204"/>
      <c r="Q342" s="204"/>
      <c r="R342" s="204"/>
      <c r="S342" s="204"/>
      <c r="T342" s="204"/>
      <c r="U342" s="204"/>
      <c r="V342" s="204"/>
      <c r="W342" s="204"/>
      <c r="X342" s="210"/>
      <c r="Y342" s="198"/>
      <c r="Z342" s="211"/>
      <c r="AA342" s="198"/>
      <c r="AB342" s="40"/>
      <c r="AC342" s="43"/>
      <c r="AD342" s="22"/>
    </row>
    <row r="343" spans="1:30" s="23" customFormat="1" x14ac:dyDescent="0.3">
      <c r="A343" s="47"/>
      <c r="B343" s="44" t="s">
        <v>305</v>
      </c>
      <c r="C343" s="40"/>
      <c r="D343" s="204"/>
      <c r="E343" s="204"/>
      <c r="F343" s="204"/>
      <c r="G343" s="204"/>
      <c r="H343" s="204"/>
      <c r="I343" s="204"/>
      <c r="J343" s="204"/>
      <c r="K343" s="204"/>
      <c r="L343" s="204"/>
      <c r="M343" s="204"/>
      <c r="N343" s="204"/>
      <c r="O343" s="204"/>
      <c r="P343" s="204"/>
      <c r="Q343" s="204"/>
      <c r="R343" s="204"/>
      <c r="S343" s="204"/>
      <c r="T343" s="204"/>
      <c r="U343" s="204"/>
      <c r="V343" s="204"/>
      <c r="W343" s="204"/>
      <c r="X343" s="210"/>
      <c r="Y343" s="198"/>
      <c r="Z343" s="236">
        <f>(D31*0.05+F31+H31+J31+L31+N31)/AB31</f>
        <v>0.87870414569443833</v>
      </c>
      <c r="AA343" s="198"/>
      <c r="AB343" s="40"/>
      <c r="AC343" s="43"/>
      <c r="AD343" s="22"/>
    </row>
    <row r="344" spans="1:30" s="23" customFormat="1" x14ac:dyDescent="0.3">
      <c r="A344" s="18"/>
      <c r="B344" s="20"/>
      <c r="C344" s="20"/>
      <c r="D344" s="214"/>
      <c r="E344" s="214"/>
      <c r="F344" s="214"/>
      <c r="G344" s="214"/>
      <c r="H344" s="214"/>
      <c r="I344" s="214"/>
      <c r="J344" s="214"/>
      <c r="K344" s="214"/>
      <c r="L344" s="214"/>
      <c r="M344" s="214"/>
      <c r="N344" s="214"/>
      <c r="O344" s="214"/>
      <c r="P344" s="214"/>
      <c r="Q344" s="214"/>
      <c r="R344" s="214"/>
      <c r="S344" s="214"/>
      <c r="T344" s="214"/>
      <c r="U344" s="214"/>
      <c r="V344" s="214"/>
      <c r="W344" s="214"/>
      <c r="X344" s="214"/>
      <c r="Y344" s="214"/>
      <c r="Z344" s="215"/>
      <c r="AA344" s="214"/>
      <c r="AB344" s="20"/>
      <c r="AC344" s="21"/>
      <c r="AD344" s="22"/>
    </row>
    <row r="345" spans="1:30" s="23" customFormat="1" x14ac:dyDescent="0.3">
      <c r="A345" s="18"/>
      <c r="B345" s="19" t="s">
        <v>62</v>
      </c>
      <c r="C345" s="20"/>
      <c r="D345" s="216" t="s">
        <v>66</v>
      </c>
      <c r="E345" s="19"/>
      <c r="F345" s="19" t="s">
        <v>67</v>
      </c>
      <c r="G345" s="20"/>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s="23" customFormat="1" x14ac:dyDescent="0.3">
      <c r="A346" s="18"/>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1"/>
      <c r="AD346" s="22"/>
    </row>
    <row r="347" spans="1:30" s="23" customFormat="1" x14ac:dyDescent="0.3">
      <c r="A347" s="18"/>
      <c r="B347" s="19" t="s">
        <v>152</v>
      </c>
      <c r="C347" s="19"/>
      <c r="D347" s="217" t="s">
        <v>122</v>
      </c>
      <c r="E347" s="19"/>
      <c r="F347" s="19" t="s">
        <v>168</v>
      </c>
      <c r="G347" s="19"/>
      <c r="H347" s="19"/>
      <c r="I347" s="20"/>
      <c r="J347" s="20"/>
      <c r="K347" s="20"/>
      <c r="L347" s="20"/>
      <c r="M347" s="20"/>
      <c r="N347" s="20"/>
      <c r="O347" s="20"/>
      <c r="P347" s="20"/>
      <c r="Q347" s="20"/>
      <c r="R347" s="20"/>
      <c r="S347" s="20"/>
      <c r="T347" s="20"/>
      <c r="U347" s="20"/>
      <c r="V347" s="20"/>
      <c r="W347" s="20"/>
      <c r="X347" s="20"/>
      <c r="Y347" s="20"/>
      <c r="Z347" s="20"/>
      <c r="AA347" s="20"/>
      <c r="AB347" s="20"/>
      <c r="AC347" s="21"/>
      <c r="AD347" s="22"/>
    </row>
    <row r="348" spans="1:30" s="23" customFormat="1" x14ac:dyDescent="0.3">
      <c r="A348" s="18"/>
      <c r="B348" s="19" t="s">
        <v>153</v>
      </c>
      <c r="C348" s="19"/>
      <c r="D348" s="217" t="s">
        <v>98</v>
      </c>
      <c r="E348" s="19"/>
      <c r="F348" s="19" t="s">
        <v>169</v>
      </c>
      <c r="G348" s="19"/>
      <c r="H348" s="19"/>
      <c r="I348" s="20"/>
      <c r="J348" s="20"/>
      <c r="K348" s="20"/>
      <c r="L348" s="20"/>
      <c r="M348" s="20"/>
      <c r="N348" s="20"/>
      <c r="O348" s="20"/>
      <c r="P348" s="20"/>
      <c r="Q348" s="20"/>
      <c r="R348" s="20"/>
      <c r="S348" s="20"/>
      <c r="T348" s="20"/>
      <c r="U348" s="20"/>
      <c r="V348" s="20"/>
      <c r="W348" s="20"/>
      <c r="X348" s="20"/>
      <c r="Y348" s="20"/>
      <c r="Z348" s="20"/>
      <c r="AA348" s="20"/>
      <c r="AB348" s="20"/>
      <c r="AC348" s="21"/>
      <c r="AD348" s="22"/>
    </row>
    <row r="349" spans="1:30" x14ac:dyDescent="0.3">
      <c r="A349" s="218"/>
      <c r="B349" s="258"/>
      <c r="C349" s="219"/>
      <c r="D349" s="220"/>
      <c r="E349" s="220"/>
      <c r="F349" s="220"/>
      <c r="G349" s="220"/>
      <c r="H349" s="220"/>
      <c r="I349" s="220"/>
      <c r="J349" s="220"/>
      <c r="K349" s="220"/>
      <c r="L349" s="220"/>
      <c r="M349" s="220"/>
      <c r="N349" s="220"/>
      <c r="O349" s="220"/>
      <c r="P349" s="220"/>
      <c r="Q349" s="220"/>
      <c r="R349" s="220"/>
      <c r="S349" s="220"/>
      <c r="T349" s="220"/>
      <c r="U349" s="220"/>
      <c r="V349" s="220"/>
      <c r="W349" s="220"/>
      <c r="X349" s="220"/>
      <c r="Y349" s="220"/>
      <c r="Z349" s="220"/>
      <c r="AA349" s="220"/>
      <c r="AB349" s="220"/>
      <c r="AC349" s="221"/>
      <c r="AD349" s="5"/>
    </row>
    <row r="350" spans="1:30" ht="18" x14ac:dyDescent="0.35">
      <c r="A350" s="218"/>
      <c r="B350" s="259" t="s">
        <v>109</v>
      </c>
      <c r="C350" s="219"/>
      <c r="D350" s="220"/>
      <c r="E350" s="220"/>
      <c r="F350" s="220"/>
      <c r="G350" s="220"/>
      <c r="H350" s="220"/>
      <c r="I350" s="220"/>
      <c r="J350" s="220"/>
      <c r="K350" s="220"/>
      <c r="L350" s="220"/>
      <c r="M350" s="220"/>
      <c r="N350" s="220"/>
      <c r="O350" s="220"/>
      <c r="P350" s="260" t="s">
        <v>167</v>
      </c>
      <c r="Q350" s="220"/>
      <c r="R350" s="220"/>
      <c r="S350" s="220"/>
      <c r="T350" s="220"/>
      <c r="U350" s="220"/>
      <c r="V350" s="220"/>
      <c r="W350" s="220"/>
      <c r="X350" s="220"/>
      <c r="Y350" s="220"/>
      <c r="Z350" s="220"/>
      <c r="AA350" s="220"/>
      <c r="AB350" s="220"/>
      <c r="AC350" s="221"/>
      <c r="AD350" s="5"/>
    </row>
    <row r="351" spans="1:30" ht="18" x14ac:dyDescent="0.35">
      <c r="A351" s="218"/>
      <c r="B351" s="259"/>
      <c r="C351" s="219"/>
      <c r="D351" s="220"/>
      <c r="E351" s="220"/>
      <c r="F351" s="220"/>
      <c r="G351" s="220"/>
      <c r="H351" s="220"/>
      <c r="I351" s="220"/>
      <c r="J351" s="220"/>
      <c r="K351" s="220"/>
      <c r="L351" s="220"/>
      <c r="M351" s="220"/>
      <c r="N351" s="220"/>
      <c r="O351" s="220"/>
      <c r="P351" s="260"/>
      <c r="Q351" s="220"/>
      <c r="R351" s="220"/>
      <c r="S351" s="220"/>
      <c r="T351" s="220"/>
      <c r="U351" s="220"/>
      <c r="V351" s="220"/>
      <c r="W351" s="220"/>
      <c r="X351" s="220"/>
      <c r="Y351" s="220"/>
      <c r="Z351" s="220"/>
      <c r="AA351" s="220"/>
      <c r="AB351" s="220"/>
      <c r="AC351" s="221"/>
      <c r="AD351" s="5"/>
    </row>
    <row r="352" spans="1:30" ht="18.600000000000001" thickBot="1" x14ac:dyDescent="0.4">
      <c r="A352" s="218"/>
      <c r="B352" s="222" t="str">
        <f>B238</f>
        <v>PM26 INVESTOR REPORT QUARTER ENDING APRIL 2023</v>
      </c>
      <c r="C352" s="219"/>
      <c r="D352" s="220"/>
      <c r="E352" s="220"/>
      <c r="F352" s="220"/>
      <c r="G352" s="220"/>
      <c r="H352" s="220"/>
      <c r="I352" s="220"/>
      <c r="J352" s="220"/>
      <c r="K352" s="220"/>
      <c r="L352" s="220"/>
      <c r="M352" s="220"/>
      <c r="N352" s="220"/>
      <c r="O352" s="220"/>
      <c r="P352" s="220"/>
      <c r="Q352" s="220"/>
      <c r="R352" s="220"/>
      <c r="S352" s="220"/>
      <c r="T352" s="220"/>
      <c r="U352" s="220"/>
      <c r="V352" s="220"/>
      <c r="W352" s="220"/>
      <c r="X352" s="220"/>
      <c r="Y352" s="220"/>
      <c r="Z352" s="220"/>
      <c r="AA352" s="220"/>
      <c r="AB352" s="220"/>
      <c r="AC352" s="223"/>
      <c r="AD352" s="5"/>
    </row>
    <row r="353" spans="1:29" x14ac:dyDescent="0.3">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row>
    <row r="354" spans="1:29" x14ac:dyDescent="0.3">
      <c r="B354" s="6" t="s">
        <v>307</v>
      </c>
      <c r="AC354" s="271"/>
    </row>
    <row r="355" spans="1:29" x14ac:dyDescent="0.3">
      <c r="B355" s="271"/>
    </row>
    <row r="356" spans="1:29" x14ac:dyDescent="0.3">
      <c r="B356" s="279" t="s">
        <v>354</v>
      </c>
    </row>
    <row r="357" spans="1:29" x14ac:dyDescent="0.3">
      <c r="B357" s="270" t="s">
        <v>352</v>
      </c>
    </row>
    <row r="358" spans="1:29" x14ac:dyDescent="0.3">
      <c r="B358" s="300" t="s">
        <v>353</v>
      </c>
    </row>
    <row r="360" spans="1:29" x14ac:dyDescent="0.3">
      <c r="B360" s="6" t="s">
        <v>385</v>
      </c>
    </row>
    <row r="361" spans="1:29" x14ac:dyDescent="0.3">
      <c r="B361" s="6" t="s">
        <v>384</v>
      </c>
    </row>
  </sheetData>
  <hyperlinks>
    <hyperlink ref="K9" r:id="rId1" display="http://www.paragon-group.co.uk" xr:uid="{E38FB1D7-F406-4A1F-AC0B-EE4FFA2C7525}"/>
    <hyperlink ref="P350" r:id="rId2" xr:uid="{E2E5D5BF-C10B-42FA-A15A-FE3BEFAEEB4A}"/>
    <hyperlink ref="P278" r:id="rId3" xr:uid="{3C1EF5AB-E92F-411D-B7CA-B8867BA20A7E}"/>
    <hyperlink ref="B358" r:id="rId4" display="https://investorreporting.paragonbankinggroup.co.uk/bondinvestor_viewer/resources/bondinvestor/pdf/investornews/2021/libor-mortgages-transition-july-19" xr:uid="{2D409B25-89DB-4031-B712-270B78662275}"/>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8" max="18" man="1"/>
  </rowBreaks>
  <colBreaks count="1" manualBreakCount="1">
    <brk id="29" max="299" man="1"/>
  </colBreaks>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09EDE-51DC-4C05-80EE-F9C1F450ACCE}">
  <sheetPr>
    <tabColor theme="1"/>
  </sheetPr>
  <dimension ref="A1:JB361"/>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0.29251825115963626</v>
      </c>
      <c r="Z17" s="29" t="s">
        <v>258</v>
      </c>
      <c r="AA17" s="29">
        <v>0.70748174884036374</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45160</v>
      </c>
      <c r="AC19" s="21"/>
      <c r="AD19" s="22"/>
    </row>
    <row r="20" spans="1:33" s="23" customFormat="1" x14ac:dyDescent="0.3">
      <c r="A20" s="18"/>
      <c r="B20" s="20"/>
      <c r="C20" s="20"/>
      <c r="D20" s="308"/>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307"/>
      <c r="E21" s="20"/>
      <c r="F21" s="287"/>
      <c r="G21" s="20"/>
      <c r="H21" s="309"/>
      <c r="I21" s="20"/>
      <c r="J21" s="308"/>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213</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214</v>
      </c>
      <c r="I27" s="229"/>
      <c r="J27" s="229" t="s">
        <v>215</v>
      </c>
      <c r="K27" s="229"/>
      <c r="L27" s="229" t="s">
        <v>365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34402.798190000001</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3858.7113199999999</v>
      </c>
      <c r="Q30" s="54"/>
      <c r="R30" s="54">
        <v>0</v>
      </c>
      <c r="S30" s="54"/>
      <c r="T30" s="54" t="s">
        <v>83</v>
      </c>
      <c r="U30" s="54"/>
      <c r="V30" s="54" t="s">
        <v>83</v>
      </c>
      <c r="W30" s="54"/>
      <c r="X30" s="54" t="s">
        <v>83</v>
      </c>
      <c r="Y30" s="54" t="s">
        <v>83</v>
      </c>
      <c r="Z30" s="54"/>
      <c r="AA30" s="49"/>
      <c r="AB30" s="50">
        <f>SUM(D30:N30)</f>
        <v>269445.79819</v>
      </c>
      <c r="AC30" s="51"/>
      <c r="AD30" s="22"/>
    </row>
    <row r="31" spans="1:33" s="23" customFormat="1" x14ac:dyDescent="0.3">
      <c r="A31" s="47"/>
      <c r="B31" s="44" t="s">
        <v>92</v>
      </c>
      <c r="C31" s="49"/>
      <c r="D31" s="57">
        <f>D29*D32</f>
        <v>29862.288429999997</v>
      </c>
      <c r="E31" s="57"/>
      <c r="F31" s="57">
        <f>F29</f>
        <v>151540</v>
      </c>
      <c r="G31" s="57"/>
      <c r="H31" s="57">
        <f>H29</f>
        <v>24741</v>
      </c>
      <c r="I31" s="57"/>
      <c r="J31" s="57">
        <f>J29</f>
        <v>18555</v>
      </c>
      <c r="K31" s="57"/>
      <c r="L31" s="57">
        <f>L29</f>
        <v>20102</v>
      </c>
      <c r="M31" s="57"/>
      <c r="N31" s="57">
        <f>N29</f>
        <v>20105</v>
      </c>
      <c r="O31" s="57"/>
      <c r="P31" s="57">
        <f>P29*P32</f>
        <v>3740.1492699999999</v>
      </c>
      <c r="Q31" s="57"/>
      <c r="R31" s="57">
        <v>0</v>
      </c>
      <c r="S31" s="57"/>
      <c r="T31" s="57" t="s">
        <v>83</v>
      </c>
      <c r="U31" s="57"/>
      <c r="V31" s="57" t="s">
        <v>83</v>
      </c>
      <c r="W31" s="57"/>
      <c r="X31" s="57" t="s">
        <v>83</v>
      </c>
      <c r="Y31" s="57" t="s">
        <v>83</v>
      </c>
      <c r="Z31" s="57"/>
      <c r="AA31" s="49"/>
      <c r="AB31" s="56">
        <f>SUM(D31:N31)</f>
        <v>264905.28842999996</v>
      </c>
      <c r="AC31" s="51"/>
      <c r="AD31" s="22"/>
      <c r="AE31" s="235"/>
    </row>
    <row r="32" spans="1:33" s="65" customFormat="1" x14ac:dyDescent="0.3">
      <c r="A32" s="58"/>
      <c r="B32" s="166" t="s">
        <v>88</v>
      </c>
      <c r="C32" s="61"/>
      <c r="D32" s="60">
        <v>7.7869999999999995E-2</v>
      </c>
      <c r="E32" s="60"/>
      <c r="F32" s="60">
        <v>1</v>
      </c>
      <c r="G32" s="60"/>
      <c r="H32" s="60">
        <v>1</v>
      </c>
      <c r="I32" s="60"/>
      <c r="J32" s="60">
        <v>1</v>
      </c>
      <c r="K32" s="60"/>
      <c r="L32" s="60">
        <v>1</v>
      </c>
      <c r="M32" s="60"/>
      <c r="N32" s="60">
        <v>1</v>
      </c>
      <c r="O32" s="60"/>
      <c r="P32" s="60">
        <v>0.36751</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8.9709999999999998E-2</v>
      </c>
      <c r="E33" s="60"/>
      <c r="F33" s="60">
        <v>1</v>
      </c>
      <c r="G33" s="60"/>
      <c r="H33" s="60">
        <v>1</v>
      </c>
      <c r="I33" s="60"/>
      <c r="J33" s="60">
        <v>1</v>
      </c>
      <c r="K33" s="60"/>
      <c r="L33" s="60">
        <v>1</v>
      </c>
      <c r="M33" s="60"/>
      <c r="N33" s="60">
        <v>1</v>
      </c>
      <c r="O33" s="60"/>
      <c r="P33" s="60">
        <v>0.37916</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5.7670800000000001E-2</v>
      </c>
      <c r="E35" s="241"/>
      <c r="F35" s="241">
        <v>5.9170800000000003E-2</v>
      </c>
      <c r="G35" s="241"/>
      <c r="H35" s="241">
        <v>6.6170800000000002E-2</v>
      </c>
      <c r="I35" s="241"/>
      <c r="J35" s="241">
        <v>6.9670800000000005E-2</v>
      </c>
      <c r="K35" s="241"/>
      <c r="L35" s="241">
        <v>7.3170799999999994E-2</v>
      </c>
      <c r="M35" s="241"/>
      <c r="N35" s="241">
        <v>8.3170800000000003E-2</v>
      </c>
      <c r="O35" s="241"/>
      <c r="P35" s="241">
        <v>8.7170800000000007E-2</v>
      </c>
      <c r="Q35" s="241"/>
      <c r="R35" s="241">
        <v>8.7170800000000007E-2</v>
      </c>
      <c r="S35" s="68"/>
      <c r="T35" s="68" t="s">
        <v>83</v>
      </c>
      <c r="U35" s="68"/>
      <c r="V35" s="68" t="s">
        <v>83</v>
      </c>
      <c r="W35" s="68"/>
      <c r="X35" s="68" t="s">
        <v>83</v>
      </c>
      <c r="Y35" s="68" t="s">
        <v>83</v>
      </c>
      <c r="Z35" s="68"/>
      <c r="AA35" s="40"/>
      <c r="AB35" s="67">
        <f>SUMPRODUCT(D35:N35,D30:N30)/AB30</f>
        <v>6.318035706109465E-2</v>
      </c>
      <c r="AC35" s="43"/>
      <c r="AD35" s="22"/>
    </row>
    <row r="36" spans="1:30" s="23" customFormat="1" x14ac:dyDescent="0.3">
      <c r="A36" s="47"/>
      <c r="B36" s="40" t="s">
        <v>10</v>
      </c>
      <c r="C36" s="69"/>
      <c r="D36" s="241">
        <v>5.1260699999999999E-2</v>
      </c>
      <c r="E36" s="241"/>
      <c r="F36" s="241">
        <v>5.2760700000000001E-2</v>
      </c>
      <c r="G36" s="241"/>
      <c r="H36" s="241">
        <v>5.97607E-2</v>
      </c>
      <c r="I36" s="241"/>
      <c r="J36" s="241">
        <v>6.3260700000000003E-2</v>
      </c>
      <c r="K36" s="241"/>
      <c r="L36" s="241">
        <v>6.6760700000000006E-2</v>
      </c>
      <c r="M36" s="241"/>
      <c r="N36" s="241">
        <v>7.6760700000000001E-2</v>
      </c>
      <c r="O36" s="241"/>
      <c r="P36" s="241">
        <v>8.0760700000000005E-2</v>
      </c>
      <c r="Q36" s="241"/>
      <c r="R36" s="241">
        <v>8.0760700000000005E-2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0.46031944096572058</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45153</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89</v>
      </c>
      <c r="Y48" s="40"/>
      <c r="Z48" s="76">
        <v>44972</v>
      </c>
      <c r="AA48" s="77"/>
      <c r="AB48" s="76">
        <v>45060</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92</v>
      </c>
      <c r="Y49" s="40"/>
      <c r="Z49" s="76">
        <v>45061</v>
      </c>
      <c r="AA49" s="77"/>
      <c r="AB49" s="76">
        <v>45152</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45152</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387</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269443</v>
      </c>
      <c r="S58" s="238"/>
      <c r="T58" s="237">
        <f>124+129</f>
        <v>253</v>
      </c>
      <c r="U58" s="237"/>
      <c r="V58" s="237">
        <v>4287</v>
      </c>
      <c r="W58" s="238"/>
      <c r="X58" s="238">
        <v>0</v>
      </c>
      <c r="Y58" s="238"/>
      <c r="Z58" s="238">
        <v>0</v>
      </c>
      <c r="AA58" s="238"/>
      <c r="AB58" s="237">
        <f>R58-T58-V58+X58-Z58</f>
        <v>264903</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269443</v>
      </c>
      <c r="S61" s="238"/>
      <c r="T61" s="238">
        <f>T58+T59</f>
        <v>253</v>
      </c>
      <c r="U61" s="238"/>
      <c r="V61" s="238">
        <f>SUM(V58:V60)</f>
        <v>4287</v>
      </c>
      <c r="W61" s="238"/>
      <c r="X61" s="238">
        <f>SUM(X58:X60)</f>
        <v>0</v>
      </c>
      <c r="Y61" s="238"/>
      <c r="Z61" s="238">
        <f>SUM(Z58:Z60)</f>
        <v>0</v>
      </c>
      <c r="AA61" s="238"/>
      <c r="AB61" s="238">
        <f>SUM(AB58:AB60)</f>
        <v>264903</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3</v>
      </c>
      <c r="S64" s="238"/>
      <c r="T64" s="238">
        <v>0</v>
      </c>
      <c r="U64" s="238"/>
      <c r="V64" s="238">
        <v>-1</v>
      </c>
      <c r="W64" s="238"/>
      <c r="X64" s="238"/>
      <c r="Y64" s="238"/>
      <c r="Z64" s="238"/>
      <c r="AA64" s="238"/>
      <c r="AB64" s="238">
        <f>R64+V64</f>
        <v>2</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269446</v>
      </c>
      <c r="S67" s="238"/>
      <c r="T67" s="238"/>
      <c r="U67" s="238"/>
      <c r="V67" s="238"/>
      <c r="W67" s="238"/>
      <c r="X67" s="238"/>
      <c r="Y67" s="238"/>
      <c r="Z67" s="238"/>
      <c r="AA67" s="238"/>
      <c r="AB67" s="238">
        <f>SUM(AB61:AB66)</f>
        <v>264905</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+Z239</f>
        <v>45138</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3</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+T58+V58+Z58-19</f>
        <v>4521</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1984+1774-211-443</f>
        <v>3104</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97+83</f>
        <v>180</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108</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119</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378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730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3181</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4524</v>
      </c>
      <c r="AA84" s="40"/>
      <c r="AB84" s="97">
        <f>SUM(AB71:AB83)</f>
        <v>7422</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4524</v>
      </c>
      <c r="AA87" s="40"/>
      <c r="AB87" s="97">
        <f>AB84+AB85+AB86</f>
        <v>7422</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-136-10-5</f>
        <v>-151</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1311</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-499</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-2261</v>
      </c>
      <c r="AC94" s="114"/>
      <c r="AD94" s="30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-413</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-326</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-371</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19</v>
      </c>
      <c r="AA101" s="112"/>
      <c r="AB101" s="98">
        <v>-19</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-2171</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-1000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-421</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-85</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-119</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-11-92</f>
        <v>-103</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30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-768</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-4541</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-4541</v>
      </c>
      <c r="AA130" s="97"/>
      <c r="AB130" s="97">
        <f>SUM(AB88:AB128)</f>
        <v>-7422</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2</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JULY 2023</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+'April 23'!AB146</f>
        <v>3279.5499999999993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-119</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3160.5499999999993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+'April 23'!AB159</f>
        <v>579.85500000000002</v>
      </c>
      <c r="AC150" s="43"/>
      <c r="AD150" s="22"/>
      <c r="AE150" s="115"/>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c r="AE159" s="115"/>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+'April 23'!AB165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+'April 23'!AB173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19</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19</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-19</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+'April 23'!AB182</f>
        <v>1662</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311" t="s">
        <v>381</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237">
        <v>2171</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379</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730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3103</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+'April 23'!AB190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382</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220</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AB187-AB189+AB188</f>
        <v>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+'April 23'!AB199</f>
        <v>2025</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237">
        <f>AB205</f>
        <v>2548</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377</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237">
        <v>0</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222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AB83</f>
        <v>3181</v>
      </c>
      <c r="AC198" s="43"/>
      <c r="AD198" s="310"/>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7" customFormat="1" x14ac:dyDescent="0.3">
      <c r="A199" s="47"/>
      <c r="B199" s="40" t="s">
        <v>356</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f>AB195+AB196-AB198-AB197</f>
        <v>1392</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9" customFormat="1" ht="16.2" thickBot="1" x14ac:dyDescent="0.35">
      <c r="A200" s="138"/>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126"/>
      <c r="AC200" s="10"/>
      <c r="AD200" s="5"/>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row>
    <row r="201" spans="1:262" x14ac:dyDescent="0.3">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134"/>
      <c r="AC201" s="4"/>
      <c r="AD201" s="5"/>
    </row>
    <row r="202" spans="1:262" s="136" customFormat="1" x14ac:dyDescent="0.3">
      <c r="A202" s="7"/>
      <c r="B202" s="125" t="s">
        <v>350</v>
      </c>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135"/>
      <c r="AC202" s="10"/>
      <c r="AD202" s="5"/>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row>
    <row r="203" spans="1:262" s="137" customFormat="1" x14ac:dyDescent="0.3">
      <c r="A203" s="47"/>
      <c r="B203" s="40" t="s">
        <v>209</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v>901</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40" t="s">
        <v>210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f>+'April 23'!AB207</f>
        <v>2561</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250</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v>2548</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59" t="s">
        <v>223</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-AB103</f>
        <v>1000</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7" customFormat="1" x14ac:dyDescent="0.3">
      <c r="A207" s="47"/>
      <c r="B207" s="40" t="s">
        <v>211</v>
      </c>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98">
        <f>AB204-AB205+AB206</f>
        <v>1013</v>
      </c>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9" customFormat="1" ht="16.2" thickBot="1" x14ac:dyDescent="0.35">
      <c r="A208" s="138"/>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126"/>
      <c r="AC208" s="10"/>
      <c r="AD208" s="5"/>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row>
    <row r="209" spans="1:262" x14ac:dyDescent="0.3">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134"/>
      <c r="AC209" s="4"/>
      <c r="AD209" s="5"/>
    </row>
    <row r="210" spans="1:262" s="136" customFormat="1" x14ac:dyDescent="0.3">
      <c r="A210" s="7"/>
      <c r="B210" s="125" t="s">
        <v>229</v>
      </c>
      <c r="C210" s="99"/>
      <c r="D210" s="99"/>
      <c r="E210" s="99"/>
      <c r="F210" s="99"/>
      <c r="G210" s="99"/>
      <c r="H210" s="99"/>
      <c r="I210" s="99"/>
      <c r="J210" s="99"/>
      <c r="K210" s="99"/>
      <c r="L210" s="99"/>
      <c r="M210" s="99"/>
      <c r="N210" s="99"/>
      <c r="O210" s="99"/>
      <c r="P210" s="99"/>
      <c r="Q210" s="99"/>
      <c r="R210" s="99"/>
      <c r="S210" s="99"/>
      <c r="T210" s="99"/>
      <c r="U210" s="99"/>
      <c r="V210" s="99"/>
      <c r="W210" s="99"/>
      <c r="X210" s="99"/>
      <c r="Y210" s="233" t="s">
        <v>235</v>
      </c>
      <c r="Z210" s="233" t="s">
        <v>236</v>
      </c>
      <c r="AA210" s="12"/>
      <c r="AB210" s="234" t="s">
        <v>80</v>
      </c>
      <c r="AC210" s="10"/>
      <c r="AD210" s="5"/>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row>
    <row r="211" spans="1:262" s="137" customFormat="1" x14ac:dyDescent="0.3">
      <c r="A211" s="47"/>
      <c r="B211" s="40" t="s">
        <v>230</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+AB29*0.16</f>
        <v>98965.119999999995</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231</v>
      </c>
      <c r="C212" s="40"/>
      <c r="D212" s="40"/>
      <c r="E212" s="40"/>
      <c r="F212" s="40"/>
      <c r="G212" s="40"/>
      <c r="H212" s="40"/>
      <c r="I212" s="40"/>
      <c r="J212" s="40"/>
      <c r="K212" s="40"/>
      <c r="L212" s="40"/>
      <c r="M212" s="40"/>
      <c r="N212" s="40"/>
      <c r="O212" s="40"/>
      <c r="P212" s="40"/>
      <c r="Q212" s="40"/>
      <c r="R212" s="40"/>
      <c r="S212" s="40"/>
      <c r="T212" s="40"/>
      <c r="U212" s="40"/>
      <c r="V212" s="40"/>
      <c r="W212" s="40"/>
      <c r="X212" s="40"/>
      <c r="Y212" s="98">
        <f>+'April 23'!Y213</f>
        <v>0</v>
      </c>
      <c r="Z212" s="98">
        <f>+'April 23'!Z213</f>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232</v>
      </c>
      <c r="C213" s="40"/>
      <c r="D213" s="40"/>
      <c r="E213" s="40"/>
      <c r="F213" s="40"/>
      <c r="G213" s="40"/>
      <c r="H213" s="40"/>
      <c r="I213" s="40"/>
      <c r="J213" s="40"/>
      <c r="K213" s="40"/>
      <c r="L213" s="40"/>
      <c r="M213" s="40"/>
      <c r="N213" s="40"/>
      <c r="O213" s="40"/>
      <c r="P213" s="40"/>
      <c r="Q213" s="40"/>
      <c r="R213" s="40"/>
      <c r="S213" s="40"/>
      <c r="T213" s="40"/>
      <c r="U213" s="40"/>
      <c r="V213" s="40"/>
      <c r="W213" s="40"/>
      <c r="X213" s="40"/>
      <c r="Y213" s="97">
        <v>0</v>
      </c>
      <c r="Z213" s="97">
        <v>0</v>
      </c>
      <c r="AA213" s="40"/>
      <c r="AB213" s="98">
        <f>Y213+Z213</f>
        <v>0</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233</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Y212+Y213</f>
        <v>0</v>
      </c>
      <c r="Z214" s="98">
        <f>Z213+Z212</f>
        <v>0</v>
      </c>
      <c r="AA214" s="40"/>
      <c r="AB214" s="98">
        <f>Y214+Z214</f>
        <v>0</v>
      </c>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7" customFormat="1" x14ac:dyDescent="0.3">
      <c r="A215" s="47"/>
      <c r="B215" s="40" t="s">
        <v>234</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f>Y211-Y214-Z214</f>
        <v>98965.119999999995</v>
      </c>
      <c r="Z215" s="70"/>
      <c r="AA215" s="40"/>
      <c r="AB215" s="98"/>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9" customFormat="1" ht="16.2" thickBot="1" x14ac:dyDescent="0.35">
      <c r="A216" s="138"/>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126"/>
      <c r="AC216" s="10"/>
      <c r="AD216" s="5"/>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row>
    <row r="217" spans="1:262" x14ac:dyDescent="0.3">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134"/>
      <c r="AC217" s="4"/>
      <c r="AD217" s="5"/>
    </row>
    <row r="218" spans="1:262" s="136" customFormat="1" x14ac:dyDescent="0.3">
      <c r="A218" s="7"/>
      <c r="B218" s="125" t="s">
        <v>261</v>
      </c>
      <c r="C218" s="99"/>
      <c r="D218" s="99"/>
      <c r="E218" s="99"/>
      <c r="F218" s="99"/>
      <c r="G218" s="99"/>
      <c r="H218" s="99"/>
      <c r="I218" s="99"/>
      <c r="J218" s="99"/>
      <c r="K218" s="99"/>
      <c r="L218" s="99"/>
      <c r="M218" s="99"/>
      <c r="N218" s="99"/>
      <c r="O218" s="99"/>
      <c r="P218" s="99"/>
      <c r="Q218" s="99"/>
      <c r="R218" s="99"/>
      <c r="S218" s="99"/>
      <c r="T218" s="99"/>
      <c r="U218" s="99"/>
      <c r="V218" s="99"/>
      <c r="W218" s="99"/>
      <c r="X218" s="99"/>
      <c r="Y218" s="233"/>
      <c r="Z218" s="233"/>
      <c r="AA218" s="12"/>
      <c r="AB218" s="234" t="s">
        <v>80</v>
      </c>
      <c r="AC218" s="10"/>
      <c r="AD218" s="5"/>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row>
    <row r="219" spans="1:262" s="137" customFormat="1" x14ac:dyDescent="0.3">
      <c r="A219" s="47"/>
      <c r="B219" s="40" t="s">
        <v>373</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70"/>
      <c r="AA219" s="40"/>
      <c r="AB219" s="237">
        <v>211023</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306</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237">
        <v>216676</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260</v>
      </c>
      <c r="C221" s="40"/>
      <c r="D221" s="40"/>
      <c r="E221" s="40"/>
      <c r="F221" s="40"/>
      <c r="G221" s="40"/>
      <c r="H221" s="40"/>
      <c r="I221" s="40"/>
      <c r="J221" s="40"/>
      <c r="K221" s="40"/>
      <c r="L221" s="40"/>
      <c r="M221" s="40"/>
      <c r="N221" s="40"/>
      <c r="O221" s="40"/>
      <c r="P221" s="40"/>
      <c r="Q221" s="40"/>
      <c r="R221" s="40"/>
      <c r="S221" s="40"/>
      <c r="T221" s="40"/>
      <c r="U221" s="40"/>
      <c r="V221" s="40"/>
      <c r="W221" s="40"/>
      <c r="X221" s="40"/>
      <c r="Y221" s="98"/>
      <c r="Z221" s="98"/>
      <c r="AA221" s="40"/>
      <c r="AB221" s="98">
        <f>AB219-AB220</f>
        <v>-5653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7" customFormat="1" x14ac:dyDescent="0.3">
      <c r="A222" s="47"/>
      <c r="B222" s="40" t="s">
        <v>303</v>
      </c>
      <c r="C222" s="40"/>
      <c r="D222" s="40"/>
      <c r="E222" s="40"/>
      <c r="F222" s="40"/>
      <c r="G222" s="40"/>
      <c r="H222" s="40"/>
      <c r="I222" s="40"/>
      <c r="J222" s="40"/>
      <c r="K222" s="40"/>
      <c r="L222" s="40"/>
      <c r="M222" s="40"/>
      <c r="N222" s="40"/>
      <c r="O222" s="40"/>
      <c r="P222" s="40"/>
      <c r="Q222" s="40"/>
      <c r="R222" s="40"/>
      <c r="S222" s="40"/>
      <c r="T222" s="40"/>
      <c r="U222" s="40"/>
      <c r="V222" s="40"/>
      <c r="W222" s="40"/>
      <c r="X222" s="40"/>
      <c r="Y222" s="97"/>
      <c r="Z222" s="97"/>
      <c r="AA222" s="40"/>
      <c r="AB222" s="313">
        <v>2.34977362413516E-2</v>
      </c>
      <c r="AC222" s="43"/>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39" customFormat="1" ht="16.2" thickBot="1" x14ac:dyDescent="0.35">
      <c r="A223" s="138"/>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126"/>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4"/>
      <c r="AC224" s="4"/>
      <c r="AD224" s="5"/>
    </row>
    <row r="225" spans="1:30" x14ac:dyDescent="0.3">
      <c r="A225" s="7"/>
      <c r="B225" s="125" t="s">
        <v>39</v>
      </c>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140"/>
      <c r="AC225" s="10"/>
      <c r="AD225" s="5"/>
    </row>
    <row r="226" spans="1:30" s="23" customFormat="1" x14ac:dyDescent="0.3">
      <c r="A226" s="47"/>
      <c r="B226" s="40" t="s">
        <v>40</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f>(AB87+AB89+AB90+AB91+AB92)/-(AB93+AB94)</f>
        <v>3.1086956521739131</v>
      </c>
      <c r="AC226" s="43" t="s">
        <v>81</v>
      </c>
      <c r="AD226" s="22"/>
    </row>
    <row r="227" spans="1:30" s="23" customFormat="1" x14ac:dyDescent="0.3">
      <c r="A227" s="47"/>
      <c r="B227" s="40" t="s">
        <v>41</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3.56</v>
      </c>
      <c r="AC227" s="43" t="s">
        <v>81</v>
      </c>
      <c r="AD227" s="22"/>
    </row>
    <row r="228" spans="1:30" s="23" customFormat="1" x14ac:dyDescent="0.3">
      <c r="A228" s="47"/>
      <c r="B228" s="40" t="s">
        <v>144</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(AB87+AB89+AB90+AB91+AB92+AB93+AB94)/-(AB95)</f>
        <v>14.092009685230025</v>
      </c>
      <c r="AC228" s="43" t="s">
        <v>81</v>
      </c>
      <c r="AD228" s="22"/>
    </row>
    <row r="229" spans="1:30" s="23" customFormat="1" x14ac:dyDescent="0.3">
      <c r="A229" s="47"/>
      <c r="B229" s="40" t="s">
        <v>145</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23.01</v>
      </c>
      <c r="AC229" s="43" t="s">
        <v>81</v>
      </c>
      <c r="AD229" s="22"/>
    </row>
    <row r="230" spans="1:30" s="23" customFormat="1" x14ac:dyDescent="0.3">
      <c r="A230" s="47"/>
      <c r="B230" s="40" t="s">
        <v>146</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(AB87+AB89+AB90+AB91+AB92+AB93+AB94+AB95)/-(AB97)</f>
        <v>16.585889570552148</v>
      </c>
      <c r="AC230" s="43" t="s">
        <v>81</v>
      </c>
      <c r="AD230" s="22"/>
    </row>
    <row r="231" spans="1:30" s="23" customFormat="1" x14ac:dyDescent="0.3">
      <c r="A231" s="47"/>
      <c r="B231" s="40" t="s">
        <v>147</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26.31</v>
      </c>
      <c r="AC231" s="43" t="s">
        <v>81</v>
      </c>
      <c r="AD231" s="22"/>
    </row>
    <row r="232" spans="1:30" s="23" customFormat="1" x14ac:dyDescent="0.3">
      <c r="A232" s="47"/>
      <c r="B232" s="40" t="s">
        <v>176</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1">
        <f>(AB87+AB89+AB90+AB91+AB92+AB93+AB94+AB95+AB97)/-(AB98)</f>
        <v>13.695417789757412</v>
      </c>
      <c r="AC232" s="43" t="s">
        <v>81</v>
      </c>
      <c r="AD232" s="22"/>
    </row>
    <row r="233" spans="1:30" s="23" customFormat="1" x14ac:dyDescent="0.3">
      <c r="A233" s="47"/>
      <c r="B233" s="40" t="s">
        <v>177</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2">
        <v>21.14</v>
      </c>
      <c r="AC233" s="43" t="s">
        <v>81</v>
      </c>
      <c r="AD233" s="22"/>
    </row>
    <row r="234" spans="1:30" s="23" customFormat="1" x14ac:dyDescent="0.3">
      <c r="A234" s="47"/>
      <c r="B234" s="40" t="s">
        <v>163</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1">
        <f>(AB87+AB89+AB90+AB91+AB92+AB93+AB94+AB95+AB97+AB98)/-(AB107)</f>
        <v>11.187648456057007</v>
      </c>
      <c r="AC234" s="43" t="s">
        <v>81</v>
      </c>
      <c r="AD234" s="22"/>
    </row>
    <row r="235" spans="1:30" s="23" customFormat="1" x14ac:dyDescent="0.3">
      <c r="A235" s="47"/>
      <c r="B235" s="40" t="s">
        <v>164</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2">
        <v>15.86</v>
      </c>
      <c r="AC235" s="43" t="s">
        <v>81</v>
      </c>
      <c r="AD235" s="22"/>
    </row>
    <row r="236" spans="1:30" s="23" customFormat="1" x14ac:dyDescent="0.3">
      <c r="A236" s="18"/>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21"/>
      <c r="AD236" s="22"/>
    </row>
    <row r="237" spans="1:30" s="23" customFormat="1" x14ac:dyDescent="0.3">
      <c r="A237" s="18"/>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1"/>
      <c r="AD237" s="22"/>
    </row>
    <row r="238" spans="1:30" s="23" customFormat="1" ht="18.600000000000001" thickBot="1" x14ac:dyDescent="0.4">
      <c r="A238" s="83"/>
      <c r="B238" s="84" t="str">
        <f>B134</f>
        <v>PM26 INVESTOR REPORT QUARTER ENDING JULY 2023</v>
      </c>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7"/>
      <c r="AD238" s="22"/>
    </row>
    <row r="239" spans="1:30" x14ac:dyDescent="0.3">
      <c r="A239" s="119"/>
      <c r="B239" s="120" t="s">
        <v>42</v>
      </c>
      <c r="C239" s="143"/>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v>45138</v>
      </c>
      <c r="AA239" s="121"/>
      <c r="AB239" s="121"/>
      <c r="AC239" s="123"/>
      <c r="AD239" s="5"/>
    </row>
    <row r="240" spans="1:30" x14ac:dyDescent="0.3">
      <c r="A240" s="145"/>
      <c r="B240" s="146"/>
      <c r="C240" s="147"/>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9"/>
      <c r="AB240" s="9"/>
      <c r="AC240" s="10"/>
      <c r="AD240" s="5"/>
    </row>
    <row r="241" spans="1:30" s="23" customFormat="1" x14ac:dyDescent="0.3">
      <c r="A241" s="47"/>
      <c r="B241" s="40" t="s">
        <v>43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3.773E-2</v>
      </c>
      <c r="AA241" s="40"/>
      <c r="AB241" s="40"/>
      <c r="AC241" s="43"/>
      <c r="AD241" s="22"/>
    </row>
    <row r="242" spans="1:30" s="23" customFormat="1" x14ac:dyDescent="0.3">
      <c r="A242" s="47"/>
      <c r="B242" s="40" t="s">
        <v>132</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v>2.0008281159907649E-2</v>
      </c>
      <c r="AA242" s="40"/>
      <c r="AB242" s="40"/>
      <c r="AC242" s="43"/>
      <c r="AD242" s="22"/>
    </row>
    <row r="243" spans="1:30" s="23" customFormat="1" x14ac:dyDescent="0.3">
      <c r="A243" s="47"/>
      <c r="B243" s="40" t="s">
        <v>44</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Z241-Z242</f>
        <v>1.7721718840092351E-2</v>
      </c>
      <c r="AA243" s="40"/>
      <c r="AB243" s="40"/>
      <c r="AC243" s="43"/>
      <c r="AD243" s="22"/>
    </row>
    <row r="244" spans="1:30" s="23" customFormat="1" x14ac:dyDescent="0.3">
      <c r="A244" s="47"/>
      <c r="B244" s="40" t="s">
        <v>45</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v>4.5499228984964259E-2</v>
      </c>
      <c r="AA244" s="40"/>
      <c r="AB244" s="40"/>
      <c r="AC244" s="43"/>
      <c r="AD244" s="22"/>
    </row>
    <row r="245" spans="1:30" s="23" customFormat="1" x14ac:dyDescent="0.3">
      <c r="A245" s="47"/>
      <c r="B245" s="40" t="s">
        <v>133</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+AB35</f>
        <v>6.318035706109465E-2</v>
      </c>
      <c r="AA245" s="40"/>
      <c r="AB245" s="40"/>
      <c r="AC245" s="43"/>
      <c r="AD245" s="22"/>
    </row>
    <row r="246" spans="1:30" s="23" customFormat="1" x14ac:dyDescent="0.3">
      <c r="A246" s="47"/>
      <c r="B246" s="40" t="s">
        <v>383</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v>0</v>
      </c>
      <c r="AA246" s="40"/>
      <c r="AB246" s="40"/>
      <c r="AC246" s="43"/>
      <c r="AD246" s="22"/>
    </row>
    <row r="247" spans="1:30" s="23" customFormat="1" x14ac:dyDescent="0.3">
      <c r="A247" s="47"/>
      <c r="B247" s="40" t="s">
        <v>119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67">
        <f>(+AB87+AB89+AB92)/R67</f>
        <v>3.2410946905873532E-2</v>
      </c>
      <c r="AA247" s="40"/>
      <c r="AB247" s="40"/>
      <c r="AC247" s="43"/>
      <c r="AD247" s="22"/>
    </row>
    <row r="248" spans="1:30" s="23" customFormat="1" x14ac:dyDescent="0.3">
      <c r="A248" s="47"/>
      <c r="B248" s="40" t="s">
        <v>112</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0" s="23" customFormat="1" x14ac:dyDescent="0.3">
      <c r="A249" s="47"/>
      <c r="B249" s="40" t="s">
        <v>148</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0" s="23" customFormat="1" x14ac:dyDescent="0.3">
      <c r="A250" s="47"/>
      <c r="B250" s="40" t="s">
        <v>149</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0" s="23" customFormat="1" x14ac:dyDescent="0.3">
      <c r="A251" s="47"/>
      <c r="B251" s="40" t="s">
        <v>178</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0" s="23" customFormat="1" x14ac:dyDescent="0.3">
      <c r="A252" s="47"/>
      <c r="B252" s="40" t="s">
        <v>165</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0" s="23" customFormat="1" x14ac:dyDescent="0.3">
      <c r="A253" s="47"/>
      <c r="B253" s="40" t="s">
        <v>189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0" s="23" customFormat="1" x14ac:dyDescent="0.3">
      <c r="A254" s="47"/>
      <c r="B254" s="40" t="s">
        <v>190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150">
        <v>53097</v>
      </c>
      <c r="AA254" s="40"/>
      <c r="AB254" s="40"/>
      <c r="AC254" s="43"/>
      <c r="AD254" s="22"/>
    </row>
    <row r="255" spans="1:30" s="23" customFormat="1" x14ac:dyDescent="0.3">
      <c r="A255" s="47"/>
      <c r="B255" s="40" t="s">
        <v>47</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18.28</v>
      </c>
      <c r="AA255" s="40" t="s">
        <v>76</v>
      </c>
      <c r="AB255" s="40"/>
      <c r="AC255" s="43"/>
      <c r="AD255" s="22"/>
    </row>
    <row r="256" spans="1:30" s="23" customFormat="1" x14ac:dyDescent="0.3">
      <c r="A256" s="47"/>
      <c r="B256" s="40" t="s">
        <v>48</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71">
        <v>14.455258828958547</v>
      </c>
      <c r="AA256" s="40" t="s">
        <v>76</v>
      </c>
      <c r="AB256" s="40"/>
      <c r="AC256" s="43"/>
      <c r="AD256" s="22"/>
    </row>
    <row r="257" spans="1:31" s="23" customFormat="1" x14ac:dyDescent="0.3">
      <c r="A257" s="47"/>
      <c r="B257" s="40" t="s">
        <v>49</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f>(+T58+V58+Z58)/(R58+R64+R65)</f>
        <v>1.684938726126942E-2</v>
      </c>
      <c r="AA257" s="40"/>
      <c r="AB257" s="40"/>
      <c r="AC257" s="43"/>
      <c r="AD257" s="22"/>
      <c r="AE257" s="271"/>
    </row>
    <row r="258" spans="1:31" s="23" customFormat="1" x14ac:dyDescent="0.3">
      <c r="A258" s="47"/>
      <c r="B258" s="40" t="s">
        <v>50</v>
      </c>
      <c r="C258" s="149"/>
      <c r="D258" s="73"/>
      <c r="E258" s="73"/>
      <c r="F258" s="73"/>
      <c r="G258" s="73"/>
      <c r="H258" s="73"/>
      <c r="I258" s="73"/>
      <c r="J258" s="73"/>
      <c r="K258" s="73"/>
      <c r="L258" s="73"/>
      <c r="M258" s="73"/>
      <c r="N258" s="73"/>
      <c r="O258" s="73"/>
      <c r="P258" s="73"/>
      <c r="Q258" s="73"/>
      <c r="R258" s="73"/>
      <c r="S258" s="73"/>
      <c r="T258" s="73"/>
      <c r="U258" s="73"/>
      <c r="V258" s="73"/>
      <c r="W258" s="73"/>
      <c r="X258" s="73"/>
      <c r="Y258" s="73"/>
      <c r="Z258" s="67">
        <v>0.18590000000000001</v>
      </c>
      <c r="AA258" s="40"/>
      <c r="AB258" s="40"/>
      <c r="AC258" s="43"/>
      <c r="AD258" s="22"/>
    </row>
    <row r="259" spans="1:31" x14ac:dyDescent="0.3">
      <c r="A259" s="145"/>
      <c r="B259" s="151"/>
      <c r="C259" s="151"/>
      <c r="D259" s="99"/>
      <c r="E259" s="99"/>
      <c r="F259" s="99"/>
      <c r="G259" s="99"/>
      <c r="H259" s="99"/>
      <c r="I259" s="99"/>
      <c r="J259" s="99"/>
      <c r="K259" s="99"/>
      <c r="L259" s="99"/>
      <c r="M259" s="99"/>
      <c r="N259" s="99"/>
      <c r="O259" s="99"/>
      <c r="P259" s="99"/>
      <c r="Q259" s="99"/>
      <c r="R259" s="99"/>
      <c r="S259" s="99"/>
      <c r="T259" s="99"/>
      <c r="U259" s="99"/>
      <c r="V259" s="99"/>
      <c r="W259" s="99"/>
      <c r="X259" s="99"/>
      <c r="Y259" s="99"/>
      <c r="Z259" s="126"/>
      <c r="AA259" s="99"/>
      <c r="AB259" s="152"/>
      <c r="AC259" s="10"/>
      <c r="AD259" s="5"/>
    </row>
    <row r="260" spans="1:31" x14ac:dyDescent="0.3">
      <c r="A260" s="153"/>
      <c r="B260" s="102" t="s">
        <v>51</v>
      </c>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t="s">
        <v>69</v>
      </c>
      <c r="Z260" s="154" t="s">
        <v>74</v>
      </c>
      <c r="AA260" s="34"/>
      <c r="AB260" s="34"/>
      <c r="AC260" s="36"/>
      <c r="AD260" s="5"/>
    </row>
    <row r="261" spans="1:31" s="23" customFormat="1" x14ac:dyDescent="0.3">
      <c r="A261" s="155"/>
      <c r="B261" s="37" t="s">
        <v>52</v>
      </c>
      <c r="C261" s="10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v>0</v>
      </c>
      <c r="Z261" s="157">
        <v>0</v>
      </c>
      <c r="AA261" s="37"/>
      <c r="AB261" s="158"/>
      <c r="AC261" s="159"/>
      <c r="AD261" s="22"/>
    </row>
    <row r="262" spans="1:31" s="23" customFormat="1" x14ac:dyDescent="0.3">
      <c r="A262" s="160"/>
      <c r="B262" s="40" t="s">
        <v>97</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+X314</f>
        <v>3</v>
      </c>
      <c r="Z262" s="162">
        <f>+Z314</f>
        <v>843</v>
      </c>
      <c r="AA262" s="40"/>
      <c r="AB262" s="163"/>
      <c r="AC262" s="164"/>
      <c r="AD262" s="22"/>
    </row>
    <row r="263" spans="1:31" s="23" customFormat="1" x14ac:dyDescent="0.3">
      <c r="A263" s="160"/>
      <c r="B263" s="40" t="s">
        <v>53</v>
      </c>
      <c r="C263" s="97"/>
      <c r="D263" s="48"/>
      <c r="E263" s="48"/>
      <c r="F263" s="48"/>
      <c r="G263" s="48"/>
      <c r="H263" s="48"/>
      <c r="I263" s="48"/>
      <c r="J263" s="48"/>
      <c r="K263" s="48"/>
      <c r="L263" s="48"/>
      <c r="M263" s="48"/>
      <c r="N263" s="48"/>
      <c r="O263" s="48"/>
      <c r="P263" s="48"/>
      <c r="Q263" s="48"/>
      <c r="R263" s="48"/>
      <c r="S263" s="48"/>
      <c r="T263" s="48"/>
      <c r="U263" s="48"/>
      <c r="V263" s="48"/>
      <c r="W263" s="48"/>
      <c r="X263" s="48"/>
      <c r="Y263" s="161">
        <f>+X336</f>
        <v>0</v>
      </c>
      <c r="Z263" s="162">
        <f>+Z336</f>
        <v>0</v>
      </c>
      <c r="AA263" s="40"/>
      <c r="AB263" s="163"/>
      <c r="AC263" s="164"/>
      <c r="AD263" s="22"/>
    </row>
    <row r="264" spans="1:31" x14ac:dyDescent="0.3">
      <c r="A264" s="165"/>
      <c r="B264" s="166" t="s">
        <v>166</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Z58</f>
        <v>0</v>
      </c>
      <c r="AA264" s="59"/>
      <c r="AB264" s="168"/>
      <c r="AC264" s="169"/>
      <c r="AD264" s="5"/>
    </row>
    <row r="265" spans="1:31" x14ac:dyDescent="0.3">
      <c r="A265" s="165"/>
      <c r="B265" s="166" t="s">
        <v>255</v>
      </c>
      <c r="C265" s="167"/>
      <c r="D265" s="59"/>
      <c r="E265" s="59"/>
      <c r="F265" s="59"/>
      <c r="G265" s="59"/>
      <c r="H265" s="59"/>
      <c r="I265" s="59"/>
      <c r="J265" s="59"/>
      <c r="K265" s="59"/>
      <c r="L265" s="59"/>
      <c r="M265" s="59"/>
      <c r="N265" s="59"/>
      <c r="O265" s="59"/>
      <c r="P265" s="59"/>
      <c r="Q265" s="59"/>
      <c r="R265" s="59"/>
      <c r="S265" s="59"/>
      <c r="T265" s="59"/>
      <c r="U265" s="59"/>
      <c r="V265" s="59"/>
      <c r="W265" s="59"/>
      <c r="X265" s="59"/>
      <c r="Y265" s="112"/>
      <c r="Z265" s="162">
        <f>-T64</f>
        <v>0</v>
      </c>
      <c r="AA265" s="59"/>
      <c r="AB265" s="168"/>
      <c r="AC265" s="169"/>
      <c r="AD265" s="5"/>
    </row>
    <row r="266" spans="1:31" x14ac:dyDescent="0.3">
      <c r="A266" s="170"/>
      <c r="B266" s="166" t="s">
        <v>54</v>
      </c>
      <c r="C266" s="171"/>
      <c r="D266" s="59"/>
      <c r="E266" s="59"/>
      <c r="F266" s="59"/>
      <c r="G266" s="59"/>
      <c r="H266" s="59"/>
      <c r="I266" s="59"/>
      <c r="J266" s="59"/>
      <c r="K266" s="59"/>
      <c r="L266" s="59"/>
      <c r="M266" s="59"/>
      <c r="N266" s="59"/>
      <c r="O266" s="59"/>
      <c r="P266" s="59"/>
      <c r="Q266" s="59"/>
      <c r="R266" s="59"/>
      <c r="S266" s="59"/>
      <c r="T266" s="59"/>
      <c r="U266" s="59"/>
      <c r="V266" s="59"/>
      <c r="W266" s="59"/>
      <c r="X266" s="59"/>
      <c r="Y266" s="112"/>
      <c r="Z266" s="172"/>
      <c r="AA266" s="59"/>
      <c r="AB266" s="168"/>
      <c r="AC266" s="173"/>
      <c r="AD266" s="5"/>
    </row>
    <row r="267" spans="1:31" s="23" customFormat="1" x14ac:dyDescent="0.3">
      <c r="A267" s="174"/>
      <c r="B267" s="40" t="s">
        <v>55</v>
      </c>
      <c r="C267" s="40"/>
      <c r="D267" s="40"/>
      <c r="E267" s="40"/>
      <c r="F267" s="40"/>
      <c r="G267" s="40"/>
      <c r="H267" s="40"/>
      <c r="I267" s="40"/>
      <c r="J267" s="40"/>
      <c r="K267" s="40"/>
      <c r="L267" s="40"/>
      <c r="M267" s="40"/>
      <c r="N267" s="40"/>
      <c r="O267" s="40"/>
      <c r="P267" s="40"/>
      <c r="Q267" s="40"/>
      <c r="R267" s="40"/>
      <c r="S267" s="40"/>
      <c r="T267" s="40"/>
      <c r="U267" s="40"/>
      <c r="V267" s="40"/>
      <c r="W267" s="40"/>
      <c r="X267" s="40"/>
      <c r="Y267" s="48"/>
      <c r="Z267" s="162">
        <f>AB169</f>
        <v>19</v>
      </c>
      <c r="AA267" s="40"/>
      <c r="AB267" s="163"/>
      <c r="AC267" s="175"/>
      <c r="AD267" s="22"/>
    </row>
    <row r="268" spans="1:31" s="23" customFormat="1" x14ac:dyDescent="0.3">
      <c r="A268" s="160"/>
      <c r="B268" s="40" t="s">
        <v>56</v>
      </c>
      <c r="C268" s="97"/>
      <c r="D268" s="40"/>
      <c r="E268" s="40"/>
      <c r="F268" s="40"/>
      <c r="G268" s="40"/>
      <c r="H268" s="40"/>
      <c r="I268" s="40"/>
      <c r="J268" s="40"/>
      <c r="K268" s="40"/>
      <c r="L268" s="40"/>
      <c r="M268" s="40"/>
      <c r="N268" s="40"/>
      <c r="O268" s="40"/>
      <c r="P268" s="40"/>
      <c r="Q268" s="40"/>
      <c r="R268" s="40"/>
      <c r="S268" s="40"/>
      <c r="T268" s="40"/>
      <c r="U268" s="40"/>
      <c r="V268" s="40"/>
      <c r="W268" s="40"/>
      <c r="X268" s="40"/>
      <c r="Y268" s="48"/>
      <c r="Z268" s="162">
        <f>'April 23'!Z268+Z267</f>
        <v>35</v>
      </c>
      <c r="AA268" s="40"/>
      <c r="AB268" s="163"/>
      <c r="AC268" s="175"/>
      <c r="AD268" s="22"/>
    </row>
    <row r="269" spans="1:31" x14ac:dyDescent="0.3">
      <c r="A269" s="170"/>
      <c r="B269" s="166" t="s">
        <v>125</v>
      </c>
      <c r="C269" s="171"/>
      <c r="D269" s="59"/>
      <c r="E269" s="59"/>
      <c r="F269" s="59"/>
      <c r="G269" s="59"/>
      <c r="H269" s="59"/>
      <c r="I269" s="59"/>
      <c r="J269" s="59"/>
      <c r="K269" s="59"/>
      <c r="L269" s="59"/>
      <c r="M269" s="59"/>
      <c r="N269" s="59"/>
      <c r="O269" s="59"/>
      <c r="P269" s="59"/>
      <c r="Q269" s="59"/>
      <c r="R269" s="59"/>
      <c r="S269" s="59"/>
      <c r="T269" s="59"/>
      <c r="U269" s="59"/>
      <c r="V269" s="59"/>
      <c r="W269" s="59"/>
      <c r="X269" s="59"/>
      <c r="Y269" s="176"/>
      <c r="Z269" s="172"/>
      <c r="AA269" s="59"/>
      <c r="AB269" s="168"/>
      <c r="AC269" s="173"/>
      <c r="AD269" s="5"/>
    </row>
    <row r="270" spans="1:31" s="23" customFormat="1" x14ac:dyDescent="0.3">
      <c r="A270" s="174"/>
      <c r="B270" s="40" t="s">
        <v>134</v>
      </c>
      <c r="C270" s="4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1" s="23" customFormat="1" x14ac:dyDescent="0.3">
      <c r="A271" s="160"/>
      <c r="B271" s="40" t="s">
        <v>57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1" s="23" customFormat="1" x14ac:dyDescent="0.3">
      <c r="A272" s="160"/>
      <c r="B272" s="40" t="s">
        <v>58</v>
      </c>
      <c r="C272" s="70"/>
      <c r="D272" s="40"/>
      <c r="E272" s="40"/>
      <c r="F272" s="40"/>
      <c r="G272" s="40"/>
      <c r="H272" s="40"/>
      <c r="I272" s="40"/>
      <c r="J272" s="40"/>
      <c r="K272" s="40"/>
      <c r="L272" s="40"/>
      <c r="M272" s="40"/>
      <c r="N272" s="40"/>
      <c r="O272" s="40"/>
      <c r="P272" s="40"/>
      <c r="Q272" s="40"/>
      <c r="R272" s="40"/>
      <c r="S272" s="40"/>
      <c r="T272" s="40"/>
      <c r="U272" s="40"/>
      <c r="V272" s="40"/>
      <c r="W272" s="40"/>
      <c r="X272" s="40"/>
      <c r="Y272" s="40"/>
      <c r="Z272" s="177">
        <v>0</v>
      </c>
      <c r="AA272" s="40"/>
      <c r="AB272" s="163"/>
      <c r="AC272" s="175"/>
      <c r="AD272" s="22"/>
    </row>
    <row r="273" spans="1:31" x14ac:dyDescent="0.3">
      <c r="A273" s="165"/>
      <c r="B273" s="166" t="s">
        <v>116</v>
      </c>
      <c r="C273" s="178"/>
      <c r="D273" s="59"/>
      <c r="E273" s="59"/>
      <c r="F273" s="59"/>
      <c r="G273" s="59"/>
      <c r="H273" s="59"/>
      <c r="I273" s="59"/>
      <c r="J273" s="59"/>
      <c r="K273" s="59"/>
      <c r="L273" s="59"/>
      <c r="M273" s="59"/>
      <c r="N273" s="59"/>
      <c r="O273" s="59"/>
      <c r="P273" s="59"/>
      <c r="Q273" s="59"/>
      <c r="R273" s="59"/>
      <c r="S273" s="59"/>
      <c r="T273" s="59"/>
      <c r="U273" s="59"/>
      <c r="V273" s="59"/>
      <c r="W273" s="59"/>
      <c r="X273" s="59"/>
      <c r="Y273" s="112"/>
      <c r="Z273" s="179"/>
      <c r="AA273" s="59"/>
      <c r="AB273" s="168"/>
      <c r="AC273" s="173"/>
      <c r="AD273" s="5"/>
    </row>
    <row r="274" spans="1:31" s="23" customFormat="1" x14ac:dyDescent="0.3">
      <c r="A274" s="160"/>
      <c r="B274" s="40" t="s">
        <v>134</v>
      </c>
      <c r="C274" s="70"/>
      <c r="D274" s="40"/>
      <c r="E274" s="40"/>
      <c r="F274" s="40"/>
      <c r="G274" s="40"/>
      <c r="H274" s="40"/>
      <c r="I274" s="40"/>
      <c r="J274" s="40"/>
      <c r="K274" s="40"/>
      <c r="L274" s="40"/>
      <c r="M274" s="40"/>
      <c r="N274" s="40"/>
      <c r="O274" s="40"/>
      <c r="P274" s="40"/>
      <c r="Q274" s="40"/>
      <c r="R274" s="40"/>
      <c r="S274" s="40"/>
      <c r="T274" s="40"/>
      <c r="U274" s="40"/>
      <c r="V274" s="40"/>
      <c r="W274" s="40"/>
      <c r="X274" s="40"/>
      <c r="Y274" s="48">
        <v>1</v>
      </c>
      <c r="Z274" s="162">
        <v>137</v>
      </c>
      <c r="AA274" s="40"/>
      <c r="AB274" s="163"/>
      <c r="AC274" s="175"/>
      <c r="AD274" s="22"/>
    </row>
    <row r="275" spans="1:31" s="23" customFormat="1" x14ac:dyDescent="0.3">
      <c r="A275" s="160"/>
      <c r="B275" s="40" t="s">
        <v>117</v>
      </c>
      <c r="C275" s="70"/>
      <c r="D275" s="40"/>
      <c r="E275" s="40"/>
      <c r="F275" s="40"/>
      <c r="G275" s="40"/>
      <c r="H275" s="40"/>
      <c r="I275" s="40"/>
      <c r="J275" s="40"/>
      <c r="K275" s="40"/>
      <c r="L275" s="40"/>
      <c r="M275" s="40"/>
      <c r="N275" s="40"/>
      <c r="O275" s="40"/>
      <c r="P275" s="40"/>
      <c r="Q275" s="40"/>
      <c r="R275" s="40"/>
      <c r="S275" s="40"/>
      <c r="T275" s="40"/>
      <c r="U275" s="40"/>
      <c r="V275" s="40"/>
      <c r="W275" s="40"/>
      <c r="X275" s="40"/>
      <c r="Y275" s="40"/>
      <c r="Z275" s="177">
        <v>14.08</v>
      </c>
      <c r="AA275" s="40"/>
      <c r="AB275" s="163"/>
      <c r="AC275" s="175"/>
      <c r="AD275" s="22"/>
    </row>
    <row r="276" spans="1:31"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112"/>
      <c r="Z276" s="179"/>
      <c r="AA276" s="59"/>
      <c r="AB276" s="168"/>
      <c r="AC276" s="173"/>
      <c r="AD276" s="5"/>
    </row>
    <row r="277" spans="1:31" x14ac:dyDescent="0.3">
      <c r="A277" s="165"/>
      <c r="B277" s="171"/>
      <c r="C277" s="178"/>
      <c r="D277" s="59"/>
      <c r="E277" s="59"/>
      <c r="F277" s="59"/>
      <c r="G277" s="59"/>
      <c r="H277" s="59"/>
      <c r="I277" s="59"/>
      <c r="J277" s="59"/>
      <c r="K277" s="59"/>
      <c r="L277" s="59"/>
      <c r="M277" s="59"/>
      <c r="N277" s="59"/>
      <c r="O277" s="59"/>
      <c r="P277" s="59"/>
      <c r="Q277" s="59"/>
      <c r="R277" s="59"/>
      <c r="S277" s="59"/>
      <c r="T277" s="59"/>
      <c r="U277" s="59"/>
      <c r="V277" s="59"/>
      <c r="W277" s="59"/>
      <c r="X277" s="59"/>
      <c r="Y277" s="59"/>
      <c r="Z277" s="180"/>
      <c r="AA277" s="59"/>
      <c r="AB277" s="168"/>
      <c r="AC277" s="173"/>
      <c r="AD277" s="5"/>
    </row>
    <row r="278" spans="1:31" ht="18" x14ac:dyDescent="0.35">
      <c r="A278" s="165"/>
      <c r="B278" s="181" t="s">
        <v>109</v>
      </c>
      <c r="C278" s="178"/>
      <c r="D278" s="59"/>
      <c r="E278" s="59"/>
      <c r="F278" s="59"/>
      <c r="G278" s="59"/>
      <c r="H278" s="59"/>
      <c r="I278" s="59"/>
      <c r="J278" s="59"/>
      <c r="K278" s="59"/>
      <c r="L278" s="182"/>
      <c r="M278" s="182"/>
      <c r="N278" s="182"/>
      <c r="O278" s="182"/>
      <c r="P278" s="261" t="s">
        <v>167</v>
      </c>
      <c r="Q278" s="182"/>
      <c r="R278" s="182"/>
      <c r="S278" s="182"/>
      <c r="T278" s="182"/>
      <c r="U278" s="182"/>
      <c r="V278" s="182"/>
      <c r="W278" s="59"/>
      <c r="X278" s="183"/>
      <c r="Y278" s="182"/>
      <c r="Z278" s="180"/>
      <c r="AA278" s="59"/>
      <c r="AB278" s="168"/>
      <c r="AC278" s="173"/>
      <c r="AD278" s="5"/>
    </row>
    <row r="279" spans="1:31" ht="18" x14ac:dyDescent="0.35">
      <c r="A279" s="184"/>
      <c r="B279" s="185"/>
      <c r="C279" s="186"/>
      <c r="D279" s="99"/>
      <c r="E279" s="99"/>
      <c r="F279" s="99"/>
      <c r="G279" s="99"/>
      <c r="H279" s="99"/>
      <c r="I279" s="99"/>
      <c r="J279" s="99"/>
      <c r="K279" s="99"/>
      <c r="L279" s="187"/>
      <c r="M279" s="187"/>
      <c r="N279" s="187"/>
      <c r="O279" s="187"/>
      <c r="P279" s="187"/>
      <c r="Q279" s="187"/>
      <c r="R279" s="187"/>
      <c r="S279" s="187"/>
      <c r="T279" s="187"/>
      <c r="U279" s="187"/>
      <c r="V279" s="187"/>
      <c r="W279" s="99"/>
      <c r="X279" s="99"/>
      <c r="Y279" s="99"/>
      <c r="Z279" s="188"/>
      <c r="AA279" s="99"/>
      <c r="AB279" s="152"/>
      <c r="AC279" s="189"/>
      <c r="AD279" s="5"/>
    </row>
    <row r="280" spans="1:31" x14ac:dyDescent="0.3">
      <c r="A280" s="33"/>
      <c r="B280" s="102" t="s">
        <v>126</v>
      </c>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54" t="s">
        <v>69</v>
      </c>
      <c r="Y280" s="103" t="s">
        <v>70</v>
      </c>
      <c r="Z280" s="154" t="s">
        <v>75</v>
      </c>
      <c r="AA280" s="103" t="s">
        <v>70</v>
      </c>
      <c r="AB280" s="34"/>
      <c r="AC280" s="190"/>
      <c r="AD280" s="5"/>
    </row>
    <row r="281" spans="1:31" s="23" customFormat="1" x14ac:dyDescent="0.3">
      <c r="A281" s="18"/>
      <c r="B281" s="106" t="s">
        <v>59</v>
      </c>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06">
        <f t="shared" ref="X281:X288" si="1">+X293+X305+X327</f>
        <v>1524</v>
      </c>
      <c r="Y281" s="192">
        <f>X281/$X$290</f>
        <v>0.9941291585127201</v>
      </c>
      <c r="Z281" s="107">
        <f t="shared" ref="Z281:Z288" si="2">+Z293+Z305+Z327</f>
        <v>262980</v>
      </c>
      <c r="AA281" s="192">
        <f t="shared" ref="AA281:AA288" si="3">Z281/$Z$290</f>
        <v>0.99274073906297777</v>
      </c>
      <c r="AB281" s="158"/>
      <c r="AC281" s="193"/>
      <c r="AD281" s="22"/>
    </row>
    <row r="282" spans="1:31" s="23" customFormat="1" x14ac:dyDescent="0.3">
      <c r="A282" s="47"/>
      <c r="B282" s="97" t="s">
        <v>60</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5">
        <f t="shared" si="1"/>
        <v>1</v>
      </c>
      <c r="Y282" s="196">
        <f t="shared" ref="Y282:Y288" si="4">X282/$X$290</f>
        <v>6.5231572080887146E-4</v>
      </c>
      <c r="Z282" s="197">
        <f t="shared" si="2"/>
        <v>148</v>
      </c>
      <c r="AA282" s="198">
        <f t="shared" si="3"/>
        <v>5.5869506951601155E-4</v>
      </c>
      <c r="AB282" s="163"/>
      <c r="AC282" s="175"/>
      <c r="AD282" s="22"/>
    </row>
    <row r="283" spans="1:31" s="23" customFormat="1" x14ac:dyDescent="0.3">
      <c r="A283" s="47"/>
      <c r="B283" s="97" t="s">
        <v>61</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1</v>
      </c>
      <c r="Y283" s="200">
        <f t="shared" si="4"/>
        <v>6.5231572080887146E-4</v>
      </c>
      <c r="Z283" s="131">
        <f t="shared" si="2"/>
        <v>210</v>
      </c>
      <c r="AA283" s="198">
        <f t="shared" si="3"/>
        <v>7.927430040429893E-4</v>
      </c>
      <c r="AB283" s="163"/>
      <c r="AC283" s="175"/>
      <c r="AD283" s="22"/>
      <c r="AE283" s="312"/>
    </row>
    <row r="284" spans="1:31" s="23" customFormat="1" x14ac:dyDescent="0.3">
      <c r="A284" s="47"/>
      <c r="B284" s="97" t="s">
        <v>100</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1</v>
      </c>
      <c r="Y284" s="200">
        <f t="shared" si="4"/>
        <v>6.5231572080887146E-4</v>
      </c>
      <c r="Z284" s="131">
        <f t="shared" si="2"/>
        <v>96</v>
      </c>
      <c r="AA284" s="198">
        <f t="shared" si="3"/>
        <v>3.6239680184822369E-4</v>
      </c>
      <c r="AB284" s="163"/>
      <c r="AC284" s="175"/>
      <c r="AD284" s="22"/>
    </row>
    <row r="285" spans="1:31" s="23" customFormat="1" x14ac:dyDescent="0.3">
      <c r="A285" s="47"/>
      <c r="B285" s="97" t="s">
        <v>101</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2</v>
      </c>
      <c r="Y285" s="200">
        <f t="shared" si="4"/>
        <v>1.3046314416177429E-3</v>
      </c>
      <c r="Z285" s="131">
        <f t="shared" si="2"/>
        <v>490</v>
      </c>
      <c r="AA285" s="198">
        <f t="shared" si="3"/>
        <v>1.8497336761003084E-3</v>
      </c>
      <c r="AB285" s="163"/>
      <c r="AC285" s="175"/>
      <c r="AD285" s="22"/>
    </row>
    <row r="286" spans="1:31" s="23" customFormat="1" x14ac:dyDescent="0.3">
      <c r="A286" s="47"/>
      <c r="B286" s="97" t="s">
        <v>102</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199">
        <f t="shared" si="1"/>
        <v>3</v>
      </c>
      <c r="Y286" s="200">
        <f t="shared" si="4"/>
        <v>1.9569471624266144E-3</v>
      </c>
      <c r="Z286" s="131">
        <f t="shared" si="2"/>
        <v>553</v>
      </c>
      <c r="AA286" s="198">
        <f t="shared" si="3"/>
        <v>2.087556577313205E-3</v>
      </c>
      <c r="AB286" s="163"/>
      <c r="AC286" s="175"/>
      <c r="AD286" s="22"/>
    </row>
    <row r="287" spans="1:31" s="23" customFormat="1" x14ac:dyDescent="0.3">
      <c r="A287" s="47"/>
      <c r="B287" s="97" t="s">
        <v>103</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201">
        <f t="shared" si="1"/>
        <v>1</v>
      </c>
      <c r="Y287" s="202">
        <f t="shared" si="4"/>
        <v>6.5231572080887146E-4</v>
      </c>
      <c r="Z287" s="203">
        <f t="shared" si="2"/>
        <v>426</v>
      </c>
      <c r="AA287" s="198">
        <f t="shared" si="3"/>
        <v>1.6081358082014926E-3</v>
      </c>
      <c r="AB287" s="163"/>
      <c r="AC287" s="175"/>
      <c r="AD287" s="22"/>
    </row>
    <row r="288" spans="1:31" s="23" customFormat="1" x14ac:dyDescent="0.3">
      <c r="A288" s="47"/>
      <c r="B288" s="97" t="s">
        <v>104</v>
      </c>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106">
        <f t="shared" si="1"/>
        <v>0</v>
      </c>
      <c r="Y288" s="198">
        <f t="shared" si="4"/>
        <v>0</v>
      </c>
      <c r="Z288" s="107">
        <f t="shared" si="2"/>
        <v>0</v>
      </c>
      <c r="AA288" s="198">
        <f t="shared" si="3"/>
        <v>0</v>
      </c>
      <c r="AB288" s="163"/>
      <c r="AC288" s="306"/>
      <c r="AD288" s="22"/>
    </row>
    <row r="289" spans="1:31" s="23" customFormat="1" x14ac:dyDescent="0.3">
      <c r="A289" s="47"/>
      <c r="B289" s="97"/>
      <c r="C289" s="194"/>
      <c r="D289" s="194"/>
      <c r="E289" s="194"/>
      <c r="F289" s="194"/>
      <c r="G289" s="194"/>
      <c r="H289" s="194"/>
      <c r="I289" s="194"/>
      <c r="J289" s="194"/>
      <c r="K289" s="194"/>
      <c r="L289" s="194"/>
      <c r="M289" s="194"/>
      <c r="N289" s="194"/>
      <c r="O289" s="194"/>
      <c r="P289" s="194"/>
      <c r="Q289" s="194"/>
      <c r="R289" s="194"/>
      <c r="S289" s="194"/>
      <c r="T289" s="194"/>
      <c r="U289" s="194"/>
      <c r="V289" s="194"/>
      <c r="W289" s="194"/>
      <c r="X289" s="97"/>
      <c r="Y289" s="198"/>
      <c r="Z289" s="98"/>
      <c r="AA289" s="198"/>
      <c r="AB289" s="163"/>
      <c r="AC289" s="175"/>
      <c r="AD289" s="22"/>
    </row>
    <row r="290" spans="1:31" s="23" customFormat="1" x14ac:dyDescent="0.3">
      <c r="A290" s="47"/>
      <c r="B290" s="40" t="s">
        <v>80</v>
      </c>
      <c r="C290" s="40"/>
      <c r="D290" s="204"/>
      <c r="E290" s="204"/>
      <c r="F290" s="204"/>
      <c r="G290" s="204"/>
      <c r="H290" s="204"/>
      <c r="I290" s="204"/>
      <c r="J290" s="204"/>
      <c r="K290" s="204"/>
      <c r="L290" s="204"/>
      <c r="M290" s="204"/>
      <c r="N290" s="204"/>
      <c r="O290" s="204"/>
      <c r="P290" s="204"/>
      <c r="Q290" s="204"/>
      <c r="R290" s="204"/>
      <c r="S290" s="204"/>
      <c r="T290" s="204"/>
      <c r="U290" s="204"/>
      <c r="V290" s="204"/>
      <c r="W290" s="204"/>
      <c r="X290" s="97">
        <f>SUM(X281:X289)</f>
        <v>1533</v>
      </c>
      <c r="Y290" s="198">
        <f>SUM(Y281:Y289)</f>
        <v>1.0000000000000002</v>
      </c>
      <c r="Z290" s="98">
        <f>SUM(Z281:Z289)</f>
        <v>264903</v>
      </c>
      <c r="AA290" s="198">
        <f>SUM(AA281:AA289)</f>
        <v>1</v>
      </c>
      <c r="AB290" s="40"/>
      <c r="AC290" s="43"/>
      <c r="AD290" s="22"/>
    </row>
    <row r="291" spans="1:31" x14ac:dyDescent="0.3">
      <c r="A291" s="7"/>
      <c r="B291" s="151"/>
      <c r="C291" s="186"/>
      <c r="D291" s="99"/>
      <c r="E291" s="99"/>
      <c r="F291" s="99"/>
      <c r="G291" s="99"/>
      <c r="H291" s="99"/>
      <c r="I291" s="99"/>
      <c r="J291" s="99"/>
      <c r="K291" s="99"/>
      <c r="L291" s="99"/>
      <c r="M291" s="99"/>
      <c r="N291" s="99"/>
      <c r="O291" s="99"/>
      <c r="P291" s="99"/>
      <c r="Q291" s="99"/>
      <c r="R291" s="99"/>
      <c r="S291" s="99"/>
      <c r="T291" s="99"/>
      <c r="U291" s="99"/>
      <c r="V291" s="99"/>
      <c r="W291" s="99"/>
      <c r="X291" s="99"/>
      <c r="Y291" s="99"/>
      <c r="Z291" s="188"/>
      <c r="AA291" s="99"/>
      <c r="AB291" s="99"/>
      <c r="AC291" s="10"/>
      <c r="AD291" s="5"/>
    </row>
    <row r="292" spans="1:31" x14ac:dyDescent="0.3">
      <c r="A292" s="33"/>
      <c r="B292" s="102" t="s">
        <v>105</v>
      </c>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54" t="s">
        <v>69</v>
      </c>
      <c r="Y292" s="103" t="s">
        <v>70</v>
      </c>
      <c r="Z292" s="154" t="s">
        <v>75</v>
      </c>
      <c r="AA292" s="103" t="s">
        <v>70</v>
      </c>
      <c r="AB292" s="34"/>
      <c r="AC292" s="190"/>
      <c r="AD292" s="5"/>
    </row>
    <row r="293" spans="1:31" s="23" customFormat="1" x14ac:dyDescent="0.3">
      <c r="A293" s="18"/>
      <c r="B293" s="106" t="s">
        <v>59</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6">
        <v>1523</v>
      </c>
      <c r="Y293" s="192">
        <f>X293/$X$302</f>
        <v>0.99542483660130721</v>
      </c>
      <c r="Z293" s="107">
        <v>262785</v>
      </c>
      <c r="AA293" s="192">
        <f>Z293/$Z$302</f>
        <v>0.99517155192001816</v>
      </c>
      <c r="AB293" s="158"/>
      <c r="AC293" s="193"/>
      <c r="AD293" s="22"/>
    </row>
    <row r="294" spans="1:31" s="23" customFormat="1" x14ac:dyDescent="0.3">
      <c r="A294" s="47"/>
      <c r="B294" s="97" t="s">
        <v>60</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1</v>
      </c>
      <c r="Y294" s="198">
        <f t="shared" ref="Y294:Y300" si="5">X294/$X$302</f>
        <v>6.5359477124183002E-4</v>
      </c>
      <c r="Z294" s="98">
        <v>148</v>
      </c>
      <c r="AA294" s="198">
        <f t="shared" ref="AA294:AA300" si="6">Z294/$Z$302</f>
        <v>5.60478679088086E-4</v>
      </c>
      <c r="AB294" s="163"/>
      <c r="AC294" s="175"/>
      <c r="AD294" s="22"/>
      <c r="AE294" s="115"/>
    </row>
    <row r="295" spans="1:31" s="23" customFormat="1" x14ac:dyDescent="0.3">
      <c r="A295" s="47"/>
      <c r="B295" s="97" t="s">
        <v>61</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1</v>
      </c>
      <c r="Y295" s="198">
        <f t="shared" si="5"/>
        <v>6.5359477124183002E-4</v>
      </c>
      <c r="Z295" s="98">
        <v>210</v>
      </c>
      <c r="AA295" s="198">
        <f t="shared" si="6"/>
        <v>7.9527380140877071E-4</v>
      </c>
      <c r="AB295" s="163"/>
      <c r="AC295" s="175"/>
      <c r="AD295" s="22"/>
    </row>
    <row r="296" spans="1:31" s="23" customFormat="1" x14ac:dyDescent="0.3">
      <c r="A296" s="47"/>
      <c r="B296" s="97" t="s">
        <v>100</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1</v>
      </c>
      <c r="Y296" s="198">
        <f t="shared" si="5"/>
        <v>6.5359477124183002E-4</v>
      </c>
      <c r="Z296" s="98">
        <v>96</v>
      </c>
      <c r="AA296" s="198">
        <f t="shared" si="6"/>
        <v>3.6355373778686661E-4</v>
      </c>
      <c r="AB296" s="163"/>
      <c r="AC296" s="175"/>
      <c r="AD296" s="22"/>
      <c r="AE296" s="115"/>
    </row>
    <row r="297" spans="1:31" s="23" customFormat="1" x14ac:dyDescent="0.3">
      <c r="A297" s="47"/>
      <c r="B297" s="97" t="s">
        <v>101</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2</v>
      </c>
      <c r="Y297" s="198">
        <f t="shared" si="5"/>
        <v>1.30718954248366E-3</v>
      </c>
      <c r="Z297" s="98">
        <v>490</v>
      </c>
      <c r="AA297" s="198">
        <f t="shared" si="6"/>
        <v>1.8556388699537984E-3</v>
      </c>
      <c r="AB297" s="163"/>
      <c r="AC297" s="175"/>
      <c r="AD297" s="22"/>
    </row>
    <row r="298" spans="1:31" s="23" customFormat="1" x14ac:dyDescent="0.3">
      <c r="A298" s="47"/>
      <c r="B298" s="97" t="s">
        <v>102</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2</v>
      </c>
      <c r="Y298" s="198">
        <f t="shared" si="5"/>
        <v>1.30718954248366E-3</v>
      </c>
      <c r="Z298" s="98">
        <v>331</v>
      </c>
      <c r="AA298" s="198">
        <f t="shared" si="6"/>
        <v>1.2535029917443005E-3</v>
      </c>
      <c r="AB298" s="163"/>
      <c r="AC298" s="175"/>
      <c r="AD298" s="22"/>
      <c r="AE298" s="115"/>
    </row>
    <row r="299" spans="1:31" s="23" customFormat="1" x14ac:dyDescent="0.3">
      <c r="A299" s="47"/>
      <c r="B299" s="97" t="s">
        <v>103</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0</v>
      </c>
      <c r="Y299" s="198">
        <f>X299/$X$302</f>
        <v>0</v>
      </c>
      <c r="Z299" s="98">
        <v>0</v>
      </c>
      <c r="AA299" s="198">
        <f t="shared" si="6"/>
        <v>0</v>
      </c>
      <c r="AB299" s="163"/>
      <c r="AC299" s="175"/>
      <c r="AD299" s="22"/>
    </row>
    <row r="300" spans="1:31" s="23" customFormat="1" x14ac:dyDescent="0.3">
      <c r="A300" s="47"/>
      <c r="B300" s="97" t="s">
        <v>104</v>
      </c>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v>0</v>
      </c>
      <c r="Y300" s="198">
        <f t="shared" si="5"/>
        <v>0</v>
      </c>
      <c r="Z300" s="98">
        <v>0</v>
      </c>
      <c r="AA300" s="198">
        <f t="shared" si="6"/>
        <v>0</v>
      </c>
      <c r="AB300" s="163"/>
      <c r="AC300" s="175"/>
      <c r="AD300" s="22"/>
      <c r="AE300" s="115"/>
    </row>
    <row r="301" spans="1:31" s="23" customFormat="1" x14ac:dyDescent="0.3">
      <c r="A301" s="47"/>
      <c r="B301" s="97"/>
      <c r="C301" s="194"/>
      <c r="D301" s="194"/>
      <c r="E301" s="194"/>
      <c r="F301" s="194"/>
      <c r="G301" s="194"/>
      <c r="H301" s="194"/>
      <c r="I301" s="194"/>
      <c r="J301" s="194"/>
      <c r="K301" s="194"/>
      <c r="L301" s="194"/>
      <c r="M301" s="194"/>
      <c r="N301" s="194"/>
      <c r="O301" s="194"/>
      <c r="P301" s="194"/>
      <c r="Q301" s="194"/>
      <c r="R301" s="194"/>
      <c r="S301" s="194"/>
      <c r="T301" s="194"/>
      <c r="U301" s="194"/>
      <c r="V301" s="194"/>
      <c r="W301" s="194"/>
      <c r="X301" s="97"/>
      <c r="Y301" s="198"/>
      <c r="Z301" s="98"/>
      <c r="AA301" s="198"/>
      <c r="AB301" s="163"/>
      <c r="AC301" s="175"/>
      <c r="AD301" s="22"/>
    </row>
    <row r="302" spans="1:31" s="23" customFormat="1" x14ac:dyDescent="0.3">
      <c r="A302" s="47"/>
      <c r="B302" s="40" t="s">
        <v>80</v>
      </c>
      <c r="C302" s="40"/>
      <c r="D302" s="204"/>
      <c r="E302" s="204"/>
      <c r="F302" s="204"/>
      <c r="G302" s="204"/>
      <c r="H302" s="204"/>
      <c r="I302" s="204"/>
      <c r="J302" s="204"/>
      <c r="K302" s="204"/>
      <c r="L302" s="204"/>
      <c r="M302" s="204"/>
      <c r="N302" s="204"/>
      <c r="O302" s="204"/>
      <c r="P302" s="204"/>
      <c r="Q302" s="204"/>
      <c r="R302" s="204"/>
      <c r="S302" s="204"/>
      <c r="T302" s="204"/>
      <c r="U302" s="204"/>
      <c r="V302" s="204"/>
      <c r="W302" s="204"/>
      <c r="X302" s="97">
        <f>SUM(X293:X301)</f>
        <v>1530</v>
      </c>
      <c r="Y302" s="198">
        <f>SUM(Y293:Y301)</f>
        <v>1</v>
      </c>
      <c r="Z302" s="98">
        <f>SUM(Z293:Z301)</f>
        <v>264060</v>
      </c>
      <c r="AA302" s="198">
        <f>SUM(AA293:AA301)</f>
        <v>0.99999999999999989</v>
      </c>
      <c r="AB302" s="40"/>
      <c r="AC302" s="43"/>
      <c r="AD302" s="22"/>
    </row>
    <row r="303" spans="1:31" x14ac:dyDescent="0.3">
      <c r="A303" s="7"/>
      <c r="B303" s="99"/>
      <c r="C303" s="99"/>
      <c r="D303" s="205"/>
      <c r="E303" s="205"/>
      <c r="F303" s="205"/>
      <c r="G303" s="205"/>
      <c r="H303" s="205"/>
      <c r="I303" s="205"/>
      <c r="J303" s="205"/>
      <c r="K303" s="205"/>
      <c r="L303" s="205"/>
      <c r="M303" s="205"/>
      <c r="N303" s="205"/>
      <c r="O303" s="205"/>
      <c r="P303" s="205"/>
      <c r="Q303" s="205"/>
      <c r="R303" s="205"/>
      <c r="S303" s="205"/>
      <c r="T303" s="205"/>
      <c r="U303" s="205"/>
      <c r="V303" s="205"/>
      <c r="W303" s="205"/>
      <c r="X303" s="100"/>
      <c r="Y303" s="206"/>
      <c r="Z303" s="207"/>
      <c r="AA303" s="206"/>
      <c r="AB303" s="99"/>
      <c r="AC303" s="10"/>
      <c r="AD303" s="5"/>
    </row>
    <row r="304" spans="1:31" x14ac:dyDescent="0.3">
      <c r="A304" s="33"/>
      <c r="B304" s="102" t="s">
        <v>121</v>
      </c>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54" t="s">
        <v>69</v>
      </c>
      <c r="Y304" s="103" t="s">
        <v>70</v>
      </c>
      <c r="Z304" s="154" t="s">
        <v>75</v>
      </c>
      <c r="AA304" s="103" t="s">
        <v>70</v>
      </c>
      <c r="AB304" s="34"/>
      <c r="AC304" s="36"/>
      <c r="AD304" s="5"/>
    </row>
    <row r="305" spans="1:30" s="23" customFormat="1" x14ac:dyDescent="0.3">
      <c r="A305" s="18"/>
      <c r="B305" s="106" t="s">
        <v>59</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06">
        <v>1</v>
      </c>
      <c r="Y305" s="192">
        <f>X305/X314</f>
        <v>0.33333333333333331</v>
      </c>
      <c r="Z305" s="107">
        <v>195</v>
      </c>
      <c r="AA305" s="192">
        <f>Z305/Z314</f>
        <v>0.23131672597864769</v>
      </c>
      <c r="AB305" s="37"/>
      <c r="AC305" s="21"/>
      <c r="AD305" s="22"/>
    </row>
    <row r="306" spans="1:30" s="23" customFormat="1" x14ac:dyDescent="0.3">
      <c r="A306" s="47"/>
      <c r="B306" s="97" t="s">
        <v>60</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61</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100</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f>X308/X314</f>
        <v>0</v>
      </c>
      <c r="Z308" s="98">
        <v>0</v>
      </c>
      <c r="AA308" s="198">
        <f>Z308/Z314</f>
        <v>0</v>
      </c>
      <c r="AB308" s="40"/>
      <c r="AC308" s="43"/>
      <c r="AD308" s="22"/>
    </row>
    <row r="309" spans="1:30" s="23" customFormat="1" x14ac:dyDescent="0.3">
      <c r="A309" s="47"/>
      <c r="B309" s="97" t="s">
        <v>101</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102</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1</v>
      </c>
      <c r="Y310" s="198">
        <f>X310/X314</f>
        <v>0.33333333333333331</v>
      </c>
      <c r="Z310" s="98">
        <v>222</v>
      </c>
      <c r="AA310" s="198">
        <f>Z310/Z314</f>
        <v>0.26334519572953735</v>
      </c>
      <c r="AB310" s="40"/>
      <c r="AC310" s="43"/>
      <c r="AD310" s="22"/>
    </row>
    <row r="311" spans="1:30" s="23" customFormat="1" x14ac:dyDescent="0.3">
      <c r="A311" s="47"/>
      <c r="B311" s="97" t="s">
        <v>103</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1</v>
      </c>
      <c r="Y311" s="198">
        <f>X311/X314</f>
        <v>0.33333333333333331</v>
      </c>
      <c r="Z311" s="98">
        <v>426</v>
      </c>
      <c r="AA311" s="198">
        <f>Z311/Z314</f>
        <v>0.50533807829181498</v>
      </c>
      <c r="AB311" s="40"/>
      <c r="AC311" s="43"/>
      <c r="AD311" s="22"/>
    </row>
    <row r="312" spans="1:30" s="23" customFormat="1" x14ac:dyDescent="0.3">
      <c r="A312" s="47"/>
      <c r="B312" s="97" t="s">
        <v>104</v>
      </c>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v>0</v>
      </c>
      <c r="Y312" s="198">
        <f>X312/X314</f>
        <v>0</v>
      </c>
      <c r="Z312" s="98">
        <v>0</v>
      </c>
      <c r="AA312" s="198">
        <v>0</v>
      </c>
      <c r="AB312" s="40"/>
      <c r="AC312" s="43"/>
      <c r="AD312" s="22"/>
    </row>
    <row r="313" spans="1:30" s="23" customFormat="1" x14ac:dyDescent="0.3">
      <c r="A313" s="47"/>
      <c r="B313" s="97"/>
      <c r="C313" s="194"/>
      <c r="D313" s="194"/>
      <c r="E313" s="194"/>
      <c r="F313" s="194"/>
      <c r="G313" s="194"/>
      <c r="H313" s="194"/>
      <c r="I313" s="194"/>
      <c r="J313" s="194"/>
      <c r="K313" s="194"/>
      <c r="L313" s="194"/>
      <c r="M313" s="194"/>
      <c r="N313" s="194"/>
      <c r="O313" s="194"/>
      <c r="P313" s="194"/>
      <c r="Q313" s="194"/>
      <c r="R313" s="194"/>
      <c r="S313" s="194"/>
      <c r="T313" s="194"/>
      <c r="U313" s="194"/>
      <c r="V313" s="194"/>
      <c r="W313" s="194"/>
      <c r="X313" s="97"/>
      <c r="Y313" s="198"/>
      <c r="Z313" s="98"/>
      <c r="AA313" s="198"/>
      <c r="AB313" s="40"/>
      <c r="AC313" s="43"/>
      <c r="AD313" s="22"/>
    </row>
    <row r="314" spans="1:30" s="23" customFormat="1" x14ac:dyDescent="0.3">
      <c r="A314" s="47"/>
      <c r="B314" s="40" t="s">
        <v>80</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f>SUM(X305:X313)</f>
        <v>3</v>
      </c>
      <c r="Y314" s="198">
        <f>SUM(Y305:Y313)</f>
        <v>1</v>
      </c>
      <c r="Z314" s="98">
        <f>SUM(Z305:Z313)</f>
        <v>843</v>
      </c>
      <c r="AA314" s="198">
        <f>SUM(AA305:AA313)</f>
        <v>1</v>
      </c>
      <c r="AB314" s="40"/>
      <c r="AC314" s="43"/>
      <c r="AD314" s="22"/>
    </row>
    <row r="315" spans="1:30" s="23" customFormat="1" x14ac:dyDescent="0.3">
      <c r="A315" s="47"/>
      <c r="B315" s="40"/>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97"/>
      <c r="Y315" s="198"/>
      <c r="Z315" s="98"/>
      <c r="AA315" s="198"/>
      <c r="AB315" s="40"/>
      <c r="AC315" s="43"/>
      <c r="AD315" s="22"/>
    </row>
    <row r="316" spans="1:30" s="23" customFormat="1" x14ac:dyDescent="0.3">
      <c r="A316" s="242"/>
      <c r="B316" s="243" t="s">
        <v>330</v>
      </c>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62" t="s">
        <v>69</v>
      </c>
      <c r="Y316" s="263" t="s">
        <v>70</v>
      </c>
      <c r="Z316" s="262" t="s">
        <v>75</v>
      </c>
      <c r="AA316" s="263" t="s">
        <v>70</v>
      </c>
      <c r="AB316" s="243"/>
      <c r="AC316" s="243"/>
      <c r="AD316" s="22"/>
    </row>
    <row r="317" spans="1:30" s="23" customFormat="1" x14ac:dyDescent="0.3">
      <c r="A317" s="273"/>
      <c r="B317" s="274" t="s">
        <v>326</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302">
        <v>0</v>
      </c>
      <c r="Y317" s="303">
        <f>X317/X324</f>
        <v>0</v>
      </c>
      <c r="Z317" s="304">
        <v>0</v>
      </c>
      <c r="AA317" s="303">
        <f>Z317/Z324</f>
        <v>0</v>
      </c>
      <c r="AB317" s="40"/>
      <c r="AC317" s="43"/>
      <c r="AD317" s="22"/>
    </row>
    <row r="318" spans="1:30" s="23" customFormat="1" x14ac:dyDescent="0.3">
      <c r="A318" s="273"/>
      <c r="B318" s="274" t="s">
        <v>327</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302">
        <v>0</v>
      </c>
      <c r="Y318" s="303">
        <v>0</v>
      </c>
      <c r="Z318" s="304">
        <v>0</v>
      </c>
      <c r="AA318" s="303">
        <v>0</v>
      </c>
      <c r="AB318" s="40"/>
      <c r="AC318" s="43"/>
      <c r="AD318" s="22"/>
    </row>
    <row r="319" spans="1:30" s="23" customFormat="1" x14ac:dyDescent="0.3">
      <c r="A319" s="273"/>
      <c r="B319" s="274" t="s">
        <v>328</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302">
        <v>0</v>
      </c>
      <c r="Y319" s="303">
        <f>X319/X324</f>
        <v>0</v>
      </c>
      <c r="Z319" s="304">
        <v>0</v>
      </c>
      <c r="AA319" s="303">
        <f>Z319/Z324</f>
        <v>0</v>
      </c>
      <c r="AB319" s="40"/>
      <c r="AC319" s="43"/>
      <c r="AD319" s="22"/>
    </row>
    <row r="320" spans="1:30" s="23" customFormat="1" x14ac:dyDescent="0.3">
      <c r="A320" s="273"/>
      <c r="B320" s="274" t="s">
        <v>329</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302">
        <v>0</v>
      </c>
      <c r="Y320" s="303">
        <f>X320/X324</f>
        <v>0</v>
      </c>
      <c r="Z320" s="304">
        <v>0</v>
      </c>
      <c r="AA320" s="303">
        <f>Z320/Z324</f>
        <v>0</v>
      </c>
      <c r="AB320" s="40"/>
      <c r="AC320" s="43"/>
      <c r="AD320" s="22"/>
    </row>
    <row r="321" spans="1:30" s="23" customFormat="1" x14ac:dyDescent="0.3">
      <c r="A321" s="273"/>
      <c r="B321" s="274" t="s">
        <v>334</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302">
        <v>3</v>
      </c>
      <c r="Y321" s="303">
        <f>X321/X324</f>
        <v>1</v>
      </c>
      <c r="Z321" s="304">
        <v>843</v>
      </c>
      <c r="AA321" s="303">
        <f>Z321/Z324</f>
        <v>1</v>
      </c>
      <c r="AB321" s="40"/>
      <c r="AC321" s="43"/>
      <c r="AD321" s="22"/>
    </row>
    <row r="322" spans="1:30" s="23" customFormat="1" x14ac:dyDescent="0.3">
      <c r="A322" s="273"/>
      <c r="B322" s="275" t="s">
        <v>331</v>
      </c>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302">
        <v>0</v>
      </c>
      <c r="Y322" s="303">
        <f>X322/X324</f>
        <v>0</v>
      </c>
      <c r="Z322" s="304">
        <v>0</v>
      </c>
      <c r="AA322" s="303">
        <f>Z322/Z324</f>
        <v>0</v>
      </c>
      <c r="AB322" s="40"/>
      <c r="AC322" s="43"/>
      <c r="AD322" s="22"/>
    </row>
    <row r="323" spans="1:30" s="23" customFormat="1" x14ac:dyDescent="0.3">
      <c r="A323" s="273"/>
      <c r="B323" s="274"/>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c r="Y323" s="277"/>
      <c r="Z323" s="278"/>
      <c r="AA323" s="277"/>
      <c r="AB323" s="40"/>
      <c r="AC323" s="43"/>
      <c r="AD323" s="22"/>
    </row>
    <row r="324" spans="1:30" s="23" customFormat="1" x14ac:dyDescent="0.3">
      <c r="A324" s="273"/>
      <c r="B324" s="274" t="s">
        <v>80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276">
        <f>SUM(X317:X323)</f>
        <v>3</v>
      </c>
      <c r="Y324" s="277">
        <f>SUM(Y317:Y322)</f>
        <v>1</v>
      </c>
      <c r="Z324" s="278">
        <f>SUM(Z317:Z322)</f>
        <v>843</v>
      </c>
      <c r="AA324" s="277">
        <f>SUM(AA317:AA323)</f>
        <v>1</v>
      </c>
      <c r="AB324" s="40"/>
      <c r="AC324" s="43"/>
      <c r="AD324" s="22"/>
    </row>
    <row r="325" spans="1:30" x14ac:dyDescent="0.3">
      <c r="A325" s="7"/>
      <c r="B325" s="99"/>
      <c r="C325" s="99"/>
      <c r="D325" s="205"/>
      <c r="E325" s="205"/>
      <c r="F325" s="205"/>
      <c r="G325" s="205"/>
      <c r="H325" s="205"/>
      <c r="I325" s="205"/>
      <c r="J325" s="205"/>
      <c r="K325" s="205"/>
      <c r="L325" s="205"/>
      <c r="M325" s="205"/>
      <c r="N325" s="205"/>
      <c r="O325" s="205"/>
      <c r="P325" s="205"/>
      <c r="Q325" s="205"/>
      <c r="R325" s="205"/>
      <c r="S325" s="205"/>
      <c r="T325" s="205"/>
      <c r="U325" s="205"/>
      <c r="V325" s="205"/>
      <c r="W325" s="205"/>
      <c r="X325" s="100"/>
      <c r="Y325" s="206"/>
      <c r="Z325" s="207"/>
      <c r="AA325" s="206"/>
      <c r="AB325" s="99"/>
      <c r="AC325" s="10"/>
      <c r="AD325" s="5"/>
    </row>
    <row r="326" spans="1:30" x14ac:dyDescent="0.3">
      <c r="A326" s="33"/>
      <c r="B326" s="102" t="s">
        <v>106</v>
      </c>
      <c r="C326" s="34"/>
      <c r="D326" s="208"/>
      <c r="E326" s="208"/>
      <c r="F326" s="208"/>
      <c r="G326" s="208"/>
      <c r="H326" s="208"/>
      <c r="I326" s="208"/>
      <c r="J326" s="208"/>
      <c r="K326" s="208"/>
      <c r="L326" s="208"/>
      <c r="M326" s="208"/>
      <c r="N326" s="208"/>
      <c r="O326" s="208"/>
      <c r="P326" s="208"/>
      <c r="Q326" s="208"/>
      <c r="R326" s="208"/>
      <c r="S326" s="208"/>
      <c r="T326" s="208"/>
      <c r="U326" s="208"/>
      <c r="V326" s="208"/>
      <c r="W326" s="208"/>
      <c r="X326" s="154" t="s">
        <v>69</v>
      </c>
      <c r="Y326" s="103" t="s">
        <v>70</v>
      </c>
      <c r="Z326" s="154" t="s">
        <v>75</v>
      </c>
      <c r="AA326" s="103" t="s">
        <v>70</v>
      </c>
      <c r="AB326" s="34"/>
      <c r="AC326" s="36"/>
      <c r="AD326" s="5"/>
    </row>
    <row r="327" spans="1:30" s="23" customFormat="1" x14ac:dyDescent="0.3">
      <c r="A327" s="18"/>
      <c r="B327" s="106" t="s">
        <v>59</v>
      </c>
      <c r="C327" s="37"/>
      <c r="D327" s="209"/>
      <c r="E327" s="209"/>
      <c r="F327" s="209"/>
      <c r="G327" s="209"/>
      <c r="H327" s="209"/>
      <c r="I327" s="209"/>
      <c r="J327" s="209"/>
      <c r="K327" s="209"/>
      <c r="L327" s="209"/>
      <c r="M327" s="209"/>
      <c r="N327" s="209"/>
      <c r="O327" s="209"/>
      <c r="P327" s="209"/>
      <c r="Q327" s="209"/>
      <c r="R327" s="209"/>
      <c r="S327" s="209"/>
      <c r="T327" s="209"/>
      <c r="U327" s="209"/>
      <c r="V327" s="209"/>
      <c r="W327" s="209"/>
      <c r="X327" s="106">
        <v>0</v>
      </c>
      <c r="Y327" s="192">
        <v>0</v>
      </c>
      <c r="Z327" s="107">
        <v>0</v>
      </c>
      <c r="AA327" s="192">
        <v>0</v>
      </c>
      <c r="AB327" s="37"/>
      <c r="AC327" s="21"/>
      <c r="AD327" s="22"/>
    </row>
    <row r="328" spans="1:30" s="23" customFormat="1" x14ac:dyDescent="0.3">
      <c r="A328" s="47"/>
      <c r="B328" s="97" t="s">
        <v>60</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61</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100</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101</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102</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103</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t="s">
        <v>104</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v>0</v>
      </c>
      <c r="Y334" s="198">
        <v>0</v>
      </c>
      <c r="Z334" s="98">
        <v>0</v>
      </c>
      <c r="AA334" s="198">
        <v>0</v>
      </c>
      <c r="AB334" s="40"/>
      <c r="AC334" s="43"/>
      <c r="AD334" s="22"/>
    </row>
    <row r="335" spans="1:30" s="23" customFormat="1" x14ac:dyDescent="0.3">
      <c r="A335" s="47"/>
      <c r="B335" s="97"/>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c r="Y335" s="198"/>
      <c r="Z335" s="98"/>
      <c r="AA335" s="198"/>
      <c r="AB335" s="40"/>
      <c r="AC335" s="43"/>
      <c r="AD335" s="22"/>
    </row>
    <row r="336" spans="1:30" s="23" customFormat="1" x14ac:dyDescent="0.3">
      <c r="A336" s="47"/>
      <c r="B336" s="40" t="s">
        <v>80</v>
      </c>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f>SUM(X327:X334)</f>
        <v>0</v>
      </c>
      <c r="Y336" s="198">
        <f>SUM(Y327:Y334)</f>
        <v>0</v>
      </c>
      <c r="Z336" s="98">
        <f>SUM(Z327:Z334)</f>
        <v>0</v>
      </c>
      <c r="AA336" s="198">
        <f>SUM(AA327:AA334)</f>
        <v>0</v>
      </c>
      <c r="AB336" s="40"/>
      <c r="AC336" s="43"/>
      <c r="AD336" s="22"/>
    </row>
    <row r="337" spans="1:30" s="23" customFormat="1" x14ac:dyDescent="0.3">
      <c r="A337" s="47"/>
      <c r="B337" s="40"/>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97"/>
      <c r="Y337" s="198"/>
      <c r="Z337" s="98"/>
      <c r="AA337" s="198"/>
      <c r="AB337" s="40"/>
      <c r="AC337" s="43"/>
      <c r="AD337" s="22"/>
    </row>
    <row r="338" spans="1:30" s="23" customFormat="1" x14ac:dyDescent="0.3">
      <c r="A338" s="47"/>
      <c r="B338" s="44" t="s">
        <v>139</v>
      </c>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f>X336+X314+X302</f>
        <v>1533</v>
      </c>
      <c r="Y338" s="198"/>
      <c r="Z338" s="211">
        <f>+Z336+Z314+Z302</f>
        <v>264903</v>
      </c>
      <c r="AA338" s="198"/>
      <c r="AB338" s="40"/>
      <c r="AC338" s="43"/>
      <c r="AD338" s="22"/>
    </row>
    <row r="339" spans="1:30" s="23" customFormat="1" x14ac:dyDescent="0.3">
      <c r="A339" s="47"/>
      <c r="B339" s="44" t="s">
        <v>304</v>
      </c>
      <c r="C339" s="44"/>
      <c r="D339" s="212"/>
      <c r="E339" s="212"/>
      <c r="F339" s="212"/>
      <c r="G339" s="212"/>
      <c r="H339" s="212"/>
      <c r="I339" s="212"/>
      <c r="J339" s="212"/>
      <c r="K339" s="212"/>
      <c r="L339" s="212"/>
      <c r="M339" s="212"/>
      <c r="N339" s="212"/>
      <c r="O339" s="212"/>
      <c r="P339" s="212"/>
      <c r="Q339" s="212"/>
      <c r="R339" s="212"/>
      <c r="S339" s="212"/>
      <c r="T339" s="212"/>
      <c r="U339" s="212"/>
      <c r="V339" s="212"/>
      <c r="W339" s="212"/>
      <c r="X339" s="210"/>
      <c r="Y339" s="213"/>
      <c r="Z339" s="211">
        <f>+AB65+AB64</f>
        <v>2</v>
      </c>
      <c r="AA339" s="198"/>
      <c r="AB339" s="40"/>
      <c r="AC339" s="43"/>
      <c r="AD339" s="22"/>
    </row>
    <row r="340" spans="1:30" s="23" customFormat="1" x14ac:dyDescent="0.3">
      <c r="A340" s="47"/>
      <c r="B340" s="44" t="s">
        <v>107</v>
      </c>
      <c r="C340" s="44"/>
      <c r="D340" s="212"/>
      <c r="E340" s="212"/>
      <c r="F340" s="212"/>
      <c r="G340" s="212"/>
      <c r="H340" s="212"/>
      <c r="I340" s="212"/>
      <c r="J340" s="212"/>
      <c r="K340" s="212"/>
      <c r="L340" s="212"/>
      <c r="M340" s="212"/>
      <c r="N340" s="212"/>
      <c r="O340" s="212"/>
      <c r="P340" s="212"/>
      <c r="Q340" s="212"/>
      <c r="R340" s="212"/>
      <c r="S340" s="212"/>
      <c r="T340" s="212"/>
      <c r="U340" s="212"/>
      <c r="V340" s="212"/>
      <c r="W340" s="212"/>
      <c r="X340" s="210"/>
      <c r="Y340" s="213"/>
      <c r="Z340" s="211">
        <f>+Z338+Z339</f>
        <v>264905</v>
      </c>
      <c r="AA340" s="198"/>
      <c r="AB340" s="40"/>
      <c r="AC340" s="43"/>
      <c r="AD340" s="22"/>
    </row>
    <row r="341" spans="1:30" s="23" customFormat="1" x14ac:dyDescent="0.3">
      <c r="A341" s="47"/>
      <c r="B341" s="44" t="s">
        <v>237</v>
      </c>
      <c r="C341" s="40"/>
      <c r="D341" s="204"/>
      <c r="E341" s="204"/>
      <c r="F341" s="204"/>
      <c r="G341" s="204"/>
      <c r="H341" s="204"/>
      <c r="I341" s="204"/>
      <c r="J341" s="204"/>
      <c r="K341" s="204"/>
      <c r="L341" s="204"/>
      <c r="M341" s="204"/>
      <c r="N341" s="204"/>
      <c r="O341" s="204"/>
      <c r="P341" s="204"/>
      <c r="Q341" s="204"/>
      <c r="R341" s="204"/>
      <c r="S341" s="204"/>
      <c r="T341" s="204"/>
      <c r="U341" s="204"/>
      <c r="V341" s="204"/>
      <c r="W341" s="204"/>
      <c r="X341" s="210"/>
      <c r="Y341" s="198"/>
      <c r="Z341" s="211">
        <f>+AB67</f>
        <v>264905</v>
      </c>
      <c r="AA341" s="198"/>
      <c r="AB341" s="40"/>
      <c r="AC341" s="43"/>
      <c r="AD341" s="22"/>
    </row>
    <row r="342" spans="1:30" s="23" customFormat="1" x14ac:dyDescent="0.3">
      <c r="A342" s="47"/>
      <c r="B342" s="44"/>
      <c r="C342" s="40"/>
      <c r="D342" s="204"/>
      <c r="E342" s="204"/>
      <c r="F342" s="204"/>
      <c r="G342" s="204"/>
      <c r="H342" s="204"/>
      <c r="I342" s="204"/>
      <c r="J342" s="204"/>
      <c r="K342" s="204"/>
      <c r="L342" s="204"/>
      <c r="M342" s="204"/>
      <c r="N342" s="204"/>
      <c r="O342" s="204"/>
      <c r="P342" s="204"/>
      <c r="Q342" s="204"/>
      <c r="R342" s="204"/>
      <c r="S342" s="204"/>
      <c r="T342" s="204"/>
      <c r="U342" s="204"/>
      <c r="V342" s="204"/>
      <c r="W342" s="204"/>
      <c r="X342" s="210"/>
      <c r="Y342" s="198"/>
      <c r="Z342" s="211"/>
      <c r="AA342" s="198"/>
      <c r="AB342" s="40"/>
      <c r="AC342" s="43"/>
      <c r="AD342" s="22"/>
    </row>
    <row r="343" spans="1:30" s="23" customFormat="1" x14ac:dyDescent="0.3">
      <c r="A343" s="47"/>
      <c r="B343" s="44" t="s">
        <v>305</v>
      </c>
      <c r="C343" s="40"/>
      <c r="D343" s="204"/>
      <c r="E343" s="204"/>
      <c r="F343" s="204"/>
      <c r="G343" s="204"/>
      <c r="H343" s="204"/>
      <c r="I343" s="204"/>
      <c r="J343" s="204"/>
      <c r="K343" s="204"/>
      <c r="L343" s="204"/>
      <c r="M343" s="204"/>
      <c r="N343" s="204"/>
      <c r="O343" s="204"/>
      <c r="P343" s="204"/>
      <c r="Q343" s="204"/>
      <c r="R343" s="204"/>
      <c r="S343" s="204"/>
      <c r="T343" s="204"/>
      <c r="U343" s="204"/>
      <c r="V343" s="204"/>
      <c r="W343" s="204"/>
      <c r="X343" s="210"/>
      <c r="Y343" s="198"/>
      <c r="Z343" s="236">
        <f>(D31*0.05+F31+H31+J31+L31+N31)/AB31</f>
        <v>0.89290823834950972</v>
      </c>
      <c r="AA343" s="198"/>
      <c r="AB343" s="40"/>
      <c r="AC343" s="43"/>
      <c r="AD343" s="22"/>
    </row>
    <row r="344" spans="1:30" s="23" customFormat="1" x14ac:dyDescent="0.3">
      <c r="A344" s="18"/>
      <c r="B344" s="20"/>
      <c r="C344" s="20"/>
      <c r="D344" s="214"/>
      <c r="E344" s="214"/>
      <c r="F344" s="214"/>
      <c r="G344" s="214"/>
      <c r="H344" s="214"/>
      <c r="I344" s="214"/>
      <c r="J344" s="214"/>
      <c r="K344" s="214"/>
      <c r="L344" s="214"/>
      <c r="M344" s="214"/>
      <c r="N344" s="214"/>
      <c r="O344" s="214"/>
      <c r="P344" s="214"/>
      <c r="Q344" s="214"/>
      <c r="R344" s="214"/>
      <c r="S344" s="214"/>
      <c r="T344" s="214"/>
      <c r="U344" s="214"/>
      <c r="V344" s="214"/>
      <c r="W344" s="214"/>
      <c r="X344" s="214"/>
      <c r="Y344" s="214"/>
      <c r="Z344" s="215"/>
      <c r="AA344" s="214"/>
      <c r="AB344" s="20"/>
      <c r="AC344" s="21"/>
      <c r="AD344" s="22"/>
    </row>
    <row r="345" spans="1:30" s="23" customFormat="1" x14ac:dyDescent="0.3">
      <c r="A345" s="18"/>
      <c r="B345" s="19" t="s">
        <v>62</v>
      </c>
      <c r="C345" s="20"/>
      <c r="D345" s="216" t="s">
        <v>66</v>
      </c>
      <c r="E345" s="19"/>
      <c r="F345" s="19" t="s">
        <v>67</v>
      </c>
      <c r="G345" s="20"/>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s="23" customFormat="1" x14ac:dyDescent="0.3">
      <c r="A346" s="18"/>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1"/>
      <c r="AD346" s="22"/>
    </row>
    <row r="347" spans="1:30" s="23" customFormat="1" x14ac:dyDescent="0.3">
      <c r="A347" s="18"/>
      <c r="B347" s="19" t="s">
        <v>152</v>
      </c>
      <c r="C347" s="19"/>
      <c r="D347" s="217" t="s">
        <v>122</v>
      </c>
      <c r="E347" s="19"/>
      <c r="F347" s="19" t="s">
        <v>168</v>
      </c>
      <c r="G347" s="19"/>
      <c r="H347" s="19"/>
      <c r="I347" s="20"/>
      <c r="J347" s="20"/>
      <c r="K347" s="20"/>
      <c r="L347" s="20"/>
      <c r="M347" s="20"/>
      <c r="N347" s="20"/>
      <c r="O347" s="20"/>
      <c r="P347" s="20"/>
      <c r="Q347" s="20"/>
      <c r="R347" s="20"/>
      <c r="S347" s="20"/>
      <c r="T347" s="20"/>
      <c r="U347" s="20"/>
      <c r="V347" s="20"/>
      <c r="W347" s="20"/>
      <c r="X347" s="20"/>
      <c r="Y347" s="20"/>
      <c r="Z347" s="20"/>
      <c r="AA347" s="20"/>
      <c r="AB347" s="20"/>
      <c r="AC347" s="21"/>
      <c r="AD347" s="22"/>
    </row>
    <row r="348" spans="1:30" s="23" customFormat="1" x14ac:dyDescent="0.3">
      <c r="A348" s="18"/>
      <c r="B348" s="19" t="s">
        <v>153</v>
      </c>
      <c r="C348" s="19"/>
      <c r="D348" s="217" t="s">
        <v>98</v>
      </c>
      <c r="E348" s="19"/>
      <c r="F348" s="19" t="s">
        <v>169</v>
      </c>
      <c r="G348" s="19"/>
      <c r="H348" s="19"/>
      <c r="I348" s="20"/>
      <c r="J348" s="20"/>
      <c r="K348" s="20"/>
      <c r="L348" s="20"/>
      <c r="M348" s="20"/>
      <c r="N348" s="20"/>
      <c r="O348" s="20"/>
      <c r="P348" s="20"/>
      <c r="Q348" s="20"/>
      <c r="R348" s="20"/>
      <c r="S348" s="20"/>
      <c r="T348" s="20"/>
      <c r="U348" s="20"/>
      <c r="V348" s="20"/>
      <c r="W348" s="20"/>
      <c r="X348" s="20"/>
      <c r="Y348" s="20"/>
      <c r="Z348" s="20"/>
      <c r="AA348" s="20"/>
      <c r="AB348" s="20"/>
      <c r="AC348" s="21"/>
      <c r="AD348" s="22"/>
    </row>
    <row r="349" spans="1:30" x14ac:dyDescent="0.3">
      <c r="A349" s="218"/>
      <c r="B349" s="258"/>
      <c r="C349" s="219"/>
      <c r="D349" s="220"/>
      <c r="E349" s="220"/>
      <c r="F349" s="220"/>
      <c r="G349" s="220"/>
      <c r="H349" s="220"/>
      <c r="I349" s="220"/>
      <c r="J349" s="220"/>
      <c r="K349" s="220"/>
      <c r="L349" s="220"/>
      <c r="M349" s="220"/>
      <c r="N349" s="220"/>
      <c r="O349" s="220"/>
      <c r="P349" s="220"/>
      <c r="Q349" s="220"/>
      <c r="R349" s="220"/>
      <c r="S349" s="220"/>
      <c r="T349" s="220"/>
      <c r="U349" s="220"/>
      <c r="V349" s="220"/>
      <c r="W349" s="220"/>
      <c r="X349" s="220"/>
      <c r="Y349" s="220"/>
      <c r="Z349" s="220"/>
      <c r="AA349" s="220"/>
      <c r="AB349" s="220"/>
      <c r="AC349" s="221"/>
      <c r="AD349" s="5"/>
    </row>
    <row r="350" spans="1:30" ht="18" x14ac:dyDescent="0.35">
      <c r="A350" s="218"/>
      <c r="B350" s="259" t="s">
        <v>109</v>
      </c>
      <c r="C350" s="219"/>
      <c r="D350" s="220"/>
      <c r="E350" s="220"/>
      <c r="F350" s="220"/>
      <c r="G350" s="220"/>
      <c r="H350" s="220"/>
      <c r="I350" s="220"/>
      <c r="J350" s="220"/>
      <c r="K350" s="220"/>
      <c r="L350" s="220"/>
      <c r="M350" s="220"/>
      <c r="N350" s="220"/>
      <c r="O350" s="220"/>
      <c r="P350" s="260" t="s">
        <v>167</v>
      </c>
      <c r="Q350" s="220"/>
      <c r="R350" s="220"/>
      <c r="S350" s="220"/>
      <c r="T350" s="220"/>
      <c r="U350" s="220"/>
      <c r="V350" s="220"/>
      <c r="W350" s="220"/>
      <c r="X350" s="220"/>
      <c r="Y350" s="220"/>
      <c r="Z350" s="220"/>
      <c r="AA350" s="220"/>
      <c r="AB350" s="220"/>
      <c r="AC350" s="221"/>
      <c r="AD350" s="5"/>
    </row>
    <row r="351" spans="1:30" ht="18" x14ac:dyDescent="0.35">
      <c r="A351" s="218"/>
      <c r="B351" s="259"/>
      <c r="C351" s="219"/>
      <c r="D351" s="220"/>
      <c r="E351" s="220"/>
      <c r="F351" s="220"/>
      <c r="G351" s="220"/>
      <c r="H351" s="220"/>
      <c r="I351" s="220"/>
      <c r="J351" s="220"/>
      <c r="K351" s="220"/>
      <c r="L351" s="220"/>
      <c r="M351" s="220"/>
      <c r="N351" s="220"/>
      <c r="O351" s="220"/>
      <c r="P351" s="260"/>
      <c r="Q351" s="220"/>
      <c r="R351" s="220"/>
      <c r="S351" s="220"/>
      <c r="T351" s="220"/>
      <c r="U351" s="220"/>
      <c r="V351" s="220"/>
      <c r="W351" s="220"/>
      <c r="X351" s="220"/>
      <c r="Y351" s="220"/>
      <c r="Z351" s="220"/>
      <c r="AA351" s="220"/>
      <c r="AB351" s="220"/>
      <c r="AC351" s="221"/>
      <c r="AD351" s="5"/>
    </row>
    <row r="352" spans="1:30" ht="18.600000000000001" thickBot="1" x14ac:dyDescent="0.4">
      <c r="A352" s="218"/>
      <c r="B352" s="222" t="str">
        <f>B238</f>
        <v>PM26 INVESTOR REPORT QUARTER ENDING JULY 2023</v>
      </c>
      <c r="C352" s="219"/>
      <c r="D352" s="220"/>
      <c r="E352" s="220"/>
      <c r="F352" s="220"/>
      <c r="G352" s="220"/>
      <c r="H352" s="220"/>
      <c r="I352" s="220"/>
      <c r="J352" s="220"/>
      <c r="K352" s="220"/>
      <c r="L352" s="220"/>
      <c r="M352" s="220"/>
      <c r="N352" s="220"/>
      <c r="O352" s="220"/>
      <c r="P352" s="220"/>
      <c r="Q352" s="220"/>
      <c r="R352" s="220"/>
      <c r="S352" s="220"/>
      <c r="T352" s="220"/>
      <c r="U352" s="220"/>
      <c r="V352" s="220"/>
      <c r="W352" s="220"/>
      <c r="X352" s="220"/>
      <c r="Y352" s="220"/>
      <c r="Z352" s="220"/>
      <c r="AA352" s="220"/>
      <c r="AB352" s="220"/>
      <c r="AC352" s="223"/>
      <c r="AD352" s="5"/>
    </row>
    <row r="353" spans="1:29" x14ac:dyDescent="0.3">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row>
    <row r="354" spans="1:29" x14ac:dyDescent="0.3">
      <c r="B354" s="6" t="s">
        <v>307</v>
      </c>
      <c r="AC354" s="271"/>
    </row>
    <row r="355" spans="1:29" x14ac:dyDescent="0.3">
      <c r="B355" s="271"/>
    </row>
    <row r="356" spans="1:29" x14ac:dyDescent="0.3">
      <c r="B356" s="279" t="s">
        <v>354</v>
      </c>
    </row>
    <row r="357" spans="1:29" x14ac:dyDescent="0.3">
      <c r="B357" s="270" t="s">
        <v>352</v>
      </c>
    </row>
    <row r="358" spans="1:29" x14ac:dyDescent="0.3">
      <c r="B358" s="300" t="s">
        <v>353</v>
      </c>
    </row>
    <row r="360" spans="1:29" x14ac:dyDescent="0.3">
      <c r="B360" s="6" t="s">
        <v>385</v>
      </c>
    </row>
    <row r="361" spans="1:29" x14ac:dyDescent="0.3">
      <c r="B361" s="6" t="s">
        <v>384</v>
      </c>
    </row>
  </sheetData>
  <hyperlinks>
    <hyperlink ref="K9" r:id="rId1" display="http://www.paragon-group.co.uk" xr:uid="{BF75364A-FE7B-4F5F-BCA9-40BD860040ED}"/>
    <hyperlink ref="P350" r:id="rId2" xr:uid="{939C79A7-EFB1-4EAA-9908-D0722DBF6FA7}"/>
    <hyperlink ref="P278" r:id="rId3" xr:uid="{AA83FD33-0ED9-4592-9541-529606C19D5A}"/>
    <hyperlink ref="B358" r:id="rId4" display="https://investorreporting.paragonbankinggroup.co.uk/bondinvestor_viewer/resources/bondinvestor/pdf/investornews/2021/libor-mortgages-transition-july-19" xr:uid="{18DF98A1-0B26-4B36-966A-4345AEFF4C7A}"/>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8" max="18" man="1"/>
  </rowBreaks>
  <colBreaks count="1" manualBreakCount="1">
    <brk id="29" max="299" man="1"/>
  </colBreaks>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9B73E-BD53-4BEF-A994-1820AC90205E}">
  <sheetPr>
    <tabColor rgb="FF89CB31"/>
  </sheetPr>
  <dimension ref="A1:JB361"/>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0.28957409844438925</v>
      </c>
      <c r="Z17" s="29" t="s">
        <v>258</v>
      </c>
      <c r="AA17" s="29">
        <v>0.71042590155561069</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45252</v>
      </c>
      <c r="AC19" s="21"/>
      <c r="AD19" s="22"/>
    </row>
    <row r="20" spans="1:33" s="23" customFormat="1" x14ac:dyDescent="0.3">
      <c r="A20" s="18"/>
      <c r="B20" s="20"/>
      <c r="C20" s="20"/>
      <c r="D20" s="308"/>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307"/>
      <c r="E21" s="20"/>
      <c r="F21" s="287"/>
      <c r="G21" s="20"/>
      <c r="H21" s="309"/>
      <c r="I21" s="20"/>
      <c r="J21" s="308"/>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213</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214</v>
      </c>
      <c r="I27" s="229"/>
      <c r="J27" s="229" t="s">
        <v>215</v>
      </c>
      <c r="K27" s="229"/>
      <c r="L27" s="229" t="s">
        <v>365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29862.288429999997</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3740.1492699999999</v>
      </c>
      <c r="Q30" s="54"/>
      <c r="R30" s="54">
        <v>0</v>
      </c>
      <c r="S30" s="54"/>
      <c r="T30" s="54" t="s">
        <v>83</v>
      </c>
      <c r="U30" s="54"/>
      <c r="V30" s="54" t="s">
        <v>83</v>
      </c>
      <c r="W30" s="54"/>
      <c r="X30" s="54" t="s">
        <v>83</v>
      </c>
      <c r="Y30" s="54" t="s">
        <v>83</v>
      </c>
      <c r="Z30" s="54"/>
      <c r="AA30" s="49"/>
      <c r="AB30" s="50">
        <f>SUM(D30:N30)</f>
        <v>264905.28842999996</v>
      </c>
      <c r="AC30" s="51"/>
      <c r="AD30" s="22"/>
    </row>
    <row r="31" spans="1:33" s="23" customFormat="1" x14ac:dyDescent="0.3">
      <c r="A31" s="47"/>
      <c r="B31" s="44" t="s">
        <v>92</v>
      </c>
      <c r="C31" s="49"/>
      <c r="D31" s="57">
        <f>D29*D32</f>
        <v>22472.455399999999</v>
      </c>
      <c r="E31" s="57"/>
      <c r="F31" s="57">
        <f>F29</f>
        <v>151540</v>
      </c>
      <c r="G31" s="57"/>
      <c r="H31" s="57">
        <f>H29</f>
        <v>24741</v>
      </c>
      <c r="I31" s="57"/>
      <c r="J31" s="57">
        <f>J29</f>
        <v>18555</v>
      </c>
      <c r="K31" s="57"/>
      <c r="L31" s="57">
        <f>L29</f>
        <v>20102</v>
      </c>
      <c r="M31" s="57"/>
      <c r="N31" s="57">
        <f>N29</f>
        <v>20105</v>
      </c>
      <c r="O31" s="57"/>
      <c r="P31" s="57">
        <f>P29*P32</f>
        <v>3672.0651399999997</v>
      </c>
      <c r="Q31" s="57"/>
      <c r="R31" s="57">
        <v>0</v>
      </c>
      <c r="S31" s="57"/>
      <c r="T31" s="57" t="s">
        <v>83</v>
      </c>
      <c r="U31" s="57"/>
      <c r="V31" s="57" t="s">
        <v>83</v>
      </c>
      <c r="W31" s="57"/>
      <c r="X31" s="57" t="s">
        <v>83</v>
      </c>
      <c r="Y31" s="57" t="s">
        <v>83</v>
      </c>
      <c r="Z31" s="57"/>
      <c r="AA31" s="49"/>
      <c r="AB31" s="56">
        <f>SUM(D31:N31)+1</f>
        <v>257516.45540000001</v>
      </c>
      <c r="AC31" s="51"/>
      <c r="AD31" s="22"/>
      <c r="AE31" s="235"/>
    </row>
    <row r="32" spans="1:33" s="65" customFormat="1" x14ac:dyDescent="0.3">
      <c r="A32" s="58"/>
      <c r="B32" s="166" t="s">
        <v>88</v>
      </c>
      <c r="C32" s="61"/>
      <c r="D32" s="60">
        <v>5.8599999999999999E-2</v>
      </c>
      <c r="E32" s="60"/>
      <c r="F32" s="60">
        <v>1</v>
      </c>
      <c r="G32" s="60"/>
      <c r="H32" s="60">
        <v>1</v>
      </c>
      <c r="I32" s="60"/>
      <c r="J32" s="60">
        <v>1</v>
      </c>
      <c r="K32" s="60"/>
      <c r="L32" s="60">
        <v>1</v>
      </c>
      <c r="M32" s="60"/>
      <c r="N32" s="60">
        <v>1</v>
      </c>
      <c r="O32" s="60"/>
      <c r="P32" s="60">
        <v>0.36081999999999997</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7.7869999999999995E-2</v>
      </c>
      <c r="E33" s="60"/>
      <c r="F33" s="60">
        <v>1</v>
      </c>
      <c r="G33" s="60"/>
      <c r="H33" s="60">
        <v>1</v>
      </c>
      <c r="I33" s="60"/>
      <c r="J33" s="60">
        <v>1</v>
      </c>
      <c r="K33" s="60"/>
      <c r="L33" s="60">
        <v>1</v>
      </c>
      <c r="M33" s="60"/>
      <c r="N33" s="60">
        <v>1</v>
      </c>
      <c r="O33" s="60"/>
      <c r="P33" s="60">
        <v>0.36751</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6.26911E-2</v>
      </c>
      <c r="E35" s="241"/>
      <c r="F35" s="241">
        <v>6.4191100000000001E-2</v>
      </c>
      <c r="G35" s="241"/>
      <c r="H35" s="241">
        <v>7.1191099999999993E-2</v>
      </c>
      <c r="I35" s="241"/>
      <c r="J35" s="241">
        <v>7.4691099999999996E-2</v>
      </c>
      <c r="K35" s="241"/>
      <c r="L35" s="241">
        <v>7.8191099999999999E-2</v>
      </c>
      <c r="M35" s="241"/>
      <c r="N35" s="241">
        <v>8.8191099999999994E-2</v>
      </c>
      <c r="O35" s="241"/>
      <c r="P35" s="241">
        <v>9.2191099999999998E-2</v>
      </c>
      <c r="Q35" s="241"/>
      <c r="R35" s="241">
        <v>9.2191099999999998E-2</v>
      </c>
      <c r="S35" s="68"/>
      <c r="T35" s="68" t="s">
        <v>83</v>
      </c>
      <c r="U35" s="68"/>
      <c r="V35" s="68" t="s">
        <v>83</v>
      </c>
      <c r="W35" s="68"/>
      <c r="X35" s="68" t="s">
        <v>83</v>
      </c>
      <c r="Y35" s="68" t="s">
        <v>83</v>
      </c>
      <c r="Z35" s="68"/>
      <c r="AA35" s="40"/>
      <c r="AB35" s="67">
        <f>SUMPRODUCT(D35:N35,D30:N30)/AB30</f>
        <v>6.8295091557881951E-2</v>
      </c>
      <c r="AC35" s="43"/>
      <c r="AD35" s="22"/>
    </row>
    <row r="36" spans="1:30" s="23" customFormat="1" x14ac:dyDescent="0.3">
      <c r="A36" s="47"/>
      <c r="B36" s="40" t="s">
        <v>10</v>
      </c>
      <c r="C36" s="69"/>
      <c r="D36" s="241">
        <v>5.7670800000000001E-2</v>
      </c>
      <c r="E36" s="241"/>
      <c r="F36" s="241">
        <v>5.9170800000000003E-2</v>
      </c>
      <c r="G36" s="241"/>
      <c r="H36" s="241">
        <v>6.6170800000000002E-2</v>
      </c>
      <c r="I36" s="241"/>
      <c r="J36" s="241">
        <v>6.9670800000000005E-2</v>
      </c>
      <c r="K36" s="241"/>
      <c r="L36" s="241">
        <v>7.3170799999999994E-2</v>
      </c>
      <c r="M36" s="241"/>
      <c r="N36" s="241">
        <v>8.3170800000000003E-2</v>
      </c>
      <c r="O36" s="241"/>
      <c r="P36" s="241">
        <v>8.7170800000000007E-2</v>
      </c>
      <c r="Q36" s="241"/>
      <c r="R36" s="241">
        <v>8.7170800000000007E-2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0.47986794857904175</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45245</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92</v>
      </c>
      <c r="Y48" s="40"/>
      <c r="Z48" s="76">
        <v>45061</v>
      </c>
      <c r="AA48" s="77"/>
      <c r="AB48" s="76">
        <v>45152</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92</v>
      </c>
      <c r="Y49" s="40"/>
      <c r="Z49" s="76">
        <v>45153</v>
      </c>
      <c r="AA49" s="77"/>
      <c r="AB49" s="76">
        <v>45244</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45244</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388</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264903</v>
      </c>
      <c r="S58" s="238"/>
      <c r="T58" s="237">
        <f>121+125</f>
        <v>246</v>
      </c>
      <c r="U58" s="237"/>
      <c r="V58" s="237">
        <v>7145</v>
      </c>
      <c r="W58" s="238"/>
      <c r="X58" s="238">
        <v>0</v>
      </c>
      <c r="Y58" s="238"/>
      <c r="Z58" s="238">
        <v>0</v>
      </c>
      <c r="AA58" s="238"/>
      <c r="AB58" s="237">
        <f>R58-T58-V58+X58-Z58</f>
        <v>257512</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264903</v>
      </c>
      <c r="S61" s="238"/>
      <c r="T61" s="238">
        <f>T58+T59</f>
        <v>246</v>
      </c>
      <c r="U61" s="238"/>
      <c r="V61" s="238">
        <f>SUM(V58:V60)</f>
        <v>7145</v>
      </c>
      <c r="W61" s="238"/>
      <c r="X61" s="238">
        <f>SUM(X58:X60)</f>
        <v>0</v>
      </c>
      <c r="Y61" s="238"/>
      <c r="Z61" s="238">
        <f>SUM(Z58:Z60)</f>
        <v>0</v>
      </c>
      <c r="AA61" s="238"/>
      <c r="AB61" s="238">
        <f>SUM(AB58:AB60)</f>
        <v>257512</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2</v>
      </c>
      <c r="S64" s="238"/>
      <c r="T64" s="238">
        <v>0</v>
      </c>
      <c r="U64" s="238"/>
      <c r="V64" s="238">
        <v>2</v>
      </c>
      <c r="W64" s="238"/>
      <c r="X64" s="238"/>
      <c r="Y64" s="238"/>
      <c r="Z64" s="238"/>
      <c r="AA64" s="238"/>
      <c r="AB64" s="238">
        <f>R64+V64</f>
        <v>4</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264905</v>
      </c>
      <c r="S67" s="238"/>
      <c r="T67" s="238"/>
      <c r="U67" s="238"/>
      <c r="V67" s="238"/>
      <c r="W67" s="238"/>
      <c r="X67" s="238"/>
      <c r="Y67" s="238"/>
      <c r="Z67" s="238"/>
      <c r="AA67" s="238"/>
      <c r="AB67" s="238">
        <f>SUM(AB61:AB66)</f>
        <v>257516</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+Z239</f>
        <v>45230</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2</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+T58+V58+Z58-1</f>
        <v>7390</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2156+1326-89-231</f>
        <v>3162</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64+54</f>
        <v>118</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192</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68</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378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783</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2024</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7392</v>
      </c>
      <c r="AA84" s="40"/>
      <c r="AB84" s="97">
        <f>SUM(AB71:AB83)</f>
        <v>6347</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7392</v>
      </c>
      <c r="AA87" s="40"/>
      <c r="AB87" s="97">
        <f>AB84+AB85+AB86</f>
        <v>6347</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-134-18-5</f>
        <v>-157</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1483</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-472</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-2452</v>
      </c>
      <c r="AC94" s="114"/>
      <c r="AD94" s="30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-444</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-349</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-396</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1</v>
      </c>
      <c r="AA101" s="112"/>
      <c r="AB101" s="98">
        <v>-1</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-1107</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-1000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-447</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-87</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-68</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-9-94</f>
        <v>-103</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30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-721</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-7389</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-7389</v>
      </c>
      <c r="AA130" s="97"/>
      <c r="AB130" s="97">
        <f>SUM(AB88:AB128)</f>
        <v>-6347</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4</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OCTOBER 2023</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+'July 23'!AB146</f>
        <v>3160.5499999999993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-68</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3092.5499999999993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+'July 23'!AB159</f>
        <v>579.85500000000002</v>
      </c>
      <c r="AC150" s="43"/>
      <c r="AD150" s="22"/>
      <c r="AE150" s="115"/>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c r="AE159" s="115"/>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+'July 23'!AB165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+'July 23'!AB173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1</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1</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-1</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+'July 23'!AB182</f>
        <v>3103</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311" t="s">
        <v>381</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237">
        <v>1107</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379</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783</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3427</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+'July 23'!AB190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382</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220</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AB187-AB189+AB188</f>
        <v>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+'July 23'!AB199</f>
        <v>1392</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237">
        <f>AB205</f>
        <v>986</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377</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237">
        <v>0</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222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AB83</f>
        <v>2024</v>
      </c>
      <c r="AC198" s="43"/>
      <c r="AD198" s="310"/>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7" customFormat="1" x14ac:dyDescent="0.3">
      <c r="A199" s="47"/>
      <c r="B199" s="40" t="s">
        <v>356</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f>AB195+AB196-AB198-AB197</f>
        <v>354</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9" customFormat="1" ht="16.2" thickBot="1" x14ac:dyDescent="0.35">
      <c r="A200" s="138"/>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126"/>
      <c r="AC200" s="10"/>
      <c r="AD200" s="5"/>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row>
    <row r="201" spans="1:262" x14ac:dyDescent="0.3">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134"/>
      <c r="AC201" s="4"/>
      <c r="AD201" s="5"/>
    </row>
    <row r="202" spans="1:262" s="136" customFormat="1" x14ac:dyDescent="0.3">
      <c r="A202" s="7"/>
      <c r="B202" s="125" t="s">
        <v>350</v>
      </c>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135"/>
      <c r="AC202" s="10"/>
      <c r="AD202" s="5"/>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row>
    <row r="203" spans="1:262" s="137" customFormat="1" x14ac:dyDescent="0.3">
      <c r="A203" s="47"/>
      <c r="B203" s="40" t="s">
        <v>209</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v>901</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40" t="s">
        <v>210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f>+'July 23'!AB207</f>
        <v>1013</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250</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v>986</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59" t="s">
        <v>223</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-AB103</f>
        <v>1000</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7" customFormat="1" x14ac:dyDescent="0.3">
      <c r="A207" s="47"/>
      <c r="B207" s="40" t="s">
        <v>211</v>
      </c>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98">
        <f>AB204-AB205+AB206</f>
        <v>1027</v>
      </c>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9" customFormat="1" ht="16.2" thickBot="1" x14ac:dyDescent="0.35">
      <c r="A208" s="138"/>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126"/>
      <c r="AC208" s="10"/>
      <c r="AD208" s="5"/>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row>
    <row r="209" spans="1:262" x14ac:dyDescent="0.3">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134"/>
      <c r="AC209" s="4"/>
      <c r="AD209" s="5"/>
    </row>
    <row r="210" spans="1:262" s="136" customFormat="1" x14ac:dyDescent="0.3">
      <c r="A210" s="7"/>
      <c r="B210" s="125" t="s">
        <v>229</v>
      </c>
      <c r="C210" s="99"/>
      <c r="D210" s="99"/>
      <c r="E210" s="99"/>
      <c r="F210" s="99"/>
      <c r="G210" s="99"/>
      <c r="H210" s="99"/>
      <c r="I210" s="99"/>
      <c r="J210" s="99"/>
      <c r="K210" s="99"/>
      <c r="L210" s="99"/>
      <c r="M210" s="99"/>
      <c r="N210" s="99"/>
      <c r="O210" s="99"/>
      <c r="P210" s="99"/>
      <c r="Q210" s="99"/>
      <c r="R210" s="99"/>
      <c r="S210" s="99"/>
      <c r="T210" s="99"/>
      <c r="U210" s="99"/>
      <c r="V210" s="99"/>
      <c r="W210" s="99"/>
      <c r="X210" s="99"/>
      <c r="Y210" s="233" t="s">
        <v>235</v>
      </c>
      <c r="Z210" s="233" t="s">
        <v>236</v>
      </c>
      <c r="AA210" s="12"/>
      <c r="AB210" s="234" t="s">
        <v>80</v>
      </c>
      <c r="AC210" s="10"/>
      <c r="AD210" s="5"/>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row>
    <row r="211" spans="1:262" s="137" customFormat="1" x14ac:dyDescent="0.3">
      <c r="A211" s="47"/>
      <c r="B211" s="40" t="s">
        <v>230</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+AB29*0.16</f>
        <v>98965.119999999995</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231</v>
      </c>
      <c r="C212" s="40"/>
      <c r="D212" s="40"/>
      <c r="E212" s="40"/>
      <c r="F212" s="40"/>
      <c r="G212" s="40"/>
      <c r="H212" s="40"/>
      <c r="I212" s="40"/>
      <c r="J212" s="40"/>
      <c r="K212" s="40"/>
      <c r="L212" s="40"/>
      <c r="M212" s="40"/>
      <c r="N212" s="40"/>
      <c r="O212" s="40"/>
      <c r="P212" s="40"/>
      <c r="Q212" s="40"/>
      <c r="R212" s="40"/>
      <c r="S212" s="40"/>
      <c r="T212" s="40"/>
      <c r="U212" s="40"/>
      <c r="V212" s="40"/>
      <c r="W212" s="40"/>
      <c r="X212" s="40"/>
      <c r="Y212" s="98">
        <f>+'July 23'!Y213</f>
        <v>0</v>
      </c>
      <c r="Z212" s="98">
        <f>+'July 23'!Z213</f>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232</v>
      </c>
      <c r="C213" s="40"/>
      <c r="D213" s="40"/>
      <c r="E213" s="40"/>
      <c r="F213" s="40"/>
      <c r="G213" s="40"/>
      <c r="H213" s="40"/>
      <c r="I213" s="40"/>
      <c r="J213" s="40"/>
      <c r="K213" s="40"/>
      <c r="L213" s="40"/>
      <c r="M213" s="40"/>
      <c r="N213" s="40"/>
      <c r="O213" s="40"/>
      <c r="P213" s="40"/>
      <c r="Q213" s="40"/>
      <c r="R213" s="40"/>
      <c r="S213" s="40"/>
      <c r="T213" s="40"/>
      <c r="U213" s="40"/>
      <c r="V213" s="40"/>
      <c r="W213" s="40"/>
      <c r="X213" s="40"/>
      <c r="Y213" s="97">
        <v>0</v>
      </c>
      <c r="Z213" s="97">
        <v>0</v>
      </c>
      <c r="AA213" s="40"/>
      <c r="AB213" s="98">
        <f>Y213+Z213</f>
        <v>0</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233</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Y212+Y213</f>
        <v>0</v>
      </c>
      <c r="Z214" s="98">
        <f>Z213+Z212</f>
        <v>0</v>
      </c>
      <c r="AA214" s="40"/>
      <c r="AB214" s="98">
        <f>Y214+Z214</f>
        <v>0</v>
      </c>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7" customFormat="1" x14ac:dyDescent="0.3">
      <c r="A215" s="47"/>
      <c r="B215" s="40" t="s">
        <v>234</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f>Y211-Y214-Z214</f>
        <v>98965.119999999995</v>
      </c>
      <c r="Z215" s="70"/>
      <c r="AA215" s="40"/>
      <c r="AB215" s="98"/>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9" customFormat="1" ht="16.2" thickBot="1" x14ac:dyDescent="0.35">
      <c r="A216" s="138"/>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126"/>
      <c r="AC216" s="10"/>
      <c r="AD216" s="5"/>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row>
    <row r="217" spans="1:262" x14ac:dyDescent="0.3">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134"/>
      <c r="AC217" s="4"/>
      <c r="AD217" s="5"/>
    </row>
    <row r="218" spans="1:262" s="136" customFormat="1" x14ac:dyDescent="0.3">
      <c r="A218" s="7"/>
      <c r="B218" s="125" t="s">
        <v>261</v>
      </c>
      <c r="C218" s="99"/>
      <c r="D218" s="99"/>
      <c r="E218" s="99"/>
      <c r="F218" s="99"/>
      <c r="G218" s="99"/>
      <c r="H218" s="99"/>
      <c r="I218" s="99"/>
      <c r="J218" s="99"/>
      <c r="K218" s="99"/>
      <c r="L218" s="99"/>
      <c r="M218" s="99"/>
      <c r="N218" s="99"/>
      <c r="O218" s="99"/>
      <c r="P218" s="99"/>
      <c r="Q218" s="99"/>
      <c r="R218" s="99"/>
      <c r="S218" s="99"/>
      <c r="T218" s="99"/>
      <c r="U218" s="99"/>
      <c r="V218" s="99"/>
      <c r="W218" s="99"/>
      <c r="X218" s="99"/>
      <c r="Y218" s="233"/>
      <c r="Z218" s="233"/>
      <c r="AA218" s="12"/>
      <c r="AB218" s="234" t="s">
        <v>80</v>
      </c>
      <c r="AC218" s="10"/>
      <c r="AD218" s="5"/>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row>
    <row r="219" spans="1:262" s="137" customFormat="1" x14ac:dyDescent="0.3">
      <c r="A219" s="47"/>
      <c r="B219" s="40" t="s">
        <v>373</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70"/>
      <c r="AA219" s="40"/>
      <c r="AB219" s="237">
        <v>205873</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306</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237">
        <v>211888</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260</v>
      </c>
      <c r="C221" s="40"/>
      <c r="D221" s="40"/>
      <c r="E221" s="40"/>
      <c r="F221" s="40"/>
      <c r="G221" s="40"/>
      <c r="H221" s="40"/>
      <c r="I221" s="40"/>
      <c r="J221" s="40"/>
      <c r="K221" s="40"/>
      <c r="L221" s="40"/>
      <c r="M221" s="40"/>
      <c r="N221" s="40"/>
      <c r="O221" s="40"/>
      <c r="P221" s="40"/>
      <c r="Q221" s="40"/>
      <c r="R221" s="40"/>
      <c r="S221" s="40"/>
      <c r="T221" s="40"/>
      <c r="U221" s="40"/>
      <c r="V221" s="40"/>
      <c r="W221" s="40"/>
      <c r="X221" s="40"/>
      <c r="Y221" s="98"/>
      <c r="Z221" s="98"/>
      <c r="AA221" s="40"/>
      <c r="AB221" s="98">
        <f>AB219-AB220</f>
        <v>-6015</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7" customFormat="1" x14ac:dyDescent="0.3">
      <c r="A222" s="47"/>
      <c r="B222" s="40" t="s">
        <v>303</v>
      </c>
      <c r="C222" s="40"/>
      <c r="D222" s="40"/>
      <c r="E222" s="40"/>
      <c r="F222" s="40"/>
      <c r="G222" s="40"/>
      <c r="H222" s="40"/>
      <c r="I222" s="40"/>
      <c r="J222" s="40"/>
      <c r="K222" s="40"/>
      <c r="L222" s="40"/>
      <c r="M222" s="40"/>
      <c r="N222" s="40"/>
      <c r="O222" s="40"/>
      <c r="P222" s="40"/>
      <c r="Q222" s="40"/>
      <c r="R222" s="40"/>
      <c r="S222" s="40"/>
      <c r="T222" s="40"/>
      <c r="U222" s="40"/>
      <c r="V222" s="40"/>
      <c r="W222" s="40"/>
      <c r="X222" s="40"/>
      <c r="Y222" s="97"/>
      <c r="Z222" s="97"/>
      <c r="AA222" s="40"/>
      <c r="AB222" s="313">
        <v>2.3670550581826402E-2</v>
      </c>
      <c r="AC222" s="43"/>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39" customFormat="1" ht="16.2" thickBot="1" x14ac:dyDescent="0.35">
      <c r="A223" s="138"/>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126"/>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4"/>
      <c r="AC224" s="4"/>
      <c r="AD224" s="5"/>
    </row>
    <row r="225" spans="1:30" x14ac:dyDescent="0.3">
      <c r="A225" s="7"/>
      <c r="B225" s="125" t="s">
        <v>39</v>
      </c>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140"/>
      <c r="AC225" s="10"/>
      <c r="AD225" s="5"/>
    </row>
    <row r="226" spans="1:30" s="23" customFormat="1" x14ac:dyDescent="0.3">
      <c r="A226" s="47"/>
      <c r="B226" s="40" t="s">
        <v>40</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f>(AB87+AB89+AB90+AB91+AB92)/-(AB93+AB94)</f>
        <v>2.6234610123119015</v>
      </c>
      <c r="AC226" s="43" t="s">
        <v>81</v>
      </c>
      <c r="AD226" s="22"/>
    </row>
    <row r="227" spans="1:30" s="23" customFormat="1" x14ac:dyDescent="0.3">
      <c r="A227" s="47"/>
      <c r="B227" s="40" t="s">
        <v>41</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3.47</v>
      </c>
      <c r="AC227" s="43" t="s">
        <v>81</v>
      </c>
      <c r="AD227" s="22"/>
    </row>
    <row r="228" spans="1:30" s="23" customFormat="1" x14ac:dyDescent="0.3">
      <c r="A228" s="47"/>
      <c r="B228" s="40" t="s">
        <v>144</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(AB87+AB89+AB90+AB91+AB92+AB93+AB94)/-(AB95)</f>
        <v>10.691441441441441</v>
      </c>
      <c r="AC228" s="43" t="s">
        <v>81</v>
      </c>
      <c r="AD228" s="22"/>
    </row>
    <row r="229" spans="1:30" s="23" customFormat="1" x14ac:dyDescent="0.3">
      <c r="A229" s="47"/>
      <c r="B229" s="40" t="s">
        <v>145</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21.46</v>
      </c>
      <c r="AC229" s="43" t="s">
        <v>81</v>
      </c>
      <c r="AD229" s="22"/>
    </row>
    <row r="230" spans="1:30" s="23" customFormat="1" x14ac:dyDescent="0.3">
      <c r="A230" s="47"/>
      <c r="B230" s="40" t="s">
        <v>146</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(AB87+AB89+AB90+AB91+AB92+AB93+AB94+AB95)/-(AB97)</f>
        <v>12.329512893982807</v>
      </c>
      <c r="AC230" s="43" t="s">
        <v>81</v>
      </c>
      <c r="AD230" s="22"/>
    </row>
    <row r="231" spans="1:30" s="23" customFormat="1" x14ac:dyDescent="0.3">
      <c r="A231" s="47"/>
      <c r="B231" s="40" t="s">
        <v>147</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24.64</v>
      </c>
      <c r="AC231" s="43" t="s">
        <v>81</v>
      </c>
      <c r="AD231" s="22"/>
    </row>
    <row r="232" spans="1:30" s="23" customFormat="1" x14ac:dyDescent="0.3">
      <c r="A232" s="47"/>
      <c r="B232" s="40" t="s">
        <v>176</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1">
        <f>(AB87+AB89+AB90+AB91+AB92+AB93+AB94+AB95+AB97)/-(AB98)</f>
        <v>9.9848484848484844</v>
      </c>
      <c r="AC232" s="43" t="s">
        <v>81</v>
      </c>
      <c r="AD232" s="22"/>
    </row>
    <row r="233" spans="1:30" s="23" customFormat="1" x14ac:dyDescent="0.3">
      <c r="A233" s="47"/>
      <c r="B233" s="40" t="s">
        <v>177</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2">
        <v>19.87</v>
      </c>
      <c r="AC233" s="43" t="s">
        <v>81</v>
      </c>
      <c r="AD233" s="22"/>
    </row>
    <row r="234" spans="1:30" s="23" customFormat="1" x14ac:dyDescent="0.3">
      <c r="A234" s="47"/>
      <c r="B234" s="40" t="s">
        <v>163</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1">
        <f>(AB87+AB89+AB90+AB91+AB92+AB93+AB94+AB95+AB97+AB98)/-(AB107)</f>
        <v>7.9597315436241614</v>
      </c>
      <c r="AC234" s="43" t="s">
        <v>81</v>
      </c>
      <c r="AD234" s="22"/>
    </row>
    <row r="235" spans="1:30" s="23" customFormat="1" x14ac:dyDescent="0.3">
      <c r="A235" s="47"/>
      <c r="B235" s="40" t="s">
        <v>164</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2">
        <v>15.05</v>
      </c>
      <c r="AC235" s="43" t="s">
        <v>81</v>
      </c>
      <c r="AD235" s="22"/>
    </row>
    <row r="236" spans="1:30" s="23" customFormat="1" x14ac:dyDescent="0.3">
      <c r="A236" s="18"/>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21"/>
      <c r="AD236" s="22"/>
    </row>
    <row r="237" spans="1:30" s="23" customFormat="1" x14ac:dyDescent="0.3">
      <c r="A237" s="18"/>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1"/>
      <c r="AD237" s="22"/>
    </row>
    <row r="238" spans="1:30" s="23" customFormat="1" ht="18.600000000000001" thickBot="1" x14ac:dyDescent="0.4">
      <c r="A238" s="83"/>
      <c r="B238" s="84" t="str">
        <f>B134</f>
        <v>PM26 INVESTOR REPORT QUARTER ENDING OCTOBER 2023</v>
      </c>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7"/>
      <c r="AD238" s="22"/>
    </row>
    <row r="239" spans="1:30" x14ac:dyDescent="0.3">
      <c r="A239" s="119"/>
      <c r="B239" s="120" t="s">
        <v>42</v>
      </c>
      <c r="C239" s="143"/>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v>45230</v>
      </c>
      <c r="AA239" s="121"/>
      <c r="AB239" s="121"/>
      <c r="AC239" s="123"/>
      <c r="AD239" s="5"/>
    </row>
    <row r="240" spans="1:30" x14ac:dyDescent="0.3">
      <c r="A240" s="145"/>
      <c r="B240" s="146"/>
      <c r="C240" s="147"/>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9"/>
      <c r="AB240" s="9"/>
      <c r="AC240" s="10"/>
      <c r="AD240" s="5"/>
    </row>
    <row r="241" spans="1:30" s="23" customFormat="1" x14ac:dyDescent="0.3">
      <c r="A241" s="47"/>
      <c r="B241" s="40" t="s">
        <v>43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3.773E-2</v>
      </c>
      <c r="AA241" s="40"/>
      <c r="AB241" s="40"/>
      <c r="AC241" s="43"/>
      <c r="AD241" s="22"/>
    </row>
    <row r="242" spans="1:30" s="23" customFormat="1" x14ac:dyDescent="0.3">
      <c r="A242" s="47"/>
      <c r="B242" s="40" t="s">
        <v>132</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v>2.0008281159907649E-2</v>
      </c>
      <c r="AA242" s="40"/>
      <c r="AB242" s="40"/>
      <c r="AC242" s="43"/>
      <c r="AD242" s="22"/>
    </row>
    <row r="243" spans="1:30" s="23" customFormat="1" x14ac:dyDescent="0.3">
      <c r="A243" s="47"/>
      <c r="B243" s="40" t="s">
        <v>44</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Z241-Z242</f>
        <v>1.7721718840092351E-2</v>
      </c>
      <c r="AA243" s="40"/>
      <c r="AB243" s="40"/>
      <c r="AC243" s="43"/>
      <c r="AD243" s="22"/>
    </row>
    <row r="244" spans="1:30" s="23" customFormat="1" x14ac:dyDescent="0.3">
      <c r="A244" s="47"/>
      <c r="B244" s="40" t="s">
        <v>45</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v>4.5971299570493E-2</v>
      </c>
      <c r="AA244" s="40"/>
      <c r="AB244" s="40"/>
      <c r="AC244" s="43"/>
      <c r="AD244" s="22"/>
    </row>
    <row r="245" spans="1:30" s="23" customFormat="1" x14ac:dyDescent="0.3">
      <c r="A245" s="47"/>
      <c r="B245" s="40" t="s">
        <v>133</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+AB35</f>
        <v>6.8295091557881951E-2</v>
      </c>
      <c r="AA245" s="40"/>
      <c r="AB245" s="40"/>
      <c r="AC245" s="43"/>
      <c r="AD245" s="22"/>
    </row>
    <row r="246" spans="1:30" s="23" customFormat="1" x14ac:dyDescent="0.3">
      <c r="A246" s="47"/>
      <c r="B246" s="40" t="s">
        <v>383</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v>0</v>
      </c>
      <c r="AA246" s="40"/>
      <c r="AB246" s="40"/>
      <c r="AC246" s="43"/>
      <c r="AD246" s="22"/>
    </row>
    <row r="247" spans="1:30" s="23" customFormat="1" x14ac:dyDescent="0.3">
      <c r="A247" s="47"/>
      <c r="B247" s="40" t="s">
        <v>119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67">
        <f>(+AB87+AB89+AB92)/R67</f>
        <v>2.9557765991581889E-2</v>
      </c>
      <c r="AA247" s="40"/>
      <c r="AB247" s="40"/>
      <c r="AC247" s="43"/>
      <c r="AD247" s="22"/>
    </row>
    <row r="248" spans="1:30" s="23" customFormat="1" x14ac:dyDescent="0.3">
      <c r="A248" s="47"/>
      <c r="B248" s="40" t="s">
        <v>112</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0" s="23" customFormat="1" x14ac:dyDescent="0.3">
      <c r="A249" s="47"/>
      <c r="B249" s="40" t="s">
        <v>148</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0" s="23" customFormat="1" x14ac:dyDescent="0.3">
      <c r="A250" s="47"/>
      <c r="B250" s="40" t="s">
        <v>149</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0" s="23" customFormat="1" x14ac:dyDescent="0.3">
      <c r="A251" s="47"/>
      <c r="B251" s="40" t="s">
        <v>178</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0" s="23" customFormat="1" x14ac:dyDescent="0.3">
      <c r="A252" s="47"/>
      <c r="B252" s="40" t="s">
        <v>165</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0" s="23" customFormat="1" x14ac:dyDescent="0.3">
      <c r="A253" s="47"/>
      <c r="B253" s="40" t="s">
        <v>189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0" s="23" customFormat="1" x14ac:dyDescent="0.3">
      <c r="A254" s="47"/>
      <c r="B254" s="40" t="s">
        <v>190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150">
        <v>53097</v>
      </c>
      <c r="AA254" s="40"/>
      <c r="AB254" s="40"/>
      <c r="AC254" s="43"/>
      <c r="AD254" s="22"/>
    </row>
    <row r="255" spans="1:30" s="23" customFormat="1" x14ac:dyDescent="0.3">
      <c r="A255" s="47"/>
      <c r="B255" s="40" t="s">
        <v>47</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18.28</v>
      </c>
      <c r="AA255" s="40" t="s">
        <v>76</v>
      </c>
      <c r="AB255" s="40"/>
      <c r="AC255" s="43"/>
      <c r="AD255" s="22"/>
    </row>
    <row r="256" spans="1:30" s="23" customFormat="1" x14ac:dyDescent="0.3">
      <c r="A256" s="47"/>
      <c r="B256" s="40" t="s">
        <v>48</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71">
        <v>14.219181606791444</v>
      </c>
      <c r="AA256" s="40" t="s">
        <v>76</v>
      </c>
      <c r="AB256" s="40"/>
      <c r="AC256" s="43"/>
      <c r="AD256" s="22"/>
    </row>
    <row r="257" spans="1:31" s="23" customFormat="1" x14ac:dyDescent="0.3">
      <c r="A257" s="47"/>
      <c r="B257" s="40" t="s">
        <v>49</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f>(+T58+V58+Z58)/(R58+R64+R65)</f>
        <v>2.7900568128196902E-2</v>
      </c>
      <c r="AA257" s="40"/>
      <c r="AB257" s="40"/>
      <c r="AC257" s="43"/>
      <c r="AD257" s="22"/>
      <c r="AE257" s="271"/>
    </row>
    <row r="258" spans="1:31" s="23" customFormat="1" x14ac:dyDescent="0.3">
      <c r="A258" s="47"/>
      <c r="B258" s="40" t="s">
        <v>50</v>
      </c>
      <c r="C258" s="149"/>
      <c r="D258" s="73"/>
      <c r="E258" s="73"/>
      <c r="F258" s="73"/>
      <c r="G258" s="73"/>
      <c r="H258" s="73"/>
      <c r="I258" s="73"/>
      <c r="J258" s="73"/>
      <c r="K258" s="73"/>
      <c r="L258" s="73"/>
      <c r="M258" s="73"/>
      <c r="N258" s="73"/>
      <c r="O258" s="73"/>
      <c r="P258" s="73"/>
      <c r="Q258" s="73"/>
      <c r="R258" s="73"/>
      <c r="S258" s="73"/>
      <c r="T258" s="73"/>
      <c r="U258" s="73"/>
      <c r="V258" s="73"/>
      <c r="W258" s="73"/>
      <c r="X258" s="73"/>
      <c r="Y258" s="73"/>
      <c r="Z258" s="67">
        <v>0.18160000000000001</v>
      </c>
      <c r="AA258" s="40"/>
      <c r="AB258" s="40"/>
      <c r="AC258" s="43"/>
      <c r="AD258" s="22"/>
    </row>
    <row r="259" spans="1:31" x14ac:dyDescent="0.3">
      <c r="A259" s="145"/>
      <c r="B259" s="151"/>
      <c r="C259" s="151"/>
      <c r="D259" s="99"/>
      <c r="E259" s="99"/>
      <c r="F259" s="99"/>
      <c r="G259" s="99"/>
      <c r="H259" s="99"/>
      <c r="I259" s="99"/>
      <c r="J259" s="99"/>
      <c r="K259" s="99"/>
      <c r="L259" s="99"/>
      <c r="M259" s="99"/>
      <c r="N259" s="99"/>
      <c r="O259" s="99"/>
      <c r="P259" s="99"/>
      <c r="Q259" s="99"/>
      <c r="R259" s="99"/>
      <c r="S259" s="99"/>
      <c r="T259" s="99"/>
      <c r="U259" s="99"/>
      <c r="V259" s="99"/>
      <c r="W259" s="99"/>
      <c r="X259" s="99"/>
      <c r="Y259" s="99"/>
      <c r="Z259" s="126"/>
      <c r="AA259" s="99"/>
      <c r="AB259" s="152"/>
      <c r="AC259" s="10"/>
      <c r="AD259" s="5"/>
    </row>
    <row r="260" spans="1:31" x14ac:dyDescent="0.3">
      <c r="A260" s="153"/>
      <c r="B260" s="102" t="s">
        <v>51</v>
      </c>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t="s">
        <v>69</v>
      </c>
      <c r="Z260" s="154" t="s">
        <v>74</v>
      </c>
      <c r="AA260" s="34"/>
      <c r="AB260" s="34"/>
      <c r="AC260" s="36"/>
      <c r="AD260" s="5"/>
    </row>
    <row r="261" spans="1:31" s="23" customFormat="1" x14ac:dyDescent="0.3">
      <c r="A261" s="155"/>
      <c r="B261" s="37" t="s">
        <v>52</v>
      </c>
      <c r="C261" s="10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v>0</v>
      </c>
      <c r="Z261" s="157">
        <v>0</v>
      </c>
      <c r="AA261" s="37"/>
      <c r="AB261" s="158"/>
      <c r="AC261" s="159"/>
      <c r="AD261" s="22"/>
    </row>
    <row r="262" spans="1:31" s="23" customFormat="1" x14ac:dyDescent="0.3">
      <c r="A262" s="160"/>
      <c r="B262" s="40" t="s">
        <v>97</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+X314</f>
        <v>3</v>
      </c>
      <c r="Z262" s="162">
        <f>+Z314</f>
        <v>744</v>
      </c>
      <c r="AA262" s="40"/>
      <c r="AB262" s="163"/>
      <c r="AC262" s="164"/>
      <c r="AD262" s="22"/>
    </row>
    <row r="263" spans="1:31" s="23" customFormat="1" x14ac:dyDescent="0.3">
      <c r="A263" s="160"/>
      <c r="B263" s="40" t="s">
        <v>53</v>
      </c>
      <c r="C263" s="97"/>
      <c r="D263" s="48"/>
      <c r="E263" s="48"/>
      <c r="F263" s="48"/>
      <c r="G263" s="48"/>
      <c r="H263" s="48"/>
      <c r="I263" s="48"/>
      <c r="J263" s="48"/>
      <c r="K263" s="48"/>
      <c r="L263" s="48"/>
      <c r="M263" s="48"/>
      <c r="N263" s="48"/>
      <c r="O263" s="48"/>
      <c r="P263" s="48"/>
      <c r="Q263" s="48"/>
      <c r="R263" s="48"/>
      <c r="S263" s="48"/>
      <c r="T263" s="48"/>
      <c r="U263" s="48"/>
      <c r="V263" s="48"/>
      <c r="W263" s="48"/>
      <c r="X263" s="48"/>
      <c r="Y263" s="161">
        <f>+X336</f>
        <v>1</v>
      </c>
      <c r="Z263" s="162">
        <f>+Z336</f>
        <v>195</v>
      </c>
      <c r="AA263" s="40"/>
      <c r="AB263" s="163"/>
      <c r="AC263" s="164"/>
      <c r="AD263" s="22"/>
    </row>
    <row r="264" spans="1:31" x14ac:dyDescent="0.3">
      <c r="A264" s="165"/>
      <c r="B264" s="166" t="s">
        <v>166</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Z58</f>
        <v>0</v>
      </c>
      <c r="AA264" s="59"/>
      <c r="AB264" s="168"/>
      <c r="AC264" s="169"/>
      <c r="AD264" s="5"/>
    </row>
    <row r="265" spans="1:31" x14ac:dyDescent="0.3">
      <c r="A265" s="165"/>
      <c r="B265" s="166" t="s">
        <v>255</v>
      </c>
      <c r="C265" s="167"/>
      <c r="D265" s="59"/>
      <c r="E265" s="59"/>
      <c r="F265" s="59"/>
      <c r="G265" s="59"/>
      <c r="H265" s="59"/>
      <c r="I265" s="59"/>
      <c r="J265" s="59"/>
      <c r="K265" s="59"/>
      <c r="L265" s="59"/>
      <c r="M265" s="59"/>
      <c r="N265" s="59"/>
      <c r="O265" s="59"/>
      <c r="P265" s="59"/>
      <c r="Q265" s="59"/>
      <c r="R265" s="59"/>
      <c r="S265" s="59"/>
      <c r="T265" s="59"/>
      <c r="U265" s="59"/>
      <c r="V265" s="59"/>
      <c r="W265" s="59"/>
      <c r="X265" s="59"/>
      <c r="Y265" s="112"/>
      <c r="Z265" s="162">
        <f>-T64</f>
        <v>0</v>
      </c>
      <c r="AA265" s="59"/>
      <c r="AB265" s="168"/>
      <c r="AC265" s="169"/>
      <c r="AD265" s="5"/>
    </row>
    <row r="266" spans="1:31" x14ac:dyDescent="0.3">
      <c r="A266" s="170"/>
      <c r="B266" s="166" t="s">
        <v>54</v>
      </c>
      <c r="C266" s="171"/>
      <c r="D266" s="59"/>
      <c r="E266" s="59"/>
      <c r="F266" s="59"/>
      <c r="G266" s="59"/>
      <c r="H266" s="59"/>
      <c r="I266" s="59"/>
      <c r="J266" s="59"/>
      <c r="K266" s="59"/>
      <c r="L266" s="59"/>
      <c r="M266" s="59"/>
      <c r="N266" s="59"/>
      <c r="O266" s="59"/>
      <c r="P266" s="59"/>
      <c r="Q266" s="59"/>
      <c r="R266" s="59"/>
      <c r="S266" s="59"/>
      <c r="T266" s="59"/>
      <c r="U266" s="59"/>
      <c r="V266" s="59"/>
      <c r="W266" s="59"/>
      <c r="X266" s="59"/>
      <c r="Y266" s="112"/>
      <c r="Z266" s="172"/>
      <c r="AA266" s="59"/>
      <c r="AB266" s="168"/>
      <c r="AC266" s="173"/>
      <c r="AD266" s="5"/>
    </row>
    <row r="267" spans="1:31" s="23" customFormat="1" x14ac:dyDescent="0.3">
      <c r="A267" s="174"/>
      <c r="B267" s="40" t="s">
        <v>55</v>
      </c>
      <c r="C267" s="40"/>
      <c r="D267" s="40"/>
      <c r="E267" s="40"/>
      <c r="F267" s="40"/>
      <c r="G267" s="40"/>
      <c r="H267" s="40"/>
      <c r="I267" s="40"/>
      <c r="J267" s="40"/>
      <c r="K267" s="40"/>
      <c r="L267" s="40"/>
      <c r="M267" s="40"/>
      <c r="N267" s="40"/>
      <c r="O267" s="40"/>
      <c r="P267" s="40"/>
      <c r="Q267" s="40"/>
      <c r="R267" s="40"/>
      <c r="S267" s="40"/>
      <c r="T267" s="40"/>
      <c r="U267" s="40"/>
      <c r="V267" s="40"/>
      <c r="W267" s="40"/>
      <c r="X267" s="40"/>
      <c r="Y267" s="48"/>
      <c r="Z267" s="162">
        <f>AB169</f>
        <v>1</v>
      </c>
      <c r="AA267" s="40"/>
      <c r="AB267" s="163"/>
      <c r="AC267" s="175"/>
      <c r="AD267" s="22"/>
    </row>
    <row r="268" spans="1:31" s="23" customFormat="1" x14ac:dyDescent="0.3">
      <c r="A268" s="160"/>
      <c r="B268" s="40" t="s">
        <v>56</v>
      </c>
      <c r="C268" s="97"/>
      <c r="D268" s="40"/>
      <c r="E268" s="40"/>
      <c r="F268" s="40"/>
      <c r="G268" s="40"/>
      <c r="H268" s="40"/>
      <c r="I268" s="40"/>
      <c r="J268" s="40"/>
      <c r="K268" s="40"/>
      <c r="L268" s="40"/>
      <c r="M268" s="40"/>
      <c r="N268" s="40"/>
      <c r="O268" s="40"/>
      <c r="P268" s="40"/>
      <c r="Q268" s="40"/>
      <c r="R268" s="40"/>
      <c r="S268" s="40"/>
      <c r="T268" s="40"/>
      <c r="U268" s="40"/>
      <c r="V268" s="40"/>
      <c r="W268" s="40"/>
      <c r="X268" s="40"/>
      <c r="Y268" s="48"/>
      <c r="Z268" s="162">
        <f>'July 23'!Z268+Z267</f>
        <v>36</v>
      </c>
      <c r="AA268" s="40"/>
      <c r="AB268" s="163"/>
      <c r="AC268" s="175"/>
      <c r="AD268" s="22"/>
    </row>
    <row r="269" spans="1:31" x14ac:dyDescent="0.3">
      <c r="A269" s="170"/>
      <c r="B269" s="166" t="s">
        <v>125</v>
      </c>
      <c r="C269" s="171"/>
      <c r="D269" s="59"/>
      <c r="E269" s="59"/>
      <c r="F269" s="59"/>
      <c r="G269" s="59"/>
      <c r="H269" s="59"/>
      <c r="I269" s="59"/>
      <c r="J269" s="59"/>
      <c r="K269" s="59"/>
      <c r="L269" s="59"/>
      <c r="M269" s="59"/>
      <c r="N269" s="59"/>
      <c r="O269" s="59"/>
      <c r="P269" s="59"/>
      <c r="Q269" s="59"/>
      <c r="R269" s="59"/>
      <c r="S269" s="59"/>
      <c r="T269" s="59"/>
      <c r="U269" s="59"/>
      <c r="V269" s="59"/>
      <c r="W269" s="59"/>
      <c r="X269" s="59"/>
      <c r="Y269" s="176"/>
      <c r="Z269" s="172"/>
      <c r="AA269" s="59"/>
      <c r="AB269" s="168"/>
      <c r="AC269" s="173"/>
      <c r="AD269" s="5"/>
    </row>
    <row r="270" spans="1:31" s="23" customFormat="1" x14ac:dyDescent="0.3">
      <c r="A270" s="174"/>
      <c r="B270" s="40" t="s">
        <v>134</v>
      </c>
      <c r="C270" s="4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1" s="23" customFormat="1" x14ac:dyDescent="0.3">
      <c r="A271" s="160"/>
      <c r="B271" s="40" t="s">
        <v>57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1" s="23" customFormat="1" x14ac:dyDescent="0.3">
      <c r="A272" s="160"/>
      <c r="B272" s="40" t="s">
        <v>58</v>
      </c>
      <c r="C272" s="70"/>
      <c r="D272" s="40"/>
      <c r="E272" s="40"/>
      <c r="F272" s="40"/>
      <c r="G272" s="40"/>
      <c r="H272" s="40"/>
      <c r="I272" s="40"/>
      <c r="J272" s="40"/>
      <c r="K272" s="40"/>
      <c r="L272" s="40"/>
      <c r="M272" s="40"/>
      <c r="N272" s="40"/>
      <c r="O272" s="40"/>
      <c r="P272" s="40"/>
      <c r="Q272" s="40"/>
      <c r="R272" s="40"/>
      <c r="S272" s="40"/>
      <c r="T272" s="40"/>
      <c r="U272" s="40"/>
      <c r="V272" s="40"/>
      <c r="W272" s="40"/>
      <c r="X272" s="40"/>
      <c r="Y272" s="40"/>
      <c r="Z272" s="177">
        <v>0</v>
      </c>
      <c r="AA272" s="40"/>
      <c r="AB272" s="163"/>
      <c r="AC272" s="175"/>
      <c r="AD272" s="22"/>
    </row>
    <row r="273" spans="1:31" x14ac:dyDescent="0.3">
      <c r="A273" s="165"/>
      <c r="B273" s="166" t="s">
        <v>116</v>
      </c>
      <c r="C273" s="178"/>
      <c r="D273" s="59"/>
      <c r="E273" s="59"/>
      <c r="F273" s="59"/>
      <c r="G273" s="59"/>
      <c r="H273" s="59"/>
      <c r="I273" s="59"/>
      <c r="J273" s="59"/>
      <c r="K273" s="59"/>
      <c r="L273" s="59"/>
      <c r="M273" s="59"/>
      <c r="N273" s="59"/>
      <c r="O273" s="59"/>
      <c r="P273" s="59"/>
      <c r="Q273" s="59"/>
      <c r="R273" s="59"/>
      <c r="S273" s="59"/>
      <c r="T273" s="59"/>
      <c r="U273" s="59"/>
      <c r="V273" s="59"/>
      <c r="W273" s="59"/>
      <c r="X273" s="59"/>
      <c r="Y273" s="112"/>
      <c r="Z273" s="179"/>
      <c r="AA273" s="59"/>
      <c r="AB273" s="168"/>
      <c r="AC273" s="173"/>
      <c r="AD273" s="5"/>
    </row>
    <row r="274" spans="1:31" s="23" customFormat="1" x14ac:dyDescent="0.3">
      <c r="A274" s="160"/>
      <c r="B274" s="40" t="s">
        <v>134</v>
      </c>
      <c r="C274" s="70"/>
      <c r="D274" s="40"/>
      <c r="E274" s="40"/>
      <c r="F274" s="40"/>
      <c r="G274" s="40"/>
      <c r="H274" s="40"/>
      <c r="I274" s="40"/>
      <c r="J274" s="40"/>
      <c r="K274" s="40"/>
      <c r="L274" s="40"/>
      <c r="M274" s="40"/>
      <c r="N274" s="40"/>
      <c r="O274" s="40"/>
      <c r="P274" s="40"/>
      <c r="Q274" s="40"/>
      <c r="R274" s="40"/>
      <c r="S274" s="40"/>
      <c r="T274" s="40"/>
      <c r="U274" s="40"/>
      <c r="V274" s="40"/>
      <c r="W274" s="40"/>
      <c r="X274" s="40"/>
      <c r="Y274" s="48">
        <v>0</v>
      </c>
      <c r="Z274" s="162">
        <v>0</v>
      </c>
      <c r="AA274" s="40"/>
      <c r="AB274" s="163"/>
      <c r="AC274" s="175"/>
      <c r="AD274" s="22"/>
    </row>
    <row r="275" spans="1:31" s="23" customFormat="1" x14ac:dyDescent="0.3">
      <c r="A275" s="160"/>
      <c r="B275" s="40" t="s">
        <v>117</v>
      </c>
      <c r="C275" s="70"/>
      <c r="D275" s="40"/>
      <c r="E275" s="40"/>
      <c r="F275" s="40"/>
      <c r="G275" s="40"/>
      <c r="H275" s="40"/>
      <c r="I275" s="40"/>
      <c r="J275" s="40"/>
      <c r="K275" s="40"/>
      <c r="L275" s="40"/>
      <c r="M275" s="40"/>
      <c r="N275" s="40"/>
      <c r="O275" s="40"/>
      <c r="P275" s="40"/>
      <c r="Q275" s="40"/>
      <c r="R275" s="40"/>
      <c r="S275" s="40"/>
      <c r="T275" s="40"/>
      <c r="U275" s="40"/>
      <c r="V275" s="40"/>
      <c r="W275" s="40"/>
      <c r="X275" s="40"/>
      <c r="Y275" s="40"/>
      <c r="Z275" s="177">
        <v>0</v>
      </c>
      <c r="AA275" s="40"/>
      <c r="AB275" s="163"/>
      <c r="AC275" s="175"/>
      <c r="AD275" s="22"/>
    </row>
    <row r="276" spans="1:31"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112"/>
      <c r="Z276" s="179"/>
      <c r="AA276" s="59"/>
      <c r="AB276" s="168"/>
      <c r="AC276" s="173"/>
      <c r="AD276" s="5"/>
    </row>
    <row r="277" spans="1:31" x14ac:dyDescent="0.3">
      <c r="A277" s="165"/>
      <c r="B277" s="171"/>
      <c r="C277" s="178"/>
      <c r="D277" s="59"/>
      <c r="E277" s="59"/>
      <c r="F277" s="59"/>
      <c r="G277" s="59"/>
      <c r="H277" s="59"/>
      <c r="I277" s="59"/>
      <c r="J277" s="59"/>
      <c r="K277" s="59"/>
      <c r="L277" s="59"/>
      <c r="M277" s="59"/>
      <c r="N277" s="59"/>
      <c r="O277" s="59"/>
      <c r="P277" s="59"/>
      <c r="Q277" s="59"/>
      <c r="R277" s="59"/>
      <c r="S277" s="59"/>
      <c r="T277" s="59"/>
      <c r="U277" s="59"/>
      <c r="V277" s="59"/>
      <c r="W277" s="59"/>
      <c r="X277" s="59"/>
      <c r="Y277" s="59"/>
      <c r="Z277" s="180"/>
      <c r="AA277" s="59"/>
      <c r="AB277" s="168"/>
      <c r="AC277" s="173"/>
      <c r="AD277" s="5"/>
    </row>
    <row r="278" spans="1:31" ht="18" x14ac:dyDescent="0.35">
      <c r="A278" s="165"/>
      <c r="B278" s="181" t="s">
        <v>109</v>
      </c>
      <c r="C278" s="178"/>
      <c r="D278" s="59"/>
      <c r="E278" s="59"/>
      <c r="F278" s="59"/>
      <c r="G278" s="59"/>
      <c r="H278" s="59"/>
      <c r="I278" s="59"/>
      <c r="J278" s="59"/>
      <c r="K278" s="59"/>
      <c r="L278" s="182"/>
      <c r="M278" s="182"/>
      <c r="N278" s="182"/>
      <c r="O278" s="182"/>
      <c r="P278" s="261" t="s">
        <v>167</v>
      </c>
      <c r="Q278" s="182"/>
      <c r="R278" s="182"/>
      <c r="S278" s="182"/>
      <c r="T278" s="182"/>
      <c r="U278" s="182"/>
      <c r="V278" s="182"/>
      <c r="W278" s="59"/>
      <c r="X278" s="183"/>
      <c r="Y278" s="182"/>
      <c r="Z278" s="180"/>
      <c r="AA278" s="59"/>
      <c r="AB278" s="168"/>
      <c r="AC278" s="173"/>
      <c r="AD278" s="5"/>
    </row>
    <row r="279" spans="1:31" ht="18" x14ac:dyDescent="0.35">
      <c r="A279" s="184"/>
      <c r="B279" s="185"/>
      <c r="C279" s="186"/>
      <c r="D279" s="99"/>
      <c r="E279" s="99"/>
      <c r="F279" s="99"/>
      <c r="G279" s="99"/>
      <c r="H279" s="99"/>
      <c r="I279" s="99"/>
      <c r="J279" s="99"/>
      <c r="K279" s="99"/>
      <c r="L279" s="187"/>
      <c r="M279" s="187"/>
      <c r="N279" s="187"/>
      <c r="O279" s="187"/>
      <c r="P279" s="187"/>
      <c r="Q279" s="187"/>
      <c r="R279" s="187"/>
      <c r="S279" s="187"/>
      <c r="T279" s="187"/>
      <c r="U279" s="187"/>
      <c r="V279" s="187"/>
      <c r="W279" s="99"/>
      <c r="X279" s="99"/>
      <c r="Y279" s="99"/>
      <c r="Z279" s="188"/>
      <c r="AA279" s="99"/>
      <c r="AB279" s="152"/>
      <c r="AC279" s="189"/>
      <c r="AD279" s="5"/>
    </row>
    <row r="280" spans="1:31" x14ac:dyDescent="0.3">
      <c r="A280" s="33"/>
      <c r="B280" s="102" t="s">
        <v>126</v>
      </c>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54" t="s">
        <v>69</v>
      </c>
      <c r="Y280" s="103" t="s">
        <v>70</v>
      </c>
      <c r="Z280" s="154" t="s">
        <v>75</v>
      </c>
      <c r="AA280" s="103" t="s">
        <v>70</v>
      </c>
      <c r="AB280" s="34"/>
      <c r="AC280" s="190"/>
      <c r="AD280" s="5"/>
    </row>
    <row r="281" spans="1:31" s="23" customFormat="1" x14ac:dyDescent="0.3">
      <c r="A281" s="18"/>
      <c r="B281" s="106" t="s">
        <v>59</v>
      </c>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06">
        <f t="shared" ref="X281:X288" si="1">+X293+X305+X327</f>
        <v>1472</v>
      </c>
      <c r="Y281" s="192">
        <f>X281/$X$290</f>
        <v>0.99325236167341435</v>
      </c>
      <c r="Z281" s="107">
        <f t="shared" ref="Z281:Z288" si="2">+Z293+Z305+Z327</f>
        <v>255171</v>
      </c>
      <c r="AA281" s="192">
        <f t="shared" ref="AA281:AA288" si="3">Z281/$Z$290</f>
        <v>0.99090916151480324</v>
      </c>
      <c r="AB281" s="158"/>
      <c r="AC281" s="193"/>
      <c r="AD281" s="22"/>
    </row>
    <row r="282" spans="1:31" s="23" customFormat="1" x14ac:dyDescent="0.3">
      <c r="A282" s="47"/>
      <c r="B282" s="97" t="s">
        <v>60</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5">
        <f t="shared" si="1"/>
        <v>1</v>
      </c>
      <c r="Y282" s="196">
        <f t="shared" ref="Y282:Y288" si="4">X282/$X$290</f>
        <v>6.7476383265856947E-4</v>
      </c>
      <c r="Z282" s="197">
        <f t="shared" si="2"/>
        <v>154</v>
      </c>
      <c r="AA282" s="198">
        <f t="shared" si="3"/>
        <v>5.9803038305011034E-4</v>
      </c>
      <c r="AB282" s="163"/>
      <c r="AC282" s="175"/>
      <c r="AD282" s="22"/>
    </row>
    <row r="283" spans="1:31" s="23" customFormat="1" x14ac:dyDescent="0.3">
      <c r="A283" s="47"/>
      <c r="B283" s="97" t="s">
        <v>61</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3</v>
      </c>
      <c r="Y283" s="200">
        <f t="shared" si="4"/>
        <v>2.0242914979757085E-3</v>
      </c>
      <c r="Z283" s="131">
        <f t="shared" si="2"/>
        <v>917</v>
      </c>
      <c r="AA283" s="198">
        <f t="shared" si="3"/>
        <v>3.5609990990711111E-3</v>
      </c>
      <c r="AB283" s="163"/>
      <c r="AC283" s="175"/>
      <c r="AD283" s="22"/>
      <c r="AE283" s="312"/>
    </row>
    <row r="284" spans="1:31" s="23" customFormat="1" x14ac:dyDescent="0.3">
      <c r="A284" s="47"/>
      <c r="B284" s="97" t="s">
        <v>100</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1</v>
      </c>
      <c r="Y284" s="200">
        <f t="shared" si="4"/>
        <v>6.7476383265856947E-4</v>
      </c>
      <c r="Z284" s="131">
        <f t="shared" si="2"/>
        <v>195</v>
      </c>
      <c r="AA284" s="198">
        <f t="shared" si="3"/>
        <v>7.5724626425176299E-4</v>
      </c>
      <c r="AB284" s="163"/>
      <c r="AC284" s="175"/>
      <c r="AD284" s="22"/>
    </row>
    <row r="285" spans="1:31" s="23" customFormat="1" x14ac:dyDescent="0.3">
      <c r="A285" s="47"/>
      <c r="B285" s="97" t="s">
        <v>101</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1</v>
      </c>
      <c r="Y285" s="200">
        <f t="shared" si="4"/>
        <v>6.7476383265856947E-4</v>
      </c>
      <c r="Z285" s="131">
        <f t="shared" si="2"/>
        <v>39</v>
      </c>
      <c r="AA285" s="198">
        <f t="shared" si="3"/>
        <v>1.5144925285035261E-4</v>
      </c>
      <c r="AB285" s="163"/>
      <c r="AC285" s="175"/>
      <c r="AD285" s="22"/>
    </row>
    <row r="286" spans="1:31" s="23" customFormat="1" x14ac:dyDescent="0.3">
      <c r="A286" s="47"/>
      <c r="B286" s="97" t="s">
        <v>102</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199">
        <f t="shared" si="1"/>
        <v>0</v>
      </c>
      <c r="Y286" s="200">
        <f t="shared" si="4"/>
        <v>0</v>
      </c>
      <c r="Z286" s="131">
        <f t="shared" si="2"/>
        <v>0</v>
      </c>
      <c r="AA286" s="198">
        <f t="shared" si="3"/>
        <v>0</v>
      </c>
      <c r="AB286" s="163"/>
      <c r="AC286" s="175"/>
      <c r="AD286" s="22"/>
    </row>
    <row r="287" spans="1:31" s="23" customFormat="1" x14ac:dyDescent="0.3">
      <c r="A287" s="47"/>
      <c r="B287" s="97" t="s">
        <v>103</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201">
        <f t="shared" si="1"/>
        <v>4</v>
      </c>
      <c r="Y287" s="202">
        <f t="shared" si="4"/>
        <v>2.6990553306342779E-3</v>
      </c>
      <c r="Z287" s="203">
        <f t="shared" si="2"/>
        <v>1036</v>
      </c>
      <c r="AA287" s="198">
        <f t="shared" si="3"/>
        <v>4.023113485973469E-3</v>
      </c>
      <c r="AB287" s="163"/>
      <c r="AC287" s="175"/>
      <c r="AD287" s="22"/>
    </row>
    <row r="288" spans="1:31" s="23" customFormat="1" x14ac:dyDescent="0.3">
      <c r="A288" s="47"/>
      <c r="B288" s="97" t="s">
        <v>104</v>
      </c>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106">
        <f t="shared" si="1"/>
        <v>0</v>
      </c>
      <c r="Y288" s="198">
        <f t="shared" si="4"/>
        <v>0</v>
      </c>
      <c r="Z288" s="107">
        <f t="shared" si="2"/>
        <v>0</v>
      </c>
      <c r="AA288" s="198">
        <f t="shared" si="3"/>
        <v>0</v>
      </c>
      <c r="AB288" s="163"/>
      <c r="AC288" s="306"/>
      <c r="AD288" s="22"/>
    </row>
    <row r="289" spans="1:31" s="23" customFormat="1" x14ac:dyDescent="0.3">
      <c r="A289" s="47"/>
      <c r="B289" s="97"/>
      <c r="C289" s="194"/>
      <c r="D289" s="194"/>
      <c r="E289" s="194"/>
      <c r="F289" s="194"/>
      <c r="G289" s="194"/>
      <c r="H289" s="194"/>
      <c r="I289" s="194"/>
      <c r="J289" s="194"/>
      <c r="K289" s="194"/>
      <c r="L289" s="194"/>
      <c r="M289" s="194"/>
      <c r="N289" s="194"/>
      <c r="O289" s="194"/>
      <c r="P289" s="194"/>
      <c r="Q289" s="194"/>
      <c r="R289" s="194"/>
      <c r="S289" s="194"/>
      <c r="T289" s="194"/>
      <c r="U289" s="194"/>
      <c r="V289" s="194"/>
      <c r="W289" s="194"/>
      <c r="X289" s="97"/>
      <c r="Y289" s="198"/>
      <c r="Z289" s="98"/>
      <c r="AA289" s="198"/>
      <c r="AB289" s="163"/>
      <c r="AC289" s="175"/>
      <c r="AD289" s="22"/>
    </row>
    <row r="290" spans="1:31" s="23" customFormat="1" x14ac:dyDescent="0.3">
      <c r="A290" s="47"/>
      <c r="B290" s="40" t="s">
        <v>80</v>
      </c>
      <c r="C290" s="40"/>
      <c r="D290" s="204"/>
      <c r="E290" s="204"/>
      <c r="F290" s="204"/>
      <c r="G290" s="204"/>
      <c r="H290" s="204"/>
      <c r="I290" s="204"/>
      <c r="J290" s="204"/>
      <c r="K290" s="204"/>
      <c r="L290" s="204"/>
      <c r="M290" s="204"/>
      <c r="N290" s="204"/>
      <c r="O290" s="204"/>
      <c r="P290" s="204"/>
      <c r="Q290" s="204"/>
      <c r="R290" s="204"/>
      <c r="S290" s="204"/>
      <c r="T290" s="204"/>
      <c r="U290" s="204"/>
      <c r="V290" s="204"/>
      <c r="W290" s="204"/>
      <c r="X290" s="97">
        <f>SUM(X281:X289)</f>
        <v>1482</v>
      </c>
      <c r="Y290" s="198">
        <f>SUM(Y281:Y289)</f>
        <v>0.99999999999999989</v>
      </c>
      <c r="Z290" s="98">
        <f>SUM(Z281:Z289)</f>
        <v>257512</v>
      </c>
      <c r="AA290" s="198">
        <f>SUM(AA281:AA289)</f>
        <v>1</v>
      </c>
      <c r="AB290" s="40"/>
      <c r="AC290" s="43"/>
      <c r="AD290" s="22"/>
    </row>
    <row r="291" spans="1:31" x14ac:dyDescent="0.3">
      <c r="A291" s="7"/>
      <c r="B291" s="151"/>
      <c r="C291" s="186"/>
      <c r="D291" s="99"/>
      <c r="E291" s="99"/>
      <c r="F291" s="99"/>
      <c r="G291" s="99"/>
      <c r="H291" s="99"/>
      <c r="I291" s="99"/>
      <c r="J291" s="99"/>
      <c r="K291" s="99"/>
      <c r="L291" s="99"/>
      <c r="M291" s="99"/>
      <c r="N291" s="99"/>
      <c r="O291" s="99"/>
      <c r="P291" s="99"/>
      <c r="Q291" s="99"/>
      <c r="R291" s="99"/>
      <c r="S291" s="99"/>
      <c r="T291" s="99"/>
      <c r="U291" s="99"/>
      <c r="V291" s="99"/>
      <c r="W291" s="99"/>
      <c r="X291" s="99"/>
      <c r="Y291" s="99"/>
      <c r="Z291" s="188"/>
      <c r="AA291" s="99"/>
      <c r="AB291" s="99"/>
      <c r="AC291" s="10"/>
      <c r="AD291" s="5"/>
    </row>
    <row r="292" spans="1:31" x14ac:dyDescent="0.3">
      <c r="A292" s="33"/>
      <c r="B292" s="102" t="s">
        <v>105</v>
      </c>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54" t="s">
        <v>69</v>
      </c>
      <c r="Y292" s="103" t="s">
        <v>70</v>
      </c>
      <c r="Z292" s="154" t="s">
        <v>75</v>
      </c>
      <c r="AA292" s="103" t="s">
        <v>70</v>
      </c>
      <c r="AB292" s="34"/>
      <c r="AC292" s="190"/>
      <c r="AD292" s="5"/>
    </row>
    <row r="293" spans="1:31" s="23" customFormat="1" x14ac:dyDescent="0.3">
      <c r="A293" s="18"/>
      <c r="B293" s="106" t="s">
        <v>59</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6">
        <v>1472</v>
      </c>
      <c r="Y293" s="192">
        <f>X293/$X$302</f>
        <v>0.99594046008119075</v>
      </c>
      <c r="Z293" s="107">
        <v>255171</v>
      </c>
      <c r="AA293" s="192">
        <f>Z293/$Z$302</f>
        <v>0.99453566821138628</v>
      </c>
      <c r="AB293" s="158"/>
      <c r="AC293" s="193"/>
      <c r="AD293" s="22"/>
    </row>
    <row r="294" spans="1:31" s="23" customFormat="1" x14ac:dyDescent="0.3">
      <c r="A294" s="47"/>
      <c r="B294" s="97" t="s">
        <v>60</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1</v>
      </c>
      <c r="Y294" s="198">
        <f t="shared" ref="Y294:Y300" si="5">X294/$X$302</f>
        <v>6.7658998646820032E-4</v>
      </c>
      <c r="Z294" s="98">
        <v>154</v>
      </c>
      <c r="AA294" s="198">
        <f t="shared" ref="AA294:AA300" si="6">Z294/$Z$302</f>
        <v>6.002190409746934E-4</v>
      </c>
      <c r="AB294" s="163"/>
      <c r="AC294" s="175"/>
      <c r="AD294" s="22"/>
      <c r="AE294" s="115"/>
    </row>
    <row r="295" spans="1:31" s="23" customFormat="1" x14ac:dyDescent="0.3">
      <c r="A295" s="47"/>
      <c r="B295" s="97" t="s">
        <v>61</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3</v>
      </c>
      <c r="Y295" s="198">
        <f t="shared" si="5"/>
        <v>2.0297699594046007E-3</v>
      </c>
      <c r="Z295" s="98">
        <v>917</v>
      </c>
      <c r="AA295" s="198">
        <f t="shared" si="6"/>
        <v>3.5740315621674923E-3</v>
      </c>
      <c r="AB295" s="163"/>
      <c r="AC295" s="175"/>
      <c r="AD295" s="22"/>
    </row>
    <row r="296" spans="1:31" s="23" customFormat="1" x14ac:dyDescent="0.3">
      <c r="A296" s="47"/>
      <c r="B296" s="97" t="s">
        <v>100</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c r="AE296" s="115"/>
    </row>
    <row r="297" spans="1:31" s="23" customFormat="1" x14ac:dyDescent="0.3">
      <c r="A297" s="47"/>
      <c r="B297" s="97" t="s">
        <v>101</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1</v>
      </c>
      <c r="Y297" s="198">
        <f t="shared" si="5"/>
        <v>6.7658998646820032E-4</v>
      </c>
      <c r="Z297" s="98">
        <v>39</v>
      </c>
      <c r="AA297" s="198">
        <f t="shared" si="6"/>
        <v>1.5200352336372104E-4</v>
      </c>
      <c r="AB297" s="163"/>
      <c r="AC297" s="175"/>
      <c r="AD297" s="22"/>
    </row>
    <row r="298" spans="1:31" s="23" customFormat="1" x14ac:dyDescent="0.3">
      <c r="A298" s="47"/>
      <c r="B298" s="97" t="s">
        <v>102</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0</v>
      </c>
      <c r="Y298" s="198">
        <f t="shared" si="5"/>
        <v>0</v>
      </c>
      <c r="Z298" s="98">
        <v>0</v>
      </c>
      <c r="AA298" s="198">
        <f t="shared" si="6"/>
        <v>0</v>
      </c>
      <c r="AB298" s="163"/>
      <c r="AC298" s="175"/>
      <c r="AD298" s="22"/>
      <c r="AE298" s="115"/>
    </row>
    <row r="299" spans="1:31" s="23" customFormat="1" x14ac:dyDescent="0.3">
      <c r="A299" s="47"/>
      <c r="B299" s="97" t="s">
        <v>103</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1</v>
      </c>
      <c r="Y299" s="198">
        <f>X299/$X$302</f>
        <v>6.7658998646820032E-4</v>
      </c>
      <c r="Z299" s="98">
        <v>292</v>
      </c>
      <c r="AA299" s="198">
        <f t="shared" si="6"/>
        <v>1.1380776621078602E-3</v>
      </c>
      <c r="AB299" s="163"/>
      <c r="AC299" s="175"/>
      <c r="AD299" s="22"/>
    </row>
    <row r="300" spans="1:31" s="23" customFormat="1" x14ac:dyDescent="0.3">
      <c r="A300" s="47"/>
      <c r="B300" s="97" t="s">
        <v>104</v>
      </c>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v>0</v>
      </c>
      <c r="Y300" s="198">
        <f t="shared" si="5"/>
        <v>0</v>
      </c>
      <c r="Z300" s="98">
        <v>0</v>
      </c>
      <c r="AA300" s="198">
        <f t="shared" si="6"/>
        <v>0</v>
      </c>
      <c r="AB300" s="163"/>
      <c r="AC300" s="175"/>
      <c r="AD300" s="22"/>
      <c r="AE300" s="115"/>
    </row>
    <row r="301" spans="1:31" s="23" customFormat="1" x14ac:dyDescent="0.3">
      <c r="A301" s="47"/>
      <c r="B301" s="97"/>
      <c r="C301" s="194"/>
      <c r="D301" s="194"/>
      <c r="E301" s="194"/>
      <c r="F301" s="194"/>
      <c r="G301" s="194"/>
      <c r="H301" s="194"/>
      <c r="I301" s="194"/>
      <c r="J301" s="194"/>
      <c r="K301" s="194"/>
      <c r="L301" s="194"/>
      <c r="M301" s="194"/>
      <c r="N301" s="194"/>
      <c r="O301" s="194"/>
      <c r="P301" s="194"/>
      <c r="Q301" s="194"/>
      <c r="R301" s="194"/>
      <c r="S301" s="194"/>
      <c r="T301" s="194"/>
      <c r="U301" s="194"/>
      <c r="V301" s="194"/>
      <c r="W301" s="194"/>
      <c r="X301" s="97"/>
      <c r="Y301" s="198"/>
      <c r="Z301" s="98"/>
      <c r="AA301" s="198"/>
      <c r="AB301" s="163"/>
      <c r="AC301" s="175"/>
      <c r="AD301" s="22"/>
    </row>
    <row r="302" spans="1:31" s="23" customFormat="1" x14ac:dyDescent="0.3">
      <c r="A302" s="47"/>
      <c r="B302" s="40" t="s">
        <v>80</v>
      </c>
      <c r="C302" s="40"/>
      <c r="D302" s="204"/>
      <c r="E302" s="204"/>
      <c r="F302" s="204"/>
      <c r="G302" s="204"/>
      <c r="H302" s="204"/>
      <c r="I302" s="204"/>
      <c r="J302" s="204"/>
      <c r="K302" s="204"/>
      <c r="L302" s="204"/>
      <c r="M302" s="204"/>
      <c r="N302" s="204"/>
      <c r="O302" s="204"/>
      <c r="P302" s="204"/>
      <c r="Q302" s="204"/>
      <c r="R302" s="204"/>
      <c r="S302" s="204"/>
      <c r="T302" s="204"/>
      <c r="U302" s="204"/>
      <c r="V302" s="204"/>
      <c r="W302" s="204"/>
      <c r="X302" s="97">
        <f>SUM(X293:X301)</f>
        <v>1478</v>
      </c>
      <c r="Y302" s="198">
        <f>SUM(Y293:Y301)</f>
        <v>1</v>
      </c>
      <c r="Z302" s="98">
        <f>SUM(Z293:Z301)</f>
        <v>256573</v>
      </c>
      <c r="AA302" s="198">
        <f>SUM(AA293:AA301)</f>
        <v>1.0000000000000002</v>
      </c>
      <c r="AB302" s="40"/>
      <c r="AC302" s="43"/>
      <c r="AD302" s="22"/>
    </row>
    <row r="303" spans="1:31" x14ac:dyDescent="0.3">
      <c r="A303" s="7"/>
      <c r="B303" s="99"/>
      <c r="C303" s="99"/>
      <c r="D303" s="205"/>
      <c r="E303" s="205"/>
      <c r="F303" s="205"/>
      <c r="G303" s="205"/>
      <c r="H303" s="205"/>
      <c r="I303" s="205"/>
      <c r="J303" s="205"/>
      <c r="K303" s="205"/>
      <c r="L303" s="205"/>
      <c r="M303" s="205"/>
      <c r="N303" s="205"/>
      <c r="O303" s="205"/>
      <c r="P303" s="205"/>
      <c r="Q303" s="205"/>
      <c r="R303" s="205"/>
      <c r="S303" s="205"/>
      <c r="T303" s="205"/>
      <c r="U303" s="205"/>
      <c r="V303" s="205"/>
      <c r="W303" s="205"/>
      <c r="X303" s="100"/>
      <c r="Y303" s="206"/>
      <c r="Z303" s="207"/>
      <c r="AA303" s="206"/>
      <c r="AB303" s="99"/>
      <c r="AC303" s="10"/>
      <c r="AD303" s="5"/>
    </row>
    <row r="304" spans="1:31" x14ac:dyDescent="0.3">
      <c r="A304" s="33"/>
      <c r="B304" s="102" t="s">
        <v>121</v>
      </c>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54" t="s">
        <v>69</v>
      </c>
      <c r="Y304" s="103" t="s">
        <v>70</v>
      </c>
      <c r="Z304" s="154" t="s">
        <v>75</v>
      </c>
      <c r="AA304" s="103" t="s">
        <v>70</v>
      </c>
      <c r="AB304" s="34"/>
      <c r="AC304" s="36"/>
      <c r="AD304" s="5"/>
    </row>
    <row r="305" spans="1:30" s="23" customFormat="1" x14ac:dyDescent="0.3">
      <c r="A305" s="18"/>
      <c r="B305" s="106" t="s">
        <v>59</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06">
        <v>0</v>
      </c>
      <c r="Y305" s="192">
        <f>X305/X314</f>
        <v>0</v>
      </c>
      <c r="Z305" s="107">
        <v>0</v>
      </c>
      <c r="AA305" s="192">
        <f>Z305/Z314</f>
        <v>0</v>
      </c>
      <c r="AB305" s="37"/>
      <c r="AC305" s="21"/>
      <c r="AD305" s="22"/>
    </row>
    <row r="306" spans="1:30" s="23" customFormat="1" x14ac:dyDescent="0.3">
      <c r="A306" s="47"/>
      <c r="B306" s="97" t="s">
        <v>60</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61</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100</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f>X308/X314</f>
        <v>0</v>
      </c>
      <c r="Z308" s="98">
        <v>0</v>
      </c>
      <c r="AA308" s="198">
        <f>Z308/Z314</f>
        <v>0</v>
      </c>
      <c r="AB308" s="40"/>
      <c r="AC308" s="43"/>
      <c r="AD308" s="22"/>
    </row>
    <row r="309" spans="1:30" s="23" customFormat="1" x14ac:dyDescent="0.3">
      <c r="A309" s="47"/>
      <c r="B309" s="97" t="s">
        <v>101</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102</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f>X310/X314</f>
        <v>0</v>
      </c>
      <c r="Z310" s="98">
        <v>0</v>
      </c>
      <c r="AA310" s="198">
        <f>Z310/Z314</f>
        <v>0</v>
      </c>
      <c r="AB310" s="40"/>
      <c r="AC310" s="43"/>
      <c r="AD310" s="22"/>
    </row>
    <row r="311" spans="1:30" s="23" customFormat="1" x14ac:dyDescent="0.3">
      <c r="A311" s="47"/>
      <c r="B311" s="97" t="s">
        <v>103</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3</v>
      </c>
      <c r="Y311" s="198">
        <f>X311/X314</f>
        <v>1</v>
      </c>
      <c r="Z311" s="98">
        <v>744</v>
      </c>
      <c r="AA311" s="198">
        <f>Z311/Z314</f>
        <v>1</v>
      </c>
      <c r="AB311" s="40"/>
      <c r="AC311" s="43"/>
      <c r="AD311" s="22"/>
    </row>
    <row r="312" spans="1:30" s="23" customFormat="1" x14ac:dyDescent="0.3">
      <c r="A312" s="47"/>
      <c r="B312" s="97" t="s">
        <v>104</v>
      </c>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v>0</v>
      </c>
      <c r="Y312" s="198">
        <f>X312/X314</f>
        <v>0</v>
      </c>
      <c r="Z312" s="98">
        <v>0</v>
      </c>
      <c r="AA312" s="198">
        <v>0</v>
      </c>
      <c r="AB312" s="40"/>
      <c r="AC312" s="43"/>
      <c r="AD312" s="22"/>
    </row>
    <row r="313" spans="1:30" s="23" customFormat="1" x14ac:dyDescent="0.3">
      <c r="A313" s="47"/>
      <c r="B313" s="97"/>
      <c r="C313" s="194"/>
      <c r="D313" s="194"/>
      <c r="E313" s="194"/>
      <c r="F313" s="194"/>
      <c r="G313" s="194"/>
      <c r="H313" s="194"/>
      <c r="I313" s="194"/>
      <c r="J313" s="194"/>
      <c r="K313" s="194"/>
      <c r="L313" s="194"/>
      <c r="M313" s="194"/>
      <c r="N313" s="194"/>
      <c r="O313" s="194"/>
      <c r="P313" s="194"/>
      <c r="Q313" s="194"/>
      <c r="R313" s="194"/>
      <c r="S313" s="194"/>
      <c r="T313" s="194"/>
      <c r="U313" s="194"/>
      <c r="V313" s="194"/>
      <c r="W313" s="194"/>
      <c r="X313" s="97"/>
      <c r="Y313" s="198"/>
      <c r="Z313" s="98"/>
      <c r="AA313" s="198"/>
      <c r="AB313" s="40"/>
      <c r="AC313" s="43"/>
      <c r="AD313" s="22"/>
    </row>
    <row r="314" spans="1:30" s="23" customFormat="1" x14ac:dyDescent="0.3">
      <c r="A314" s="47"/>
      <c r="B314" s="40" t="s">
        <v>80</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f>SUM(X305:X313)</f>
        <v>3</v>
      </c>
      <c r="Y314" s="198">
        <f>SUM(Y305:Y313)</f>
        <v>1</v>
      </c>
      <c r="Z314" s="98">
        <f>SUM(Z305:Z313)</f>
        <v>744</v>
      </c>
      <c r="AA314" s="198">
        <f>SUM(AA305:AA313)</f>
        <v>1</v>
      </c>
      <c r="AB314" s="40"/>
      <c r="AC314" s="43"/>
      <c r="AD314" s="22"/>
    </row>
    <row r="315" spans="1:30" s="23" customFormat="1" x14ac:dyDescent="0.3">
      <c r="A315" s="47"/>
      <c r="B315" s="40"/>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97"/>
      <c r="Y315" s="198"/>
      <c r="Z315" s="98"/>
      <c r="AA315" s="198"/>
      <c r="AB315" s="40"/>
      <c r="AC315" s="43"/>
      <c r="AD315" s="22"/>
    </row>
    <row r="316" spans="1:30" s="23" customFormat="1" x14ac:dyDescent="0.3">
      <c r="A316" s="242"/>
      <c r="B316" s="243" t="s">
        <v>330</v>
      </c>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62" t="s">
        <v>69</v>
      </c>
      <c r="Y316" s="263" t="s">
        <v>70</v>
      </c>
      <c r="Z316" s="262" t="s">
        <v>75</v>
      </c>
      <c r="AA316" s="263" t="s">
        <v>70</v>
      </c>
      <c r="AB316" s="243"/>
      <c r="AC316" s="243"/>
      <c r="AD316" s="22"/>
    </row>
    <row r="317" spans="1:30" s="23" customFormat="1" x14ac:dyDescent="0.3">
      <c r="A317" s="273"/>
      <c r="B317" s="274" t="s">
        <v>326</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302">
        <v>0</v>
      </c>
      <c r="Y317" s="303">
        <f>X317/X324</f>
        <v>0</v>
      </c>
      <c r="Z317" s="304">
        <v>0</v>
      </c>
      <c r="AA317" s="303">
        <f>Z317/Z324</f>
        <v>0</v>
      </c>
      <c r="AB317" s="40"/>
      <c r="AC317" s="43"/>
      <c r="AD317" s="22"/>
    </row>
    <row r="318" spans="1:30" s="23" customFormat="1" x14ac:dyDescent="0.3">
      <c r="A318" s="273"/>
      <c r="B318" s="274" t="s">
        <v>327</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302">
        <v>0</v>
      </c>
      <c r="Y318" s="303">
        <v>0</v>
      </c>
      <c r="Z318" s="304">
        <v>0</v>
      </c>
      <c r="AA318" s="303">
        <v>0</v>
      </c>
      <c r="AB318" s="40"/>
      <c r="AC318" s="43"/>
      <c r="AD318" s="22"/>
    </row>
    <row r="319" spans="1:30" s="23" customFormat="1" x14ac:dyDescent="0.3">
      <c r="A319" s="273"/>
      <c r="B319" s="274" t="s">
        <v>328</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302">
        <v>0</v>
      </c>
      <c r="Y319" s="303">
        <f>X319/X324</f>
        <v>0</v>
      </c>
      <c r="Z319" s="304">
        <v>0</v>
      </c>
      <c r="AA319" s="303">
        <f>Z319/Z324</f>
        <v>0</v>
      </c>
      <c r="AB319" s="40"/>
      <c r="AC319" s="43"/>
      <c r="AD319" s="22"/>
    </row>
    <row r="320" spans="1:30" s="23" customFormat="1" x14ac:dyDescent="0.3">
      <c r="A320" s="273"/>
      <c r="B320" s="274" t="s">
        <v>329</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302">
        <v>0</v>
      </c>
      <c r="Y320" s="303">
        <f>X320/X324</f>
        <v>0</v>
      </c>
      <c r="Z320" s="304">
        <v>0</v>
      </c>
      <c r="AA320" s="303">
        <f>Z320/Z324</f>
        <v>0</v>
      </c>
      <c r="AB320" s="40"/>
      <c r="AC320" s="43"/>
      <c r="AD320" s="22"/>
    </row>
    <row r="321" spans="1:30" s="23" customFormat="1" x14ac:dyDescent="0.3">
      <c r="A321" s="273"/>
      <c r="B321" s="274" t="s">
        <v>334</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302">
        <v>0</v>
      </c>
      <c r="Y321" s="303">
        <f>X321/X324</f>
        <v>0</v>
      </c>
      <c r="Z321" s="304">
        <v>0</v>
      </c>
      <c r="AA321" s="303">
        <f>Z321/Z324</f>
        <v>0</v>
      </c>
      <c r="AB321" s="40"/>
      <c r="AC321" s="43"/>
      <c r="AD321" s="22"/>
    </row>
    <row r="322" spans="1:30" s="23" customFormat="1" x14ac:dyDescent="0.3">
      <c r="A322" s="273"/>
      <c r="B322" s="275" t="s">
        <v>331</v>
      </c>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302">
        <v>3</v>
      </c>
      <c r="Y322" s="303">
        <f>X322/X324</f>
        <v>1</v>
      </c>
      <c r="Z322" s="304">
        <v>744</v>
      </c>
      <c r="AA322" s="303">
        <f>Z322/Z324</f>
        <v>1</v>
      </c>
      <c r="AB322" s="40"/>
      <c r="AC322" s="43"/>
      <c r="AD322" s="22"/>
    </row>
    <row r="323" spans="1:30" s="23" customFormat="1" x14ac:dyDescent="0.3">
      <c r="A323" s="273"/>
      <c r="B323" s="274"/>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c r="Y323" s="277"/>
      <c r="Z323" s="278"/>
      <c r="AA323" s="277"/>
      <c r="AB323" s="40"/>
      <c r="AC323" s="43"/>
      <c r="AD323" s="22"/>
    </row>
    <row r="324" spans="1:30" s="23" customFormat="1" x14ac:dyDescent="0.3">
      <c r="A324" s="273"/>
      <c r="B324" s="274" t="s">
        <v>80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276">
        <f>SUM(X317:X323)</f>
        <v>3</v>
      </c>
      <c r="Y324" s="277">
        <f>SUM(Y317:Y322)</f>
        <v>1</v>
      </c>
      <c r="Z324" s="278">
        <f>SUM(Z317:Z322)</f>
        <v>744</v>
      </c>
      <c r="AA324" s="277">
        <f>SUM(AA317:AA323)</f>
        <v>1</v>
      </c>
      <c r="AB324" s="40"/>
      <c r="AC324" s="43"/>
      <c r="AD324" s="22"/>
    </row>
    <row r="325" spans="1:30" x14ac:dyDescent="0.3">
      <c r="A325" s="7"/>
      <c r="B325" s="99"/>
      <c r="C325" s="99"/>
      <c r="D325" s="205"/>
      <c r="E325" s="205"/>
      <c r="F325" s="205"/>
      <c r="G325" s="205"/>
      <c r="H325" s="205"/>
      <c r="I325" s="205"/>
      <c r="J325" s="205"/>
      <c r="K325" s="205"/>
      <c r="L325" s="205"/>
      <c r="M325" s="205"/>
      <c r="N325" s="205"/>
      <c r="O325" s="205"/>
      <c r="P325" s="205"/>
      <c r="Q325" s="205"/>
      <c r="R325" s="205"/>
      <c r="S325" s="205"/>
      <c r="T325" s="205"/>
      <c r="U325" s="205"/>
      <c r="V325" s="205"/>
      <c r="W325" s="205"/>
      <c r="X325" s="100"/>
      <c r="Y325" s="206"/>
      <c r="Z325" s="207"/>
      <c r="AA325" s="206"/>
      <c r="AB325" s="99"/>
      <c r="AC325" s="10"/>
      <c r="AD325" s="5"/>
    </row>
    <row r="326" spans="1:30" x14ac:dyDescent="0.3">
      <c r="A326" s="33"/>
      <c r="B326" s="102" t="s">
        <v>106</v>
      </c>
      <c r="C326" s="34"/>
      <c r="D326" s="208"/>
      <c r="E326" s="208"/>
      <c r="F326" s="208"/>
      <c r="G326" s="208"/>
      <c r="H326" s="208"/>
      <c r="I326" s="208"/>
      <c r="J326" s="208"/>
      <c r="K326" s="208"/>
      <c r="L326" s="208"/>
      <c r="M326" s="208"/>
      <c r="N326" s="208"/>
      <c r="O326" s="208"/>
      <c r="P326" s="208"/>
      <c r="Q326" s="208"/>
      <c r="R326" s="208"/>
      <c r="S326" s="208"/>
      <c r="T326" s="208"/>
      <c r="U326" s="208"/>
      <c r="V326" s="208"/>
      <c r="W326" s="208"/>
      <c r="X326" s="154" t="s">
        <v>69</v>
      </c>
      <c r="Y326" s="103" t="s">
        <v>70</v>
      </c>
      <c r="Z326" s="154" t="s">
        <v>75</v>
      </c>
      <c r="AA326" s="103" t="s">
        <v>70</v>
      </c>
      <c r="AB326" s="34"/>
      <c r="AC326" s="36"/>
      <c r="AD326" s="5"/>
    </row>
    <row r="327" spans="1:30" s="23" customFormat="1" x14ac:dyDescent="0.3">
      <c r="A327" s="18"/>
      <c r="B327" s="106" t="s">
        <v>59</v>
      </c>
      <c r="C327" s="37"/>
      <c r="D327" s="209"/>
      <c r="E327" s="209"/>
      <c r="F327" s="209"/>
      <c r="G327" s="209"/>
      <c r="H327" s="209"/>
      <c r="I327" s="209"/>
      <c r="J327" s="209"/>
      <c r="K327" s="209"/>
      <c r="L327" s="209"/>
      <c r="M327" s="209"/>
      <c r="N327" s="209"/>
      <c r="O327" s="209"/>
      <c r="P327" s="209"/>
      <c r="Q327" s="209"/>
      <c r="R327" s="209"/>
      <c r="S327" s="209"/>
      <c r="T327" s="209"/>
      <c r="U327" s="209"/>
      <c r="V327" s="209"/>
      <c r="W327" s="209"/>
      <c r="X327" s="106">
        <v>0</v>
      </c>
      <c r="Y327" s="192">
        <v>0</v>
      </c>
      <c r="Z327" s="107">
        <v>0</v>
      </c>
      <c r="AA327" s="192">
        <v>0</v>
      </c>
      <c r="AB327" s="37"/>
      <c r="AC327" s="21"/>
      <c r="AD327" s="22"/>
    </row>
    <row r="328" spans="1:30" s="23" customFormat="1" x14ac:dyDescent="0.3">
      <c r="A328" s="47"/>
      <c r="B328" s="97" t="s">
        <v>60</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61</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100</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1</v>
      </c>
      <c r="Y330" s="198">
        <v>1</v>
      </c>
      <c r="Z330" s="98">
        <v>195</v>
      </c>
      <c r="AA330" s="198">
        <v>1</v>
      </c>
      <c r="AB330" s="40"/>
      <c r="AC330" s="43"/>
      <c r="AD330" s="22"/>
    </row>
    <row r="331" spans="1:30" s="23" customFormat="1" x14ac:dyDescent="0.3">
      <c r="A331" s="47"/>
      <c r="B331" s="97" t="s">
        <v>101</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102</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103</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t="s">
        <v>104</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v>0</v>
      </c>
      <c r="Y334" s="198">
        <v>0</v>
      </c>
      <c r="Z334" s="98">
        <v>0</v>
      </c>
      <c r="AA334" s="198">
        <v>0</v>
      </c>
      <c r="AB334" s="40"/>
      <c r="AC334" s="43"/>
      <c r="AD334" s="22"/>
    </row>
    <row r="335" spans="1:30" s="23" customFormat="1" x14ac:dyDescent="0.3">
      <c r="A335" s="47"/>
      <c r="B335" s="97"/>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c r="Y335" s="198"/>
      <c r="Z335" s="98"/>
      <c r="AA335" s="198"/>
      <c r="AB335" s="40"/>
      <c r="AC335" s="43"/>
      <c r="AD335" s="22"/>
    </row>
    <row r="336" spans="1:30" s="23" customFormat="1" x14ac:dyDescent="0.3">
      <c r="A336" s="47"/>
      <c r="B336" s="40" t="s">
        <v>80</v>
      </c>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f>SUM(X327:X334)</f>
        <v>1</v>
      </c>
      <c r="Y336" s="198">
        <f>SUM(Y327:Y334)</f>
        <v>1</v>
      </c>
      <c r="Z336" s="98">
        <f>SUM(Z327:Z334)</f>
        <v>195</v>
      </c>
      <c r="AA336" s="198">
        <f>SUM(AA327:AA334)</f>
        <v>1</v>
      </c>
      <c r="AB336" s="40"/>
      <c r="AC336" s="43"/>
      <c r="AD336" s="22"/>
    </row>
    <row r="337" spans="1:30" s="23" customFormat="1" x14ac:dyDescent="0.3">
      <c r="A337" s="47"/>
      <c r="B337" s="40"/>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97"/>
      <c r="Y337" s="198"/>
      <c r="Z337" s="98"/>
      <c r="AA337" s="198"/>
      <c r="AB337" s="40"/>
      <c r="AC337" s="43"/>
      <c r="AD337" s="22"/>
    </row>
    <row r="338" spans="1:30" s="23" customFormat="1" x14ac:dyDescent="0.3">
      <c r="A338" s="47"/>
      <c r="B338" s="44" t="s">
        <v>139</v>
      </c>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f>X336+X314+X302</f>
        <v>1482</v>
      </c>
      <c r="Y338" s="198"/>
      <c r="Z338" s="211">
        <f>+Z336+Z314+Z302</f>
        <v>257512</v>
      </c>
      <c r="AA338" s="198"/>
      <c r="AB338" s="40"/>
      <c r="AC338" s="43"/>
      <c r="AD338" s="22"/>
    </row>
    <row r="339" spans="1:30" s="23" customFormat="1" x14ac:dyDescent="0.3">
      <c r="A339" s="47"/>
      <c r="B339" s="44" t="s">
        <v>304</v>
      </c>
      <c r="C339" s="44"/>
      <c r="D339" s="212"/>
      <c r="E339" s="212"/>
      <c r="F339" s="212"/>
      <c r="G339" s="212"/>
      <c r="H339" s="212"/>
      <c r="I339" s="212"/>
      <c r="J339" s="212"/>
      <c r="K339" s="212"/>
      <c r="L339" s="212"/>
      <c r="M339" s="212"/>
      <c r="N339" s="212"/>
      <c r="O339" s="212"/>
      <c r="P339" s="212"/>
      <c r="Q339" s="212"/>
      <c r="R339" s="212"/>
      <c r="S339" s="212"/>
      <c r="T339" s="212"/>
      <c r="U339" s="212"/>
      <c r="V339" s="212"/>
      <c r="W339" s="212"/>
      <c r="X339" s="210"/>
      <c r="Y339" s="213"/>
      <c r="Z339" s="211">
        <f>+AB65+AB64</f>
        <v>4</v>
      </c>
      <c r="AA339" s="198"/>
      <c r="AB339" s="40"/>
      <c r="AC339" s="43"/>
      <c r="AD339" s="22"/>
    </row>
    <row r="340" spans="1:30" s="23" customFormat="1" x14ac:dyDescent="0.3">
      <c r="A340" s="47"/>
      <c r="B340" s="44" t="s">
        <v>107</v>
      </c>
      <c r="C340" s="44"/>
      <c r="D340" s="212"/>
      <c r="E340" s="212"/>
      <c r="F340" s="212"/>
      <c r="G340" s="212"/>
      <c r="H340" s="212"/>
      <c r="I340" s="212"/>
      <c r="J340" s="212"/>
      <c r="K340" s="212"/>
      <c r="L340" s="212"/>
      <c r="M340" s="212"/>
      <c r="N340" s="212"/>
      <c r="O340" s="212"/>
      <c r="P340" s="212"/>
      <c r="Q340" s="212"/>
      <c r="R340" s="212"/>
      <c r="S340" s="212"/>
      <c r="T340" s="212"/>
      <c r="U340" s="212"/>
      <c r="V340" s="212"/>
      <c r="W340" s="212"/>
      <c r="X340" s="210"/>
      <c r="Y340" s="213"/>
      <c r="Z340" s="211">
        <f>+Z338+Z339</f>
        <v>257516</v>
      </c>
      <c r="AA340" s="198"/>
      <c r="AB340" s="40"/>
      <c r="AC340" s="43"/>
      <c r="AD340" s="22"/>
    </row>
    <row r="341" spans="1:30" s="23" customFormat="1" x14ac:dyDescent="0.3">
      <c r="A341" s="47"/>
      <c r="B341" s="44" t="s">
        <v>237</v>
      </c>
      <c r="C341" s="40"/>
      <c r="D341" s="204"/>
      <c r="E341" s="204"/>
      <c r="F341" s="204"/>
      <c r="G341" s="204"/>
      <c r="H341" s="204"/>
      <c r="I341" s="204"/>
      <c r="J341" s="204"/>
      <c r="K341" s="204"/>
      <c r="L341" s="204"/>
      <c r="M341" s="204"/>
      <c r="N341" s="204"/>
      <c r="O341" s="204"/>
      <c r="P341" s="204"/>
      <c r="Q341" s="204"/>
      <c r="R341" s="204"/>
      <c r="S341" s="204"/>
      <c r="T341" s="204"/>
      <c r="U341" s="204"/>
      <c r="V341" s="204"/>
      <c r="W341" s="204"/>
      <c r="X341" s="210"/>
      <c r="Y341" s="198"/>
      <c r="Z341" s="211">
        <f>+AB67</f>
        <v>257516</v>
      </c>
      <c r="AA341" s="198"/>
      <c r="AB341" s="40"/>
      <c r="AC341" s="43"/>
      <c r="AD341" s="22"/>
    </row>
    <row r="342" spans="1:30" s="23" customFormat="1" x14ac:dyDescent="0.3">
      <c r="A342" s="47"/>
      <c r="B342" s="44"/>
      <c r="C342" s="40"/>
      <c r="D342" s="204"/>
      <c r="E342" s="204"/>
      <c r="F342" s="204"/>
      <c r="G342" s="204"/>
      <c r="H342" s="204"/>
      <c r="I342" s="204"/>
      <c r="J342" s="204"/>
      <c r="K342" s="204"/>
      <c r="L342" s="204"/>
      <c r="M342" s="204"/>
      <c r="N342" s="204"/>
      <c r="O342" s="204"/>
      <c r="P342" s="204"/>
      <c r="Q342" s="204"/>
      <c r="R342" s="204"/>
      <c r="S342" s="204"/>
      <c r="T342" s="204"/>
      <c r="U342" s="204"/>
      <c r="V342" s="204"/>
      <c r="W342" s="204"/>
      <c r="X342" s="210"/>
      <c r="Y342" s="198"/>
      <c r="Z342" s="211"/>
      <c r="AA342" s="198"/>
      <c r="AB342" s="40"/>
      <c r="AC342" s="43"/>
      <c r="AD342" s="22"/>
    </row>
    <row r="343" spans="1:30" s="23" customFormat="1" x14ac:dyDescent="0.3">
      <c r="A343" s="47"/>
      <c r="B343" s="44" t="s">
        <v>305</v>
      </c>
      <c r="C343" s="40"/>
      <c r="D343" s="204"/>
      <c r="E343" s="204"/>
      <c r="F343" s="204"/>
      <c r="G343" s="204"/>
      <c r="H343" s="204"/>
      <c r="I343" s="204"/>
      <c r="J343" s="204"/>
      <c r="K343" s="204"/>
      <c r="L343" s="204"/>
      <c r="M343" s="204"/>
      <c r="N343" s="204"/>
      <c r="O343" s="204"/>
      <c r="P343" s="204"/>
      <c r="Q343" s="204"/>
      <c r="R343" s="204"/>
      <c r="S343" s="204"/>
      <c r="T343" s="204"/>
      <c r="U343" s="204"/>
      <c r="V343" s="204"/>
      <c r="W343" s="204"/>
      <c r="X343" s="210"/>
      <c r="Y343" s="198"/>
      <c r="Z343" s="236">
        <f>(D31*0.05+F31+H31+J31+L31+N31)/AB31</f>
        <v>0.917093326728044</v>
      </c>
      <c r="AA343" s="198"/>
      <c r="AB343" s="40"/>
      <c r="AC343" s="43"/>
      <c r="AD343" s="22"/>
    </row>
    <row r="344" spans="1:30" s="23" customFormat="1" x14ac:dyDescent="0.3">
      <c r="A344" s="18"/>
      <c r="B344" s="20"/>
      <c r="C344" s="20"/>
      <c r="D344" s="214"/>
      <c r="E344" s="214"/>
      <c r="F344" s="214"/>
      <c r="G344" s="214"/>
      <c r="H344" s="214"/>
      <c r="I344" s="214"/>
      <c r="J344" s="214"/>
      <c r="K344" s="214"/>
      <c r="L344" s="214"/>
      <c r="M344" s="214"/>
      <c r="N344" s="214"/>
      <c r="O344" s="214"/>
      <c r="P344" s="214"/>
      <c r="Q344" s="214"/>
      <c r="R344" s="214"/>
      <c r="S344" s="214"/>
      <c r="T344" s="214"/>
      <c r="U344" s="214"/>
      <c r="V344" s="214"/>
      <c r="W344" s="214"/>
      <c r="X344" s="214"/>
      <c r="Y344" s="214"/>
      <c r="Z344" s="215"/>
      <c r="AA344" s="214"/>
      <c r="AB344" s="20"/>
      <c r="AC344" s="21"/>
      <c r="AD344" s="22"/>
    </row>
    <row r="345" spans="1:30" s="23" customFormat="1" x14ac:dyDescent="0.3">
      <c r="A345" s="18"/>
      <c r="B345" s="19" t="s">
        <v>62</v>
      </c>
      <c r="C345" s="20"/>
      <c r="D345" s="216" t="s">
        <v>66</v>
      </c>
      <c r="E345" s="19"/>
      <c r="F345" s="19" t="s">
        <v>67</v>
      </c>
      <c r="G345" s="20"/>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s="23" customFormat="1" x14ac:dyDescent="0.3">
      <c r="A346" s="18"/>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1"/>
      <c r="AD346" s="22"/>
    </row>
    <row r="347" spans="1:30" s="23" customFormat="1" x14ac:dyDescent="0.3">
      <c r="A347" s="18"/>
      <c r="B347" s="19" t="s">
        <v>152</v>
      </c>
      <c r="C347" s="19"/>
      <c r="D347" s="217" t="s">
        <v>122</v>
      </c>
      <c r="E347" s="19"/>
      <c r="F347" s="19" t="s">
        <v>168</v>
      </c>
      <c r="G347" s="19"/>
      <c r="H347" s="19"/>
      <c r="I347" s="20"/>
      <c r="J347" s="20"/>
      <c r="K347" s="20"/>
      <c r="L347" s="20"/>
      <c r="M347" s="20"/>
      <c r="N347" s="20"/>
      <c r="O347" s="20"/>
      <c r="P347" s="20"/>
      <c r="Q347" s="20"/>
      <c r="R347" s="20"/>
      <c r="S347" s="20"/>
      <c r="T347" s="20"/>
      <c r="U347" s="20"/>
      <c r="V347" s="20"/>
      <c r="W347" s="20"/>
      <c r="X347" s="20"/>
      <c r="Y347" s="20"/>
      <c r="Z347" s="20"/>
      <c r="AA347" s="20"/>
      <c r="AB347" s="20"/>
      <c r="AC347" s="21"/>
      <c r="AD347" s="22"/>
    </row>
    <row r="348" spans="1:30" s="23" customFormat="1" x14ac:dyDescent="0.3">
      <c r="A348" s="18"/>
      <c r="B348" s="19" t="s">
        <v>153</v>
      </c>
      <c r="C348" s="19"/>
      <c r="D348" s="217" t="s">
        <v>98</v>
      </c>
      <c r="E348" s="19"/>
      <c r="F348" s="19" t="s">
        <v>169</v>
      </c>
      <c r="G348" s="19"/>
      <c r="H348" s="19"/>
      <c r="I348" s="20"/>
      <c r="J348" s="20"/>
      <c r="K348" s="20"/>
      <c r="L348" s="20"/>
      <c r="M348" s="20"/>
      <c r="N348" s="20"/>
      <c r="O348" s="20"/>
      <c r="P348" s="20"/>
      <c r="Q348" s="20"/>
      <c r="R348" s="20"/>
      <c r="S348" s="20"/>
      <c r="T348" s="20"/>
      <c r="U348" s="20"/>
      <c r="V348" s="20"/>
      <c r="W348" s="20"/>
      <c r="X348" s="20"/>
      <c r="Y348" s="20"/>
      <c r="Z348" s="20"/>
      <c r="AA348" s="20"/>
      <c r="AB348" s="20"/>
      <c r="AC348" s="21"/>
      <c r="AD348" s="22"/>
    </row>
    <row r="349" spans="1:30" x14ac:dyDescent="0.3">
      <c r="A349" s="218"/>
      <c r="B349" s="258"/>
      <c r="C349" s="219"/>
      <c r="D349" s="220"/>
      <c r="E349" s="220"/>
      <c r="F349" s="220"/>
      <c r="G349" s="220"/>
      <c r="H349" s="220"/>
      <c r="I349" s="220"/>
      <c r="J349" s="220"/>
      <c r="K349" s="220"/>
      <c r="L349" s="220"/>
      <c r="M349" s="220"/>
      <c r="N349" s="220"/>
      <c r="O349" s="220"/>
      <c r="P349" s="220"/>
      <c r="Q349" s="220"/>
      <c r="R349" s="220"/>
      <c r="S349" s="220"/>
      <c r="T349" s="220"/>
      <c r="U349" s="220"/>
      <c r="V349" s="220"/>
      <c r="W349" s="220"/>
      <c r="X349" s="220"/>
      <c r="Y349" s="220"/>
      <c r="Z349" s="220"/>
      <c r="AA349" s="220"/>
      <c r="AB349" s="220"/>
      <c r="AC349" s="221"/>
      <c r="AD349" s="5"/>
    </row>
    <row r="350" spans="1:30" ht="18" x14ac:dyDescent="0.35">
      <c r="A350" s="218"/>
      <c r="B350" s="259" t="s">
        <v>109</v>
      </c>
      <c r="C350" s="219"/>
      <c r="D350" s="220"/>
      <c r="E350" s="220"/>
      <c r="F350" s="220"/>
      <c r="G350" s="220"/>
      <c r="H350" s="220"/>
      <c r="I350" s="220"/>
      <c r="J350" s="220"/>
      <c r="K350" s="220"/>
      <c r="L350" s="220"/>
      <c r="M350" s="220"/>
      <c r="N350" s="220"/>
      <c r="O350" s="220"/>
      <c r="P350" s="260" t="s">
        <v>167</v>
      </c>
      <c r="Q350" s="220"/>
      <c r="R350" s="220"/>
      <c r="S350" s="220"/>
      <c r="T350" s="220"/>
      <c r="U350" s="220"/>
      <c r="V350" s="220"/>
      <c r="W350" s="220"/>
      <c r="X350" s="220"/>
      <c r="Y350" s="220"/>
      <c r="Z350" s="220"/>
      <c r="AA350" s="220"/>
      <c r="AB350" s="220"/>
      <c r="AC350" s="221"/>
      <c r="AD350" s="5"/>
    </row>
    <row r="351" spans="1:30" ht="18" x14ac:dyDescent="0.35">
      <c r="A351" s="218"/>
      <c r="B351" s="259"/>
      <c r="C351" s="219"/>
      <c r="D351" s="220"/>
      <c r="E351" s="220"/>
      <c r="F351" s="220"/>
      <c r="G351" s="220"/>
      <c r="H351" s="220"/>
      <c r="I351" s="220"/>
      <c r="J351" s="220"/>
      <c r="K351" s="220"/>
      <c r="L351" s="220"/>
      <c r="M351" s="220"/>
      <c r="N351" s="220"/>
      <c r="O351" s="220"/>
      <c r="P351" s="260"/>
      <c r="Q351" s="220"/>
      <c r="R351" s="220"/>
      <c r="S351" s="220"/>
      <c r="T351" s="220"/>
      <c r="U351" s="220"/>
      <c r="V351" s="220"/>
      <c r="W351" s="220"/>
      <c r="X351" s="220"/>
      <c r="Y351" s="220"/>
      <c r="Z351" s="220"/>
      <c r="AA351" s="220"/>
      <c r="AB351" s="220"/>
      <c r="AC351" s="221"/>
      <c r="AD351" s="5"/>
    </row>
    <row r="352" spans="1:30" ht="18.600000000000001" thickBot="1" x14ac:dyDescent="0.4">
      <c r="A352" s="218"/>
      <c r="B352" s="222" t="str">
        <f>B238</f>
        <v>PM26 INVESTOR REPORT QUARTER ENDING OCTOBER 2023</v>
      </c>
      <c r="C352" s="219"/>
      <c r="D352" s="220"/>
      <c r="E352" s="220"/>
      <c r="F352" s="220"/>
      <c r="G352" s="220"/>
      <c r="H352" s="220"/>
      <c r="I352" s="220"/>
      <c r="J352" s="220"/>
      <c r="K352" s="220"/>
      <c r="L352" s="220"/>
      <c r="M352" s="220"/>
      <c r="N352" s="220"/>
      <c r="O352" s="220"/>
      <c r="P352" s="220"/>
      <c r="Q352" s="220"/>
      <c r="R352" s="220"/>
      <c r="S352" s="220"/>
      <c r="T352" s="220"/>
      <c r="U352" s="220"/>
      <c r="V352" s="220"/>
      <c r="W352" s="220"/>
      <c r="X352" s="220"/>
      <c r="Y352" s="220"/>
      <c r="Z352" s="220"/>
      <c r="AA352" s="220"/>
      <c r="AB352" s="220"/>
      <c r="AC352" s="223"/>
      <c r="AD352" s="5"/>
    </row>
    <row r="353" spans="1:29" x14ac:dyDescent="0.3">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row>
    <row r="354" spans="1:29" x14ac:dyDescent="0.3">
      <c r="B354" s="6" t="s">
        <v>307</v>
      </c>
      <c r="AC354" s="271"/>
    </row>
    <row r="355" spans="1:29" x14ac:dyDescent="0.3">
      <c r="B355" s="271"/>
    </row>
    <row r="356" spans="1:29" x14ac:dyDescent="0.3">
      <c r="B356" s="279" t="s">
        <v>354</v>
      </c>
    </row>
    <row r="357" spans="1:29" x14ac:dyDescent="0.3">
      <c r="B357" s="270" t="s">
        <v>352</v>
      </c>
    </row>
    <row r="358" spans="1:29" x14ac:dyDescent="0.3">
      <c r="B358" s="300" t="s">
        <v>353</v>
      </c>
    </row>
    <row r="360" spans="1:29" x14ac:dyDescent="0.3">
      <c r="B360" s="6" t="s">
        <v>385</v>
      </c>
    </row>
    <row r="361" spans="1:29" x14ac:dyDescent="0.3">
      <c r="B361" s="6" t="s">
        <v>384</v>
      </c>
    </row>
  </sheetData>
  <hyperlinks>
    <hyperlink ref="K9" r:id="rId1" display="http://www.paragon-group.co.uk" xr:uid="{8AA77E1B-2074-4E8A-BDA4-4FC114DDD416}"/>
    <hyperlink ref="P350" r:id="rId2" xr:uid="{57C6972C-C8AF-4145-8BCD-67098C069A84}"/>
    <hyperlink ref="P278" r:id="rId3" xr:uid="{2BECE365-40CF-456D-A609-C13BB137355A}"/>
    <hyperlink ref="B358" r:id="rId4" display="https://investorreporting.paragonbankinggroup.co.uk/bondinvestor_viewer/resources/bondinvestor/pdf/investornews/2021/libor-mortgages-transition-july-19" xr:uid="{C6DF2518-87C5-4439-A6C9-775877EF3999}"/>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8" max="18" man="1"/>
  </rowBreaks>
  <colBreaks count="1" manualBreakCount="1">
    <brk id="29" max="299" man="1"/>
  </colBreaks>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14A10-3928-46FE-8C36-A5751AE957CA}">
  <sheetPr>
    <tabColor rgb="FF2D2926"/>
  </sheetPr>
  <dimension ref="A1:JB362"/>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0.28785374354490217</v>
      </c>
      <c r="Z17" s="29" t="s">
        <v>258</v>
      </c>
      <c r="AA17" s="29">
        <v>0.71214625645509777</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45345</v>
      </c>
      <c r="AC19" s="21"/>
      <c r="AD19" s="22"/>
    </row>
    <row r="20" spans="1:33" s="23" customFormat="1" x14ac:dyDescent="0.3">
      <c r="A20" s="18"/>
      <c r="B20" s="20"/>
      <c r="C20" s="20"/>
      <c r="D20" s="308"/>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307"/>
      <c r="E21" s="20"/>
      <c r="F21" s="287"/>
      <c r="G21" s="20"/>
      <c r="H21" s="309"/>
      <c r="I21" s="20"/>
      <c r="J21" s="308"/>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213</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214</v>
      </c>
      <c r="I27" s="229"/>
      <c r="J27" s="229" t="s">
        <v>215</v>
      </c>
      <c r="K27" s="229"/>
      <c r="L27" s="229" t="s">
        <v>365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22472.455399999999</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3672.0651399999997</v>
      </c>
      <c r="Q30" s="54"/>
      <c r="R30" s="54">
        <v>0</v>
      </c>
      <c r="S30" s="54"/>
      <c r="T30" s="54" t="s">
        <v>83</v>
      </c>
      <c r="U30" s="54"/>
      <c r="V30" s="54" t="s">
        <v>83</v>
      </c>
      <c r="W30" s="54"/>
      <c r="X30" s="54" t="s">
        <v>83</v>
      </c>
      <c r="Y30" s="54" t="s">
        <v>83</v>
      </c>
      <c r="Z30" s="54"/>
      <c r="AA30" s="49"/>
      <c r="AB30" s="50">
        <f>SUM(D30:N30)+1</f>
        <v>257516.45540000001</v>
      </c>
      <c r="AC30" s="51"/>
      <c r="AD30" s="22"/>
    </row>
    <row r="31" spans="1:33" s="23" customFormat="1" x14ac:dyDescent="0.3">
      <c r="A31" s="47"/>
      <c r="B31" s="44" t="s">
        <v>92</v>
      </c>
      <c r="C31" s="49"/>
      <c r="D31" s="57">
        <f>D29*D32</f>
        <v>18169.70882</v>
      </c>
      <c r="E31" s="57"/>
      <c r="F31" s="57">
        <f>F29</f>
        <v>151540</v>
      </c>
      <c r="G31" s="57"/>
      <c r="H31" s="57">
        <f>H29</f>
        <v>24741</v>
      </c>
      <c r="I31" s="57"/>
      <c r="J31" s="57">
        <f>J29</f>
        <v>18555</v>
      </c>
      <c r="K31" s="57"/>
      <c r="L31" s="57">
        <f>L29</f>
        <v>20102</v>
      </c>
      <c r="M31" s="57"/>
      <c r="N31" s="57">
        <f>N29</f>
        <v>20105</v>
      </c>
      <c r="O31" s="57"/>
      <c r="P31" s="57">
        <f>P29*P32</f>
        <v>3561.1358399999999</v>
      </c>
      <c r="Q31" s="57"/>
      <c r="R31" s="57">
        <v>0</v>
      </c>
      <c r="S31" s="57"/>
      <c r="T31" s="57" t="s">
        <v>83</v>
      </c>
      <c r="U31" s="57"/>
      <c r="V31" s="57" t="s">
        <v>83</v>
      </c>
      <c r="W31" s="57"/>
      <c r="X31" s="57" t="s">
        <v>83</v>
      </c>
      <c r="Y31" s="57" t="s">
        <v>83</v>
      </c>
      <c r="Z31" s="57"/>
      <c r="AA31" s="49"/>
      <c r="AB31" s="56">
        <f>SUM(D31:N31)</f>
        <v>253212.70882</v>
      </c>
      <c r="AC31" s="51"/>
      <c r="AD31" s="22"/>
      <c r="AE31" s="235"/>
    </row>
    <row r="32" spans="1:33" s="65" customFormat="1" x14ac:dyDescent="0.3">
      <c r="A32" s="58"/>
      <c r="B32" s="166" t="s">
        <v>88</v>
      </c>
      <c r="C32" s="61"/>
      <c r="D32" s="60">
        <v>4.7379999999999999E-2</v>
      </c>
      <c r="E32" s="60"/>
      <c r="F32" s="60">
        <v>1</v>
      </c>
      <c r="G32" s="60"/>
      <c r="H32" s="60">
        <v>1</v>
      </c>
      <c r="I32" s="60"/>
      <c r="J32" s="60">
        <v>1</v>
      </c>
      <c r="K32" s="60"/>
      <c r="L32" s="60">
        <v>1</v>
      </c>
      <c r="M32" s="60"/>
      <c r="N32" s="60">
        <v>1</v>
      </c>
      <c r="O32" s="60"/>
      <c r="P32" s="60">
        <v>0.34992000000000001</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5.8599999999999999E-2</v>
      </c>
      <c r="E33" s="60"/>
      <c r="F33" s="60">
        <v>1</v>
      </c>
      <c r="G33" s="60"/>
      <c r="H33" s="60">
        <v>1</v>
      </c>
      <c r="I33" s="60"/>
      <c r="J33" s="60">
        <v>1</v>
      </c>
      <c r="K33" s="60"/>
      <c r="L33" s="60">
        <v>1</v>
      </c>
      <c r="M33" s="60"/>
      <c r="N33" s="60">
        <v>1</v>
      </c>
      <c r="O33" s="60"/>
      <c r="P33" s="60">
        <v>0.36081999999999997</v>
      </c>
      <c r="Q33" s="60"/>
      <c r="R33" s="60">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6.2707499999999999E-2</v>
      </c>
      <c r="E35" s="241"/>
      <c r="F35" s="241">
        <v>6.4207500000000001E-2</v>
      </c>
      <c r="G35" s="241"/>
      <c r="H35" s="241">
        <v>7.1207500000000007E-2</v>
      </c>
      <c r="I35" s="241"/>
      <c r="J35" s="241">
        <v>7.4707499999999996E-2</v>
      </c>
      <c r="K35" s="241"/>
      <c r="L35" s="241">
        <v>7.8207499999999999E-2</v>
      </c>
      <c r="M35" s="241"/>
      <c r="N35" s="241">
        <v>8.8207499999999994E-2</v>
      </c>
      <c r="O35" s="241"/>
      <c r="P35" s="241">
        <v>9.2207499999999998E-2</v>
      </c>
      <c r="Q35" s="241"/>
      <c r="R35" s="241">
        <v>9.2207499999999998E-2</v>
      </c>
      <c r="S35" s="68"/>
      <c r="T35" s="68" t="s">
        <v>83</v>
      </c>
      <c r="U35" s="68"/>
      <c r="V35" s="68" t="s">
        <v>83</v>
      </c>
      <c r="W35" s="68"/>
      <c r="X35" s="68" t="s">
        <v>83</v>
      </c>
      <c r="Y35" s="68" t="s">
        <v>83</v>
      </c>
      <c r="Z35" s="68"/>
      <c r="AA35" s="40"/>
      <c r="AB35" s="67">
        <f>SUMPRODUCT(D35:N35,D30:N30)/AB30</f>
        <v>6.8472041493840397E-2</v>
      </c>
      <c r="AC35" s="43"/>
      <c r="AD35" s="22"/>
    </row>
    <row r="36" spans="1:30" s="23" customFormat="1" x14ac:dyDescent="0.3">
      <c r="A36" s="47"/>
      <c r="B36" s="40" t="s">
        <v>10</v>
      </c>
      <c r="C36" s="69"/>
      <c r="D36" s="241">
        <v>6.26911E-2</v>
      </c>
      <c r="E36" s="241"/>
      <c r="F36" s="241">
        <v>6.4191100000000001E-2</v>
      </c>
      <c r="G36" s="241"/>
      <c r="H36" s="241">
        <v>7.1191099999999993E-2</v>
      </c>
      <c r="I36" s="241"/>
      <c r="J36" s="241">
        <v>7.4691099999999996E-2</v>
      </c>
      <c r="K36" s="241"/>
      <c r="L36" s="241">
        <v>7.8191099999999999E-2</v>
      </c>
      <c r="M36" s="241"/>
      <c r="N36" s="241">
        <v>8.8191099999999994E-2</v>
      </c>
      <c r="O36" s="241"/>
      <c r="P36" s="241">
        <v>9.2191099999999998E-2</v>
      </c>
      <c r="Q36" s="241"/>
      <c r="R36" s="241">
        <v>9.2191099999999998E-2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0.49203431306670958</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45337</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92</v>
      </c>
      <c r="Y48" s="40"/>
      <c r="Z48" s="76">
        <v>45153</v>
      </c>
      <c r="AA48" s="77"/>
      <c r="AB48" s="76">
        <v>45244</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92</v>
      </c>
      <c r="Y49" s="40"/>
      <c r="Z49" s="76">
        <v>45245</v>
      </c>
      <c r="AA49" s="77"/>
      <c r="AB49" s="76">
        <v>45336</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45336</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389</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257512</v>
      </c>
      <c r="S58" s="238"/>
      <c r="T58" s="237">
        <f>122+111</f>
        <v>233</v>
      </c>
      <c r="U58" s="237"/>
      <c r="V58" s="237">
        <v>4067</v>
      </c>
      <c r="W58" s="238"/>
      <c r="X58" s="238">
        <v>0</v>
      </c>
      <c r="Y58" s="238"/>
      <c r="Z58" s="238">
        <v>0</v>
      </c>
      <c r="AA58" s="238"/>
      <c r="AB58" s="237">
        <f>R58-T58-V58+X58-Z58</f>
        <v>253212</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257512</v>
      </c>
      <c r="S61" s="238"/>
      <c r="T61" s="238">
        <f>T58+T59</f>
        <v>233</v>
      </c>
      <c r="U61" s="238"/>
      <c r="V61" s="238">
        <f>SUM(V58:V60)</f>
        <v>4067</v>
      </c>
      <c r="W61" s="238"/>
      <c r="X61" s="238">
        <f>SUM(X58:X60)</f>
        <v>0</v>
      </c>
      <c r="Y61" s="238"/>
      <c r="Z61" s="238">
        <f>SUM(Z58:Z60)</f>
        <v>0</v>
      </c>
      <c r="AA61" s="238"/>
      <c r="AB61" s="238">
        <f>SUM(AB58:AB60)</f>
        <v>253212</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4</v>
      </c>
      <c r="S64" s="238"/>
      <c r="T64" s="238">
        <v>0</v>
      </c>
      <c r="U64" s="238"/>
      <c r="V64" s="238">
        <v>-3</v>
      </c>
      <c r="W64" s="238"/>
      <c r="X64" s="238"/>
      <c r="Y64" s="238"/>
      <c r="Z64" s="238"/>
      <c r="AA64" s="238"/>
      <c r="AB64" s="238">
        <f>R64+V64</f>
        <v>1</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257516</v>
      </c>
      <c r="S67" s="238"/>
      <c r="T67" s="238"/>
      <c r="U67" s="238"/>
      <c r="V67" s="238"/>
      <c r="W67" s="238"/>
      <c r="X67" s="238"/>
      <c r="Y67" s="238"/>
      <c r="Z67" s="238"/>
      <c r="AA67" s="238"/>
      <c r="AB67" s="238">
        <f>SUM(AB61:AB66)</f>
        <v>253213</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+Z239</f>
        <v>45322</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4</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+T58+V58+Z58+1</f>
        <v>4301</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2129+1174-124-110</f>
        <v>3069</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43+34</f>
        <v>77</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201</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111</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378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813</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1220</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4305</v>
      </c>
      <c r="AA84" s="40"/>
      <c r="AB84" s="97">
        <f>SUM(AB71:AB83)</f>
        <v>5491</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4305</v>
      </c>
      <c r="AA87" s="40"/>
      <c r="AB87" s="97">
        <f>AB84+AB85+AB86</f>
        <v>5491</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-130-10-5</f>
        <v>-145</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1380</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-357</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-2452</v>
      </c>
      <c r="AC94" s="114"/>
      <c r="AD94" s="30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-444</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-349</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-396</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-1</v>
      </c>
      <c r="AA101" s="112"/>
      <c r="AB101" s="98">
        <v>1</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-619</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-800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-447</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-85</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-111</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-7-92</f>
        <v>-99</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30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-542</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-4303</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-4303</v>
      </c>
      <c r="AA130" s="97"/>
      <c r="AB130" s="97">
        <f>SUM(AB88:AB128)</f>
        <v>-5491</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1</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JANUARY 2024</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+'October 23'!AB146</f>
        <v>3092.5499999999993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-111</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2981.5499999999993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+'October 23'!AB159</f>
        <v>579.85500000000002</v>
      </c>
      <c r="AC150" s="43"/>
      <c r="AD150" s="22"/>
      <c r="AE150" s="115"/>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c r="AE159" s="115"/>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+'October 23'!AB165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+'October 23'!AB173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-1</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-1</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1</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+'October 23'!AB182</f>
        <v>3427</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311" t="s">
        <v>381</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237">
        <v>619</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379</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813</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3233</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+'October 23'!AB190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382</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220</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AB187-AB189+AB188</f>
        <v>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+'October 23'!AB199</f>
        <v>354</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237">
        <f>AB205</f>
        <v>988</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377</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237">
        <v>0</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222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AB83</f>
        <v>1220</v>
      </c>
      <c r="AC198" s="43"/>
      <c r="AD198" s="310"/>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7" customFormat="1" x14ac:dyDescent="0.3">
      <c r="A199" s="47"/>
      <c r="B199" s="40" t="s">
        <v>356</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f>AB195+AB196-AB198-AB197</f>
        <v>122</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9" customFormat="1" ht="16.2" thickBot="1" x14ac:dyDescent="0.35">
      <c r="A200" s="138"/>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126"/>
      <c r="AC200" s="10"/>
      <c r="AD200" s="5"/>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row>
    <row r="201" spans="1:262" x14ac:dyDescent="0.3">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134"/>
      <c r="AC201" s="4"/>
      <c r="AD201" s="5"/>
    </row>
    <row r="202" spans="1:262" s="136" customFormat="1" x14ac:dyDescent="0.3">
      <c r="A202" s="7"/>
      <c r="B202" s="125" t="s">
        <v>350</v>
      </c>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135"/>
      <c r="AC202" s="10"/>
      <c r="AD202" s="5"/>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row>
    <row r="203" spans="1:262" s="137" customFormat="1" x14ac:dyDescent="0.3">
      <c r="A203" s="47"/>
      <c r="B203" s="40" t="s">
        <v>209</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v>901</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40" t="s">
        <v>210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f>+'October 23'!AB207</f>
        <v>1027</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250</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v>988</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59" t="s">
        <v>223</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-AB103</f>
        <v>800</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7" customFormat="1" x14ac:dyDescent="0.3">
      <c r="A207" s="47"/>
      <c r="B207" s="40" t="s">
        <v>211</v>
      </c>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98">
        <f>AB204-AB205+AB206</f>
        <v>839</v>
      </c>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9" customFormat="1" ht="16.2" thickBot="1" x14ac:dyDescent="0.35">
      <c r="A208" s="138"/>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126"/>
      <c r="AC208" s="10"/>
      <c r="AD208" s="5"/>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row>
    <row r="209" spans="1:262" x14ac:dyDescent="0.3">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134"/>
      <c r="AC209" s="4"/>
      <c r="AD209" s="5"/>
    </row>
    <row r="210" spans="1:262" s="136" customFormat="1" x14ac:dyDescent="0.3">
      <c r="A210" s="7"/>
      <c r="B210" s="125" t="s">
        <v>229</v>
      </c>
      <c r="C210" s="99"/>
      <c r="D210" s="99"/>
      <c r="E210" s="99"/>
      <c r="F210" s="99"/>
      <c r="G210" s="99"/>
      <c r="H210" s="99"/>
      <c r="I210" s="99"/>
      <c r="J210" s="99"/>
      <c r="K210" s="99"/>
      <c r="L210" s="99"/>
      <c r="M210" s="99"/>
      <c r="N210" s="99"/>
      <c r="O210" s="99"/>
      <c r="P210" s="99"/>
      <c r="Q210" s="99"/>
      <c r="R210" s="99"/>
      <c r="S210" s="99"/>
      <c r="T210" s="99"/>
      <c r="U210" s="99"/>
      <c r="V210" s="99"/>
      <c r="W210" s="99"/>
      <c r="X210" s="99"/>
      <c r="Y210" s="233" t="s">
        <v>235</v>
      </c>
      <c r="Z210" s="233" t="s">
        <v>236</v>
      </c>
      <c r="AA210" s="12"/>
      <c r="AB210" s="234" t="s">
        <v>80</v>
      </c>
      <c r="AC210" s="10"/>
      <c r="AD210" s="5"/>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row>
    <row r="211" spans="1:262" s="137" customFormat="1" x14ac:dyDescent="0.3">
      <c r="A211" s="47"/>
      <c r="B211" s="40" t="s">
        <v>230</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+AB29*0.16</f>
        <v>98965.119999999995</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231</v>
      </c>
      <c r="C212" s="40"/>
      <c r="D212" s="40"/>
      <c r="E212" s="40"/>
      <c r="F212" s="40"/>
      <c r="G212" s="40"/>
      <c r="H212" s="40"/>
      <c r="I212" s="40"/>
      <c r="J212" s="40"/>
      <c r="K212" s="40"/>
      <c r="L212" s="40"/>
      <c r="M212" s="40"/>
      <c r="N212" s="40"/>
      <c r="O212" s="40"/>
      <c r="P212" s="40"/>
      <c r="Q212" s="40"/>
      <c r="R212" s="40"/>
      <c r="S212" s="40"/>
      <c r="T212" s="40"/>
      <c r="U212" s="40"/>
      <c r="V212" s="40"/>
      <c r="W212" s="40"/>
      <c r="X212" s="40"/>
      <c r="Y212" s="98">
        <f>+'October 23'!Y213</f>
        <v>0</v>
      </c>
      <c r="Z212" s="98">
        <f>+'October 23'!Z213</f>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232</v>
      </c>
      <c r="C213" s="40"/>
      <c r="D213" s="40"/>
      <c r="E213" s="40"/>
      <c r="F213" s="40"/>
      <c r="G213" s="40"/>
      <c r="H213" s="40"/>
      <c r="I213" s="40"/>
      <c r="J213" s="40"/>
      <c r="K213" s="40"/>
      <c r="L213" s="40"/>
      <c r="M213" s="40"/>
      <c r="N213" s="40"/>
      <c r="O213" s="40"/>
      <c r="P213" s="40"/>
      <c r="Q213" s="40"/>
      <c r="R213" s="40"/>
      <c r="S213" s="40"/>
      <c r="T213" s="40"/>
      <c r="U213" s="40"/>
      <c r="V213" s="40"/>
      <c r="W213" s="40"/>
      <c r="X213" s="40"/>
      <c r="Y213" s="97">
        <v>0</v>
      </c>
      <c r="Z213" s="97">
        <v>0</v>
      </c>
      <c r="AA213" s="40"/>
      <c r="AB213" s="98">
        <f>Y213+Z213</f>
        <v>0</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233</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Y212+Y213</f>
        <v>0</v>
      </c>
      <c r="Z214" s="98">
        <f>Z213+Z212</f>
        <v>0</v>
      </c>
      <c r="AA214" s="40"/>
      <c r="AB214" s="98">
        <f>Y214+Z214</f>
        <v>0</v>
      </c>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7" customFormat="1" x14ac:dyDescent="0.3">
      <c r="A215" s="47"/>
      <c r="B215" s="40" t="s">
        <v>234</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f>Y211-Y214-Z214</f>
        <v>98965.119999999995</v>
      </c>
      <c r="Z215" s="70"/>
      <c r="AA215" s="40"/>
      <c r="AB215" s="98"/>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9" customFormat="1" ht="16.2" thickBot="1" x14ac:dyDescent="0.35">
      <c r="A216" s="138"/>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126"/>
      <c r="AC216" s="10"/>
      <c r="AD216" s="5"/>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row>
    <row r="217" spans="1:262" x14ac:dyDescent="0.3">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134"/>
      <c r="AC217" s="4"/>
      <c r="AD217" s="5"/>
    </row>
    <row r="218" spans="1:262" s="136" customFormat="1" x14ac:dyDescent="0.3">
      <c r="A218" s="7"/>
      <c r="B218" s="125" t="s">
        <v>261</v>
      </c>
      <c r="C218" s="99"/>
      <c r="D218" s="99"/>
      <c r="E218" s="99"/>
      <c r="F218" s="99"/>
      <c r="G218" s="99"/>
      <c r="H218" s="99"/>
      <c r="I218" s="99"/>
      <c r="J218" s="99"/>
      <c r="K218" s="99"/>
      <c r="L218" s="99"/>
      <c r="M218" s="99"/>
      <c r="N218" s="99"/>
      <c r="O218" s="99"/>
      <c r="P218" s="99"/>
      <c r="Q218" s="99"/>
      <c r="R218" s="99"/>
      <c r="S218" s="99"/>
      <c r="T218" s="99"/>
      <c r="U218" s="99"/>
      <c r="V218" s="99"/>
      <c r="W218" s="99"/>
      <c r="X218" s="99"/>
      <c r="Y218" s="233"/>
      <c r="Z218" s="233"/>
      <c r="AA218" s="12"/>
      <c r="AB218" s="234" t="s">
        <v>80</v>
      </c>
      <c r="AC218" s="10"/>
      <c r="AD218" s="5"/>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row>
    <row r="219" spans="1:262" s="137" customFormat="1" x14ac:dyDescent="0.3">
      <c r="A219" s="47"/>
      <c r="B219" s="40" t="s">
        <v>373</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70"/>
      <c r="AA219" s="40"/>
      <c r="AB219" s="237">
        <v>201208</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306</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237">
        <v>206855</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260</v>
      </c>
      <c r="C221" s="40"/>
      <c r="D221" s="40"/>
      <c r="E221" s="40"/>
      <c r="F221" s="40"/>
      <c r="G221" s="40"/>
      <c r="H221" s="40"/>
      <c r="I221" s="40"/>
      <c r="J221" s="40"/>
      <c r="K221" s="40"/>
      <c r="L221" s="40"/>
      <c r="M221" s="40"/>
      <c r="N221" s="40"/>
      <c r="O221" s="40"/>
      <c r="P221" s="40"/>
      <c r="Q221" s="40"/>
      <c r="R221" s="40"/>
      <c r="S221" s="40"/>
      <c r="T221" s="40"/>
      <c r="U221" s="40"/>
      <c r="V221" s="40"/>
      <c r="W221" s="40"/>
      <c r="X221" s="40"/>
      <c r="Y221" s="98"/>
      <c r="Z221" s="98"/>
      <c r="AA221" s="40"/>
      <c r="AB221" s="98">
        <f>AB219-AB220</f>
        <v>-5647</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7" customFormat="1" x14ac:dyDescent="0.3">
      <c r="A222" s="47"/>
      <c r="B222" s="40" t="s">
        <v>303</v>
      </c>
      <c r="C222" s="40"/>
      <c r="D222" s="40"/>
      <c r="E222" s="40"/>
      <c r="F222" s="40"/>
      <c r="G222" s="40"/>
      <c r="H222" s="40"/>
      <c r="I222" s="40"/>
      <c r="J222" s="40"/>
      <c r="K222" s="40"/>
      <c r="L222" s="40"/>
      <c r="M222" s="40"/>
      <c r="N222" s="40"/>
      <c r="O222" s="40"/>
      <c r="P222" s="40"/>
      <c r="Q222" s="40"/>
      <c r="R222" s="40"/>
      <c r="S222" s="40"/>
      <c r="T222" s="40"/>
      <c r="U222" s="40"/>
      <c r="V222" s="40"/>
      <c r="W222" s="40"/>
      <c r="X222" s="40"/>
      <c r="Y222" s="97"/>
      <c r="Z222" s="97"/>
      <c r="AA222" s="40"/>
      <c r="AB222" s="313">
        <v>2.5202271035748101E-2</v>
      </c>
      <c r="AC222" s="43"/>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39" customFormat="1" ht="16.2" thickBot="1" x14ac:dyDescent="0.35">
      <c r="A223" s="138"/>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126"/>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4"/>
      <c r="AC224" s="4"/>
      <c r="AD224" s="5"/>
    </row>
    <row r="225" spans="1:30" x14ac:dyDescent="0.3">
      <c r="A225" s="7"/>
      <c r="B225" s="125" t="s">
        <v>39</v>
      </c>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140"/>
      <c r="AC225" s="10"/>
      <c r="AD225" s="5"/>
    </row>
    <row r="226" spans="1:30" s="23" customFormat="1" x14ac:dyDescent="0.3">
      <c r="A226" s="47"/>
      <c r="B226" s="40" t="s">
        <v>40</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f>(AB87+AB89+AB90+AB91+AB92)/-(AB93+AB94)</f>
        <v>2.3937344250622998</v>
      </c>
      <c r="AC226" s="43" t="s">
        <v>81</v>
      </c>
      <c r="AD226" s="22"/>
    </row>
    <row r="227" spans="1:30" s="23" customFormat="1" x14ac:dyDescent="0.3">
      <c r="A227" s="47"/>
      <c r="B227" s="40" t="s">
        <v>41</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3.38</v>
      </c>
      <c r="AC227" s="43" t="s">
        <v>81</v>
      </c>
      <c r="AD227" s="22"/>
    </row>
    <row r="228" spans="1:30" s="23" customFormat="1" x14ac:dyDescent="0.3">
      <c r="A228" s="47"/>
      <c r="B228" s="40" t="s">
        <v>144</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(AB87+AB89+AB90+AB91+AB92+AB93+AB94)/-(AB95)</f>
        <v>8.8175675675675684</v>
      </c>
      <c r="AC228" s="43" t="s">
        <v>81</v>
      </c>
      <c r="AD228" s="22"/>
    </row>
    <row r="229" spans="1:30" s="23" customFormat="1" x14ac:dyDescent="0.3">
      <c r="A229" s="47"/>
      <c r="B229" s="40" t="s">
        <v>145</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20.04</v>
      </c>
      <c r="AC229" s="43" t="s">
        <v>81</v>
      </c>
      <c r="AD229" s="22"/>
    </row>
    <row r="230" spans="1:30" s="23" customFormat="1" x14ac:dyDescent="0.3">
      <c r="A230" s="47"/>
      <c r="B230" s="40" t="s">
        <v>146</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(AB87+AB89+AB90+AB91+AB92+AB93+AB94+AB95)/-(AB97)</f>
        <v>9.9455587392550147</v>
      </c>
      <c r="AC230" s="43" t="s">
        <v>81</v>
      </c>
      <c r="AD230" s="22"/>
    </row>
    <row r="231" spans="1:30" s="23" customFormat="1" x14ac:dyDescent="0.3">
      <c r="A231" s="47"/>
      <c r="B231" s="40" t="s">
        <v>147</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23.07</v>
      </c>
      <c r="AC231" s="43" t="s">
        <v>81</v>
      </c>
      <c r="AD231" s="22"/>
    </row>
    <row r="232" spans="1:30" s="23" customFormat="1" x14ac:dyDescent="0.3">
      <c r="A232" s="47"/>
      <c r="B232" s="40" t="s">
        <v>176</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1">
        <f>(AB87+AB89+AB90+AB91+AB92+AB93+AB94+AB95+AB97)/-(AB98)</f>
        <v>7.8838383838383841</v>
      </c>
      <c r="AC232" s="43" t="s">
        <v>81</v>
      </c>
      <c r="AD232" s="22"/>
    </row>
    <row r="233" spans="1:30" s="23" customFormat="1" x14ac:dyDescent="0.3">
      <c r="A233" s="47"/>
      <c r="B233" s="40" t="s">
        <v>177</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2">
        <v>18.64</v>
      </c>
      <c r="AC233" s="43" t="s">
        <v>81</v>
      </c>
      <c r="AD233" s="22"/>
    </row>
    <row r="234" spans="1:30" s="23" customFormat="1" x14ac:dyDescent="0.3">
      <c r="A234" s="47"/>
      <c r="B234" s="40" t="s">
        <v>163</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1">
        <f>(AB87+AB89+AB90+AB91+AB92+AB93+AB94+AB95+AB97+AB98)/-(AB107)</f>
        <v>6.0984340044742726</v>
      </c>
      <c r="AC234" s="43" t="s">
        <v>81</v>
      </c>
      <c r="AD234" s="22"/>
    </row>
    <row r="235" spans="1:30" s="23" customFormat="1" x14ac:dyDescent="0.3">
      <c r="A235" s="47"/>
      <c r="B235" s="40" t="s">
        <v>164</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2">
        <v>14.21</v>
      </c>
      <c r="AC235" s="43" t="s">
        <v>81</v>
      </c>
      <c r="AD235" s="22"/>
    </row>
    <row r="236" spans="1:30" s="23" customFormat="1" x14ac:dyDescent="0.3">
      <c r="A236" s="18"/>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21"/>
      <c r="AD236" s="22"/>
    </row>
    <row r="237" spans="1:30" s="23" customFormat="1" x14ac:dyDescent="0.3">
      <c r="A237" s="18"/>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1"/>
      <c r="AD237" s="22"/>
    </row>
    <row r="238" spans="1:30" s="23" customFormat="1" ht="18.600000000000001" thickBot="1" x14ac:dyDescent="0.4">
      <c r="A238" s="83"/>
      <c r="B238" s="84" t="str">
        <f>B134</f>
        <v>PM26 INVESTOR REPORT QUARTER ENDING JANUARY 2024</v>
      </c>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7"/>
      <c r="AD238" s="22"/>
    </row>
    <row r="239" spans="1:30" x14ac:dyDescent="0.3">
      <c r="A239" s="119"/>
      <c r="B239" s="120" t="s">
        <v>42</v>
      </c>
      <c r="C239" s="143"/>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v>45322</v>
      </c>
      <c r="AA239" s="121"/>
      <c r="AB239" s="121"/>
      <c r="AC239" s="123"/>
      <c r="AD239" s="5"/>
    </row>
    <row r="240" spans="1:30" x14ac:dyDescent="0.3">
      <c r="A240" s="145"/>
      <c r="B240" s="146"/>
      <c r="C240" s="147"/>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9"/>
      <c r="AB240" s="9"/>
      <c r="AC240" s="10"/>
      <c r="AD240" s="5"/>
    </row>
    <row r="241" spans="1:30" s="23" customFormat="1" x14ac:dyDescent="0.3">
      <c r="A241" s="47"/>
      <c r="B241" s="40" t="s">
        <v>43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3.773E-2</v>
      </c>
      <c r="AA241" s="40"/>
      <c r="AB241" s="40"/>
      <c r="AC241" s="43"/>
      <c r="AD241" s="22"/>
    </row>
    <row r="242" spans="1:30" s="23" customFormat="1" x14ac:dyDescent="0.3">
      <c r="A242" s="47"/>
      <c r="B242" s="40" t="s">
        <v>132</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v>2.0008281159907649E-2</v>
      </c>
      <c r="AA242" s="40"/>
      <c r="AB242" s="40"/>
      <c r="AC242" s="43"/>
      <c r="AD242" s="22"/>
    </row>
    <row r="243" spans="1:30" s="23" customFormat="1" x14ac:dyDescent="0.3">
      <c r="A243" s="47"/>
      <c r="B243" s="40" t="s">
        <v>44</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Z241-Z242</f>
        <v>1.7721718840092351E-2</v>
      </c>
      <c r="AA243" s="40"/>
      <c r="AB243" s="40"/>
      <c r="AC243" s="43"/>
      <c r="AD243" s="22"/>
    </row>
    <row r="244" spans="1:30" s="23" customFormat="1" x14ac:dyDescent="0.3">
      <c r="A244" s="47"/>
      <c r="B244" s="40" t="s">
        <v>45</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v>4.6676760605374394E-2</v>
      </c>
      <c r="AA244" s="40"/>
      <c r="AB244" s="40"/>
      <c r="AC244" s="43"/>
      <c r="AD244" s="22"/>
    </row>
    <row r="245" spans="1:30" s="23" customFormat="1" x14ac:dyDescent="0.3">
      <c r="A245" s="47"/>
      <c r="B245" s="40" t="s">
        <v>133</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+AB35</f>
        <v>6.8472041493840397E-2</v>
      </c>
      <c r="AA245" s="40"/>
      <c r="AB245" s="40"/>
      <c r="AC245" s="43"/>
      <c r="AD245" s="22"/>
    </row>
    <row r="246" spans="1:30" s="23" customFormat="1" x14ac:dyDescent="0.3">
      <c r="A246" s="47"/>
      <c r="B246" s="40" t="s">
        <v>383</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314">
        <v>0</v>
      </c>
      <c r="AA246" s="40"/>
      <c r="AB246" s="40"/>
      <c r="AC246" s="43"/>
      <c r="AD246" s="22"/>
    </row>
    <row r="247" spans="1:30" s="23" customFormat="1" x14ac:dyDescent="0.3">
      <c r="A247" s="47"/>
      <c r="B247" s="40" t="s">
        <v>119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67">
        <f>(+AB87+AB89+AB92)/R67</f>
        <v>2.6681837245064385E-2</v>
      </c>
      <c r="AA247" s="40"/>
      <c r="AB247" s="40"/>
      <c r="AC247" s="43"/>
      <c r="AD247" s="22"/>
    </row>
    <row r="248" spans="1:30" s="23" customFormat="1" x14ac:dyDescent="0.3">
      <c r="A248" s="47"/>
      <c r="B248" s="40" t="s">
        <v>112</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0" s="23" customFormat="1" x14ac:dyDescent="0.3">
      <c r="A249" s="47"/>
      <c r="B249" s="40" t="s">
        <v>148</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0" s="23" customFormat="1" x14ac:dyDescent="0.3">
      <c r="A250" s="47"/>
      <c r="B250" s="40" t="s">
        <v>149</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0" s="23" customFormat="1" x14ac:dyDescent="0.3">
      <c r="A251" s="47"/>
      <c r="B251" s="40" t="s">
        <v>178</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0" s="23" customFormat="1" x14ac:dyDescent="0.3">
      <c r="A252" s="47"/>
      <c r="B252" s="40" t="s">
        <v>165</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0" s="23" customFormat="1" x14ac:dyDescent="0.3">
      <c r="A253" s="47"/>
      <c r="B253" s="40" t="s">
        <v>189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0" s="23" customFormat="1" x14ac:dyDescent="0.3">
      <c r="A254" s="47"/>
      <c r="B254" s="40" t="s">
        <v>190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150">
        <v>53097</v>
      </c>
      <c r="AA254" s="40"/>
      <c r="AB254" s="40"/>
      <c r="AC254" s="43"/>
      <c r="AD254" s="22"/>
    </row>
    <row r="255" spans="1:30" s="23" customFormat="1" x14ac:dyDescent="0.3">
      <c r="A255" s="47"/>
      <c r="B255" s="40" t="s">
        <v>47</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18.28</v>
      </c>
      <c r="AA255" s="40" t="s">
        <v>76</v>
      </c>
      <c r="AB255" s="40"/>
      <c r="AC255" s="43"/>
      <c r="AD255" s="22"/>
    </row>
    <row r="256" spans="1:30" s="23" customFormat="1" x14ac:dyDescent="0.3">
      <c r="A256" s="47"/>
      <c r="B256" s="40" t="s">
        <v>48</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71">
        <v>13.981624347231026</v>
      </c>
      <c r="AA256" s="40" t="s">
        <v>76</v>
      </c>
      <c r="AB256" s="40"/>
      <c r="AC256" s="43"/>
      <c r="AD256" s="22"/>
    </row>
    <row r="257" spans="1:31" s="23" customFormat="1" x14ac:dyDescent="0.3">
      <c r="A257" s="47"/>
      <c r="B257" s="40" t="s">
        <v>49</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f>(+T58+V58+Z58)/(R58+R64+R65)</f>
        <v>1.6697991581105642E-2</v>
      </c>
      <c r="AA257" s="40"/>
      <c r="AB257" s="40"/>
      <c r="AC257" s="43"/>
      <c r="AD257" s="22"/>
      <c r="AE257" s="271"/>
    </row>
    <row r="258" spans="1:31" s="23" customFormat="1" x14ac:dyDescent="0.3">
      <c r="A258" s="47"/>
      <c r="B258" s="40" t="s">
        <v>50</v>
      </c>
      <c r="C258" s="149"/>
      <c r="D258" s="73"/>
      <c r="E258" s="73"/>
      <c r="F258" s="73"/>
      <c r="G258" s="73"/>
      <c r="H258" s="73"/>
      <c r="I258" s="73"/>
      <c r="J258" s="73"/>
      <c r="K258" s="73"/>
      <c r="L258" s="73"/>
      <c r="M258" s="73"/>
      <c r="N258" s="73"/>
      <c r="O258" s="73"/>
      <c r="P258" s="73"/>
      <c r="Q258" s="73"/>
      <c r="R258" s="73"/>
      <c r="S258" s="73"/>
      <c r="T258" s="73"/>
      <c r="U258" s="73"/>
      <c r="V258" s="73"/>
      <c r="W258" s="73"/>
      <c r="X258" s="73"/>
      <c r="Y258" s="73"/>
      <c r="Z258" s="67">
        <v>0.1757</v>
      </c>
      <c r="AA258" s="40"/>
      <c r="AB258" s="40"/>
      <c r="AC258" s="43"/>
      <c r="AD258" s="22"/>
    </row>
    <row r="259" spans="1:31" x14ac:dyDescent="0.3">
      <c r="A259" s="145"/>
      <c r="B259" s="151"/>
      <c r="C259" s="151"/>
      <c r="D259" s="99"/>
      <c r="E259" s="99"/>
      <c r="F259" s="99"/>
      <c r="G259" s="99"/>
      <c r="H259" s="99"/>
      <c r="I259" s="99"/>
      <c r="J259" s="99"/>
      <c r="K259" s="99"/>
      <c r="L259" s="99"/>
      <c r="M259" s="99"/>
      <c r="N259" s="99"/>
      <c r="O259" s="99"/>
      <c r="P259" s="99"/>
      <c r="Q259" s="99"/>
      <c r="R259" s="99"/>
      <c r="S259" s="99"/>
      <c r="T259" s="99"/>
      <c r="U259" s="99"/>
      <c r="V259" s="99"/>
      <c r="W259" s="99"/>
      <c r="X259" s="99"/>
      <c r="Y259" s="99"/>
      <c r="Z259" s="126"/>
      <c r="AA259" s="99"/>
      <c r="AB259" s="152"/>
      <c r="AC259" s="10"/>
      <c r="AD259" s="5"/>
    </row>
    <row r="260" spans="1:31" x14ac:dyDescent="0.3">
      <c r="A260" s="153"/>
      <c r="B260" s="102" t="s">
        <v>51</v>
      </c>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t="s">
        <v>69</v>
      </c>
      <c r="Z260" s="154" t="s">
        <v>74</v>
      </c>
      <c r="AA260" s="34"/>
      <c r="AB260" s="34"/>
      <c r="AC260" s="36"/>
      <c r="AD260" s="5"/>
    </row>
    <row r="261" spans="1:31" s="23" customFormat="1" x14ac:dyDescent="0.3">
      <c r="A261" s="155"/>
      <c r="B261" s="37" t="s">
        <v>52</v>
      </c>
      <c r="C261" s="10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v>0</v>
      </c>
      <c r="Z261" s="157">
        <v>0</v>
      </c>
      <c r="AA261" s="37"/>
      <c r="AB261" s="158"/>
      <c r="AC261" s="159"/>
      <c r="AD261" s="22"/>
    </row>
    <row r="262" spans="1:31" s="23" customFormat="1" x14ac:dyDescent="0.3">
      <c r="A262" s="160"/>
      <c r="B262" s="40" t="s">
        <v>97</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+X314</f>
        <v>4</v>
      </c>
      <c r="Z262" s="162">
        <f>+Z314</f>
        <v>1183</v>
      </c>
      <c r="AA262" s="40"/>
      <c r="AB262" s="163"/>
      <c r="AC262" s="164"/>
      <c r="AD262" s="22"/>
    </row>
    <row r="263" spans="1:31" s="23" customFormat="1" x14ac:dyDescent="0.3">
      <c r="A263" s="160"/>
      <c r="B263" s="40" t="s">
        <v>53</v>
      </c>
      <c r="C263" s="97"/>
      <c r="D263" s="48"/>
      <c r="E263" s="48"/>
      <c r="F263" s="48"/>
      <c r="G263" s="48"/>
      <c r="H263" s="48"/>
      <c r="I263" s="48"/>
      <c r="J263" s="48"/>
      <c r="K263" s="48"/>
      <c r="L263" s="48"/>
      <c r="M263" s="48"/>
      <c r="N263" s="48"/>
      <c r="O263" s="48"/>
      <c r="P263" s="48"/>
      <c r="Q263" s="48"/>
      <c r="R263" s="48"/>
      <c r="S263" s="48"/>
      <c r="T263" s="48"/>
      <c r="U263" s="48"/>
      <c r="V263" s="48"/>
      <c r="W263" s="48"/>
      <c r="X263" s="48"/>
      <c r="Y263" s="161">
        <f>+X336</f>
        <v>1</v>
      </c>
      <c r="Z263" s="162">
        <f>+Z336</f>
        <v>195</v>
      </c>
      <c r="AA263" s="40"/>
      <c r="AB263" s="163"/>
      <c r="AC263" s="164"/>
      <c r="AD263" s="22"/>
    </row>
    <row r="264" spans="1:31" x14ac:dyDescent="0.3">
      <c r="A264" s="165"/>
      <c r="B264" s="166" t="s">
        <v>166</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Z58</f>
        <v>0</v>
      </c>
      <c r="AA264" s="59"/>
      <c r="AB264" s="168"/>
      <c r="AC264" s="169"/>
      <c r="AD264" s="5"/>
    </row>
    <row r="265" spans="1:31" x14ac:dyDescent="0.3">
      <c r="A265" s="165"/>
      <c r="B265" s="166" t="s">
        <v>255</v>
      </c>
      <c r="C265" s="167"/>
      <c r="D265" s="59"/>
      <c r="E265" s="59"/>
      <c r="F265" s="59"/>
      <c r="G265" s="59"/>
      <c r="H265" s="59"/>
      <c r="I265" s="59"/>
      <c r="J265" s="59"/>
      <c r="K265" s="59"/>
      <c r="L265" s="59"/>
      <c r="M265" s="59"/>
      <c r="N265" s="59"/>
      <c r="O265" s="59"/>
      <c r="P265" s="59"/>
      <c r="Q265" s="59"/>
      <c r="R265" s="59"/>
      <c r="S265" s="59"/>
      <c r="T265" s="59"/>
      <c r="U265" s="59"/>
      <c r="V265" s="59"/>
      <c r="W265" s="59"/>
      <c r="X265" s="59"/>
      <c r="Y265" s="112"/>
      <c r="Z265" s="162">
        <f>-T64</f>
        <v>0</v>
      </c>
      <c r="AA265" s="59"/>
      <c r="AB265" s="168"/>
      <c r="AC265" s="169"/>
      <c r="AD265" s="5"/>
    </row>
    <row r="266" spans="1:31" x14ac:dyDescent="0.3">
      <c r="A266" s="170"/>
      <c r="B266" s="166" t="s">
        <v>54</v>
      </c>
      <c r="C266" s="171"/>
      <c r="D266" s="59"/>
      <c r="E266" s="59"/>
      <c r="F266" s="59"/>
      <c r="G266" s="59"/>
      <c r="H266" s="59"/>
      <c r="I266" s="59"/>
      <c r="J266" s="59"/>
      <c r="K266" s="59"/>
      <c r="L266" s="59"/>
      <c r="M266" s="59"/>
      <c r="N266" s="59"/>
      <c r="O266" s="59"/>
      <c r="P266" s="59"/>
      <c r="Q266" s="59"/>
      <c r="R266" s="59"/>
      <c r="S266" s="59"/>
      <c r="T266" s="59"/>
      <c r="U266" s="59"/>
      <c r="V266" s="59"/>
      <c r="W266" s="59"/>
      <c r="X266" s="59"/>
      <c r="Y266" s="112"/>
      <c r="Z266" s="172"/>
      <c r="AA266" s="59"/>
      <c r="AB266" s="168"/>
      <c r="AC266" s="173"/>
      <c r="AD266" s="5"/>
    </row>
    <row r="267" spans="1:31" s="23" customFormat="1" x14ac:dyDescent="0.3">
      <c r="A267" s="174"/>
      <c r="B267" s="40" t="s">
        <v>55</v>
      </c>
      <c r="C267" s="40"/>
      <c r="D267" s="40"/>
      <c r="E267" s="40"/>
      <c r="F267" s="40"/>
      <c r="G267" s="40"/>
      <c r="H267" s="40"/>
      <c r="I267" s="40"/>
      <c r="J267" s="40"/>
      <c r="K267" s="40"/>
      <c r="L267" s="40"/>
      <c r="M267" s="40"/>
      <c r="N267" s="40"/>
      <c r="O267" s="40"/>
      <c r="P267" s="40"/>
      <c r="Q267" s="40"/>
      <c r="R267" s="40"/>
      <c r="S267" s="40"/>
      <c r="T267" s="40"/>
      <c r="U267" s="40"/>
      <c r="V267" s="40"/>
      <c r="W267" s="40"/>
      <c r="X267" s="40"/>
      <c r="Y267" s="48"/>
      <c r="Z267" s="162">
        <f>AB169</f>
        <v>-1</v>
      </c>
      <c r="AA267" s="40"/>
      <c r="AB267" s="163"/>
      <c r="AC267" s="175"/>
      <c r="AD267" s="22"/>
    </row>
    <row r="268" spans="1:31" s="23" customFormat="1" x14ac:dyDescent="0.3">
      <c r="A268" s="160"/>
      <c r="B268" s="40" t="s">
        <v>56</v>
      </c>
      <c r="C268" s="97"/>
      <c r="D268" s="40"/>
      <c r="E268" s="40"/>
      <c r="F268" s="40"/>
      <c r="G268" s="40"/>
      <c r="H268" s="40"/>
      <c r="I268" s="40"/>
      <c r="J268" s="40"/>
      <c r="K268" s="40"/>
      <c r="L268" s="40"/>
      <c r="M268" s="40"/>
      <c r="N268" s="40"/>
      <c r="O268" s="40"/>
      <c r="P268" s="40"/>
      <c r="Q268" s="40"/>
      <c r="R268" s="40"/>
      <c r="S268" s="40"/>
      <c r="T268" s="40"/>
      <c r="U268" s="40"/>
      <c r="V268" s="40"/>
      <c r="W268" s="40"/>
      <c r="X268" s="40"/>
      <c r="Y268" s="48"/>
      <c r="Z268" s="162">
        <f>'October 23'!Z268+Z267</f>
        <v>35</v>
      </c>
      <c r="AA268" s="40"/>
      <c r="AB268" s="163"/>
      <c r="AC268" s="175"/>
      <c r="AD268" s="22"/>
    </row>
    <row r="269" spans="1:31" x14ac:dyDescent="0.3">
      <c r="A269" s="170"/>
      <c r="B269" s="166" t="s">
        <v>125</v>
      </c>
      <c r="C269" s="171"/>
      <c r="D269" s="59"/>
      <c r="E269" s="59"/>
      <c r="F269" s="59"/>
      <c r="G269" s="59"/>
      <c r="H269" s="59"/>
      <c r="I269" s="59"/>
      <c r="J269" s="59"/>
      <c r="K269" s="59"/>
      <c r="L269" s="59"/>
      <c r="M269" s="59"/>
      <c r="N269" s="59"/>
      <c r="O269" s="59"/>
      <c r="P269" s="59"/>
      <c r="Q269" s="59"/>
      <c r="R269" s="59"/>
      <c r="S269" s="59"/>
      <c r="T269" s="59"/>
      <c r="U269" s="59"/>
      <c r="V269" s="59"/>
      <c r="W269" s="59"/>
      <c r="X269" s="59"/>
      <c r="Y269" s="176"/>
      <c r="Z269" s="172"/>
      <c r="AA269" s="59"/>
      <c r="AB269" s="168"/>
      <c r="AC269" s="173"/>
      <c r="AD269" s="5"/>
    </row>
    <row r="270" spans="1:31" s="23" customFormat="1" x14ac:dyDescent="0.3">
      <c r="A270" s="174"/>
      <c r="B270" s="40" t="s">
        <v>134</v>
      </c>
      <c r="C270" s="4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1" s="23" customFormat="1" x14ac:dyDescent="0.3">
      <c r="A271" s="160"/>
      <c r="B271" s="40" t="s">
        <v>57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1" s="23" customFormat="1" x14ac:dyDescent="0.3">
      <c r="A272" s="160"/>
      <c r="B272" s="40" t="s">
        <v>58</v>
      </c>
      <c r="C272" s="70"/>
      <c r="D272" s="40"/>
      <c r="E272" s="40"/>
      <c r="F272" s="40"/>
      <c r="G272" s="40"/>
      <c r="H272" s="40"/>
      <c r="I272" s="40"/>
      <c r="J272" s="40"/>
      <c r="K272" s="40"/>
      <c r="L272" s="40"/>
      <c r="M272" s="40"/>
      <c r="N272" s="40"/>
      <c r="O272" s="40"/>
      <c r="P272" s="40"/>
      <c r="Q272" s="40"/>
      <c r="R272" s="40"/>
      <c r="S272" s="40"/>
      <c r="T272" s="40"/>
      <c r="U272" s="40"/>
      <c r="V272" s="40"/>
      <c r="W272" s="40"/>
      <c r="X272" s="40"/>
      <c r="Y272" s="40"/>
      <c r="Z272" s="177">
        <v>0</v>
      </c>
      <c r="AA272" s="40"/>
      <c r="AB272" s="163"/>
      <c r="AC272" s="175"/>
      <c r="AD272" s="22"/>
    </row>
    <row r="273" spans="1:31" x14ac:dyDescent="0.3">
      <c r="A273" s="165"/>
      <c r="B273" s="166" t="s">
        <v>116</v>
      </c>
      <c r="C273" s="178"/>
      <c r="D273" s="59"/>
      <c r="E273" s="59"/>
      <c r="F273" s="59"/>
      <c r="G273" s="59"/>
      <c r="H273" s="59"/>
      <c r="I273" s="59"/>
      <c r="J273" s="59"/>
      <c r="K273" s="59"/>
      <c r="L273" s="59"/>
      <c r="M273" s="59"/>
      <c r="N273" s="59"/>
      <c r="O273" s="59"/>
      <c r="P273" s="59"/>
      <c r="Q273" s="59"/>
      <c r="R273" s="59"/>
      <c r="S273" s="59"/>
      <c r="T273" s="59"/>
      <c r="U273" s="59"/>
      <c r="V273" s="59"/>
      <c r="W273" s="59"/>
      <c r="X273" s="59"/>
      <c r="Y273" s="112"/>
      <c r="Z273" s="179"/>
      <c r="AA273" s="59"/>
      <c r="AB273" s="168"/>
      <c r="AC273" s="173"/>
      <c r="AD273" s="5"/>
    </row>
    <row r="274" spans="1:31" s="23" customFormat="1" x14ac:dyDescent="0.3">
      <c r="A274" s="160"/>
      <c r="B274" s="40" t="s">
        <v>134</v>
      </c>
      <c r="C274" s="70"/>
      <c r="D274" s="40"/>
      <c r="E274" s="40"/>
      <c r="F274" s="40"/>
      <c r="G274" s="40"/>
      <c r="H274" s="40"/>
      <c r="I274" s="40"/>
      <c r="J274" s="40"/>
      <c r="K274" s="40"/>
      <c r="L274" s="40"/>
      <c r="M274" s="40"/>
      <c r="N274" s="40"/>
      <c r="O274" s="40"/>
      <c r="P274" s="40"/>
      <c r="Q274" s="40"/>
      <c r="R274" s="40"/>
      <c r="S274" s="40"/>
      <c r="T274" s="40"/>
      <c r="U274" s="40"/>
      <c r="V274" s="40"/>
      <c r="W274" s="40"/>
      <c r="X274" s="40"/>
      <c r="Y274" s="48">
        <v>0</v>
      </c>
      <c r="Z274" s="162">
        <v>0</v>
      </c>
      <c r="AA274" s="40"/>
      <c r="AB274" s="163"/>
      <c r="AC274" s="175"/>
      <c r="AD274" s="22"/>
    </row>
    <row r="275" spans="1:31" s="23" customFormat="1" x14ac:dyDescent="0.3">
      <c r="A275" s="160"/>
      <c r="B275" s="40" t="s">
        <v>117</v>
      </c>
      <c r="C275" s="70"/>
      <c r="D275" s="40"/>
      <c r="E275" s="40"/>
      <c r="F275" s="40"/>
      <c r="G275" s="40"/>
      <c r="H275" s="40"/>
      <c r="I275" s="40"/>
      <c r="J275" s="40"/>
      <c r="K275" s="40"/>
      <c r="L275" s="40"/>
      <c r="M275" s="40"/>
      <c r="N275" s="40"/>
      <c r="O275" s="40"/>
      <c r="P275" s="40"/>
      <c r="Q275" s="40"/>
      <c r="R275" s="40"/>
      <c r="S275" s="40"/>
      <c r="T275" s="40"/>
      <c r="U275" s="40"/>
      <c r="V275" s="40"/>
      <c r="W275" s="40"/>
      <c r="X275" s="40"/>
      <c r="Y275" s="40"/>
      <c r="Z275" s="177">
        <v>0</v>
      </c>
      <c r="AA275" s="40"/>
      <c r="AB275" s="163"/>
      <c r="AC275" s="175"/>
      <c r="AD275" s="22"/>
    </row>
    <row r="276" spans="1:31"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112"/>
      <c r="Z276" s="179"/>
      <c r="AA276" s="59"/>
      <c r="AB276" s="168"/>
      <c r="AC276" s="173"/>
      <c r="AD276" s="5"/>
    </row>
    <row r="277" spans="1:31" x14ac:dyDescent="0.3">
      <c r="A277" s="165"/>
      <c r="B277" s="171"/>
      <c r="C277" s="178"/>
      <c r="D277" s="59"/>
      <c r="E277" s="59"/>
      <c r="F277" s="59"/>
      <c r="G277" s="59"/>
      <c r="H277" s="59"/>
      <c r="I277" s="59"/>
      <c r="J277" s="59"/>
      <c r="K277" s="59"/>
      <c r="L277" s="59"/>
      <c r="M277" s="59"/>
      <c r="N277" s="59"/>
      <c r="O277" s="59"/>
      <c r="P277" s="59"/>
      <c r="Q277" s="59"/>
      <c r="R277" s="59"/>
      <c r="S277" s="59"/>
      <c r="T277" s="59"/>
      <c r="U277" s="59"/>
      <c r="V277" s="59"/>
      <c r="W277" s="59"/>
      <c r="X277" s="59"/>
      <c r="Y277" s="59"/>
      <c r="Z277" s="180"/>
      <c r="AA277" s="59"/>
      <c r="AB277" s="168"/>
      <c r="AC277" s="173"/>
      <c r="AD277" s="5"/>
    </row>
    <row r="278" spans="1:31" ht="18" x14ac:dyDescent="0.35">
      <c r="A278" s="165"/>
      <c r="B278" s="181" t="s">
        <v>109</v>
      </c>
      <c r="C278" s="178"/>
      <c r="D278" s="59"/>
      <c r="E278" s="59"/>
      <c r="F278" s="59"/>
      <c r="G278" s="59"/>
      <c r="H278" s="59"/>
      <c r="I278" s="59"/>
      <c r="J278" s="59"/>
      <c r="K278" s="59"/>
      <c r="L278" s="182"/>
      <c r="M278" s="182"/>
      <c r="N278" s="182"/>
      <c r="O278" s="182"/>
      <c r="P278" s="261" t="s">
        <v>167</v>
      </c>
      <c r="Q278" s="182"/>
      <c r="R278" s="182"/>
      <c r="S278" s="182"/>
      <c r="T278" s="182"/>
      <c r="U278" s="182"/>
      <c r="V278" s="182"/>
      <c r="W278" s="59"/>
      <c r="X278" s="183"/>
      <c r="Y278" s="182"/>
      <c r="Z278" s="180"/>
      <c r="AA278" s="59"/>
      <c r="AB278" s="168"/>
      <c r="AC278" s="173"/>
      <c r="AD278" s="5"/>
    </row>
    <row r="279" spans="1:31" ht="18" x14ac:dyDescent="0.35">
      <c r="A279" s="184"/>
      <c r="B279" s="185"/>
      <c r="C279" s="186"/>
      <c r="D279" s="99"/>
      <c r="E279" s="99"/>
      <c r="F279" s="99"/>
      <c r="G279" s="99"/>
      <c r="H279" s="99"/>
      <c r="I279" s="99"/>
      <c r="J279" s="99"/>
      <c r="K279" s="99"/>
      <c r="L279" s="187"/>
      <c r="M279" s="187"/>
      <c r="N279" s="187"/>
      <c r="O279" s="187"/>
      <c r="P279" s="187"/>
      <c r="Q279" s="187"/>
      <c r="R279" s="187"/>
      <c r="S279" s="187"/>
      <c r="T279" s="187"/>
      <c r="U279" s="187"/>
      <c r="V279" s="187"/>
      <c r="W279" s="99"/>
      <c r="X279" s="99"/>
      <c r="Y279" s="99"/>
      <c r="Z279" s="188"/>
      <c r="AA279" s="99"/>
      <c r="AB279" s="152"/>
      <c r="AC279" s="189"/>
      <c r="AD279" s="5"/>
    </row>
    <row r="280" spans="1:31" x14ac:dyDescent="0.3">
      <c r="A280" s="33"/>
      <c r="B280" s="102" t="s">
        <v>126</v>
      </c>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54" t="s">
        <v>69</v>
      </c>
      <c r="Y280" s="103" t="s">
        <v>70</v>
      </c>
      <c r="Z280" s="154" t="s">
        <v>75</v>
      </c>
      <c r="AA280" s="103" t="s">
        <v>70</v>
      </c>
      <c r="AB280" s="34"/>
      <c r="AC280" s="190"/>
      <c r="AD280" s="5"/>
    </row>
    <row r="281" spans="1:31" s="23" customFormat="1" x14ac:dyDescent="0.3">
      <c r="A281" s="18"/>
      <c r="B281" s="106" t="s">
        <v>59</v>
      </c>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06">
        <f>+X293+X305+X327</f>
        <v>1442</v>
      </c>
      <c r="Y281" s="192">
        <f>X281/$X$290</f>
        <v>0.99311294765840219</v>
      </c>
      <c r="Z281" s="107">
        <f t="shared" ref="Z281:Z288" si="1">+Z293+Z305+Z327</f>
        <v>251272</v>
      </c>
      <c r="AA281" s="192">
        <f t="shared" ref="AA281:AA288" si="2">Z281/$Z$290</f>
        <v>0.99233843577713532</v>
      </c>
      <c r="AB281" s="158"/>
      <c r="AC281" s="193"/>
      <c r="AD281" s="22"/>
    </row>
    <row r="282" spans="1:31" s="23" customFormat="1" x14ac:dyDescent="0.3">
      <c r="A282" s="47"/>
      <c r="B282" s="97" t="s">
        <v>60</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5">
        <f t="shared" ref="X282:X288" si="3">+X294+X306+X328</f>
        <v>1</v>
      </c>
      <c r="Y282" s="196">
        <f t="shared" ref="Y282:Y288" si="4">X282/$X$290</f>
        <v>6.8870523415977963E-4</v>
      </c>
      <c r="Z282" s="197">
        <f t="shared" si="1"/>
        <v>83</v>
      </c>
      <c r="AA282" s="198">
        <f t="shared" si="2"/>
        <v>3.2778857242152823E-4</v>
      </c>
      <c r="AB282" s="163"/>
      <c r="AC282" s="175"/>
      <c r="AD282" s="22"/>
    </row>
    <row r="283" spans="1:31" s="23" customFormat="1" x14ac:dyDescent="0.3">
      <c r="A283" s="47"/>
      <c r="B283" s="97" t="s">
        <v>61</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3"/>
        <v>1</v>
      </c>
      <c r="Y283" s="200">
        <f t="shared" si="4"/>
        <v>6.8870523415977963E-4</v>
      </c>
      <c r="Z283" s="131">
        <f t="shared" si="1"/>
        <v>80</v>
      </c>
      <c r="AA283" s="198">
        <f t="shared" si="2"/>
        <v>3.1594079269544885E-4</v>
      </c>
      <c r="AB283" s="163"/>
      <c r="AC283" s="175"/>
      <c r="AD283" s="22"/>
      <c r="AE283" s="312"/>
    </row>
    <row r="284" spans="1:31" s="23" customFormat="1" x14ac:dyDescent="0.3">
      <c r="A284" s="47"/>
      <c r="B284" s="97" t="s">
        <v>100</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+X296+X308+X330</f>
        <v>1</v>
      </c>
      <c r="Y284" s="200">
        <f t="shared" si="4"/>
        <v>6.8870523415977963E-4</v>
      </c>
      <c r="Z284" s="131">
        <f t="shared" si="1"/>
        <v>222</v>
      </c>
      <c r="AA284" s="198">
        <f t="shared" si="2"/>
        <v>8.7673569972987063E-4</v>
      </c>
      <c r="AB284" s="163"/>
      <c r="AC284" s="175"/>
      <c r="AD284" s="22"/>
    </row>
    <row r="285" spans="1:31" s="23" customFormat="1" x14ac:dyDescent="0.3">
      <c r="A285" s="47"/>
      <c r="B285" s="97" t="s">
        <v>101</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3"/>
        <v>2</v>
      </c>
      <c r="Y285" s="200">
        <f t="shared" si="4"/>
        <v>1.3774104683195593E-3</v>
      </c>
      <c r="Z285" s="131">
        <f t="shared" si="1"/>
        <v>107</v>
      </c>
      <c r="AA285" s="198">
        <f t="shared" si="2"/>
        <v>4.2257081023016284E-4</v>
      </c>
      <c r="AB285" s="163"/>
      <c r="AC285" s="175"/>
      <c r="AD285" s="22"/>
    </row>
    <row r="286" spans="1:31" s="23" customFormat="1" x14ac:dyDescent="0.3">
      <c r="A286" s="47"/>
      <c r="B286" s="97" t="s">
        <v>102</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199">
        <f t="shared" si="3"/>
        <v>2</v>
      </c>
      <c r="Y286" s="200">
        <f t="shared" si="4"/>
        <v>1.3774104683195593E-3</v>
      </c>
      <c r="Z286" s="131">
        <f t="shared" si="1"/>
        <v>731</v>
      </c>
      <c r="AA286" s="198">
        <f t="shared" si="2"/>
        <v>2.8869089932546639E-3</v>
      </c>
      <c r="AB286" s="163"/>
      <c r="AC286" s="175"/>
      <c r="AD286" s="22"/>
    </row>
    <row r="287" spans="1:31" s="23" customFormat="1" x14ac:dyDescent="0.3">
      <c r="A287" s="47"/>
      <c r="B287" s="97" t="s">
        <v>103</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201">
        <f t="shared" si="3"/>
        <v>2</v>
      </c>
      <c r="Y287" s="202">
        <f t="shared" si="4"/>
        <v>1.3774104683195593E-3</v>
      </c>
      <c r="Z287" s="203">
        <f t="shared" si="1"/>
        <v>291</v>
      </c>
      <c r="AA287" s="198">
        <f t="shared" si="2"/>
        <v>1.1492346334296953E-3</v>
      </c>
      <c r="AB287" s="163"/>
      <c r="AC287" s="175"/>
      <c r="AD287" s="22"/>
    </row>
    <row r="288" spans="1:31" s="23" customFormat="1" x14ac:dyDescent="0.3">
      <c r="A288" s="47"/>
      <c r="B288" s="97" t="s">
        <v>104</v>
      </c>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106">
        <f t="shared" si="3"/>
        <v>1</v>
      </c>
      <c r="Y288" s="198">
        <f t="shared" si="4"/>
        <v>6.8870523415977963E-4</v>
      </c>
      <c r="Z288" s="107">
        <f t="shared" si="1"/>
        <v>426</v>
      </c>
      <c r="AA288" s="198">
        <f t="shared" si="2"/>
        <v>1.6823847211032653E-3</v>
      </c>
      <c r="AB288" s="163"/>
      <c r="AC288" s="306"/>
      <c r="AD288" s="22"/>
    </row>
    <row r="289" spans="1:31" s="23" customFormat="1" x14ac:dyDescent="0.3">
      <c r="A289" s="47"/>
      <c r="B289" s="97"/>
      <c r="C289" s="194"/>
      <c r="D289" s="194"/>
      <c r="E289" s="194"/>
      <c r="F289" s="194"/>
      <c r="G289" s="194"/>
      <c r="H289" s="194"/>
      <c r="I289" s="194"/>
      <c r="J289" s="194"/>
      <c r="K289" s="194"/>
      <c r="L289" s="194"/>
      <c r="M289" s="194"/>
      <c r="N289" s="194"/>
      <c r="O289" s="194"/>
      <c r="P289" s="194"/>
      <c r="Q289" s="194"/>
      <c r="R289" s="194"/>
      <c r="S289" s="194"/>
      <c r="T289" s="194"/>
      <c r="U289" s="194"/>
      <c r="V289" s="194"/>
      <c r="W289" s="194"/>
      <c r="X289" s="97"/>
      <c r="Y289" s="198"/>
      <c r="Z289" s="98"/>
      <c r="AA289" s="198"/>
      <c r="AB289" s="163"/>
      <c r="AC289" s="175"/>
      <c r="AD289" s="22"/>
    </row>
    <row r="290" spans="1:31" s="23" customFormat="1" x14ac:dyDescent="0.3">
      <c r="A290" s="47"/>
      <c r="B290" s="40" t="s">
        <v>80</v>
      </c>
      <c r="C290" s="40"/>
      <c r="D290" s="204"/>
      <c r="E290" s="204"/>
      <c r="F290" s="204"/>
      <c r="G290" s="204"/>
      <c r="H290" s="204"/>
      <c r="I290" s="204"/>
      <c r="J290" s="204"/>
      <c r="K290" s="204"/>
      <c r="L290" s="204"/>
      <c r="M290" s="204"/>
      <c r="N290" s="204"/>
      <c r="O290" s="204"/>
      <c r="P290" s="204"/>
      <c r="Q290" s="204"/>
      <c r="R290" s="204"/>
      <c r="S290" s="204"/>
      <c r="T290" s="204"/>
      <c r="U290" s="204"/>
      <c r="V290" s="204"/>
      <c r="W290" s="204"/>
      <c r="X290" s="97">
        <f>SUM(X281:X289)</f>
        <v>1452</v>
      </c>
      <c r="Y290" s="198">
        <f>SUM(Y281:Y289)</f>
        <v>0.99999999999999978</v>
      </c>
      <c r="Z290" s="98">
        <f>SUM(Z281:Z289)</f>
        <v>253212</v>
      </c>
      <c r="AA290" s="198">
        <f>SUM(AA281:AA289)</f>
        <v>0.99999999999999989</v>
      </c>
      <c r="AB290" s="40"/>
      <c r="AC290" s="43"/>
      <c r="AD290" s="22"/>
    </row>
    <row r="291" spans="1:31" x14ac:dyDescent="0.3">
      <c r="A291" s="7"/>
      <c r="B291" s="151"/>
      <c r="C291" s="186"/>
      <c r="D291" s="99"/>
      <c r="E291" s="99"/>
      <c r="F291" s="99"/>
      <c r="G291" s="99"/>
      <c r="H291" s="99"/>
      <c r="I291" s="99"/>
      <c r="J291" s="99"/>
      <c r="K291" s="99"/>
      <c r="L291" s="99"/>
      <c r="M291" s="99"/>
      <c r="N291" s="99"/>
      <c r="O291" s="99"/>
      <c r="P291" s="99"/>
      <c r="Q291" s="99"/>
      <c r="R291" s="99"/>
      <c r="S291" s="99"/>
      <c r="T291" s="99"/>
      <c r="U291" s="99"/>
      <c r="V291" s="99"/>
      <c r="W291" s="99"/>
      <c r="X291" s="99"/>
      <c r="Y291" s="99"/>
      <c r="Z291" s="188"/>
      <c r="AA291" s="99"/>
      <c r="AB291" s="99"/>
      <c r="AC291" s="10"/>
      <c r="AD291" s="5"/>
    </row>
    <row r="292" spans="1:31" x14ac:dyDescent="0.3">
      <c r="A292" s="33"/>
      <c r="B292" s="102" t="s">
        <v>105</v>
      </c>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54" t="s">
        <v>69</v>
      </c>
      <c r="Y292" s="103" t="s">
        <v>70</v>
      </c>
      <c r="Z292" s="154" t="s">
        <v>75</v>
      </c>
      <c r="AA292" s="103" t="s">
        <v>70</v>
      </c>
      <c r="AB292" s="34"/>
      <c r="AC292" s="190"/>
      <c r="AD292" s="5"/>
    </row>
    <row r="293" spans="1:31" s="23" customFormat="1" x14ac:dyDescent="0.3">
      <c r="A293" s="18"/>
      <c r="B293" s="106" t="s">
        <v>59</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6">
        <v>1442</v>
      </c>
      <c r="Y293" s="192">
        <f>X293/$X$302</f>
        <v>0.99654457498272286</v>
      </c>
      <c r="Z293" s="107">
        <v>251272</v>
      </c>
      <c r="AA293" s="192">
        <f>Z293/$Z$302</f>
        <v>0.99776837122866646</v>
      </c>
      <c r="AB293" s="158"/>
      <c r="AC293" s="193"/>
      <c r="AD293" s="22"/>
    </row>
    <row r="294" spans="1:31" s="23" customFormat="1" x14ac:dyDescent="0.3">
      <c r="A294" s="47"/>
      <c r="B294" s="97" t="s">
        <v>60</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1</v>
      </c>
      <c r="Y294" s="198">
        <f t="shared" ref="Y294:Y300" si="5">X294/$X$302</f>
        <v>6.9108500345542499E-4</v>
      </c>
      <c r="Z294" s="98">
        <v>83</v>
      </c>
      <c r="AA294" s="198">
        <f t="shared" ref="AA294:AA300" si="6">Z294/$Z$302</f>
        <v>3.2958218509017846E-4</v>
      </c>
      <c r="AB294" s="163"/>
      <c r="AC294" s="175"/>
      <c r="AD294" s="22"/>
      <c r="AE294" s="115"/>
    </row>
    <row r="295" spans="1:31" s="23" customFormat="1" x14ac:dyDescent="0.3">
      <c r="A295" s="47"/>
      <c r="B295" s="97" t="s">
        <v>61</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1</v>
      </c>
      <c r="Y295" s="198">
        <f t="shared" si="5"/>
        <v>6.9108500345542499E-4</v>
      </c>
      <c r="Z295" s="98">
        <v>80</v>
      </c>
      <c r="AA295" s="198">
        <f t="shared" si="6"/>
        <v>3.1766957599053345E-4</v>
      </c>
      <c r="AB295" s="163"/>
      <c r="AC295" s="175"/>
      <c r="AD295" s="22"/>
    </row>
    <row r="296" spans="1:31" s="23" customFormat="1" x14ac:dyDescent="0.3">
      <c r="A296" s="47"/>
      <c r="B296" s="97" t="s">
        <v>100</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c r="AE296" s="115"/>
    </row>
    <row r="297" spans="1:31" s="23" customFormat="1" x14ac:dyDescent="0.3">
      <c r="A297" s="47"/>
      <c r="B297" s="97" t="s">
        <v>101</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2</v>
      </c>
      <c r="Y297" s="198">
        <f t="shared" si="5"/>
        <v>1.38217000691085E-3</v>
      </c>
      <c r="Z297" s="98">
        <v>107</v>
      </c>
      <c r="AA297" s="198">
        <f t="shared" si="6"/>
        <v>4.2488305788733851E-4</v>
      </c>
      <c r="AB297" s="163"/>
      <c r="AC297" s="175"/>
      <c r="AD297" s="22"/>
    </row>
    <row r="298" spans="1:31" s="23" customFormat="1" x14ac:dyDescent="0.3">
      <c r="A298" s="47"/>
      <c r="B298" s="97" t="s">
        <v>102</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1</v>
      </c>
      <c r="Y298" s="198">
        <f t="shared" si="5"/>
        <v>6.9108500345542499E-4</v>
      </c>
      <c r="Z298" s="98">
        <v>292</v>
      </c>
      <c r="AA298" s="198">
        <f t="shared" si="6"/>
        <v>1.1594939523654471E-3</v>
      </c>
      <c r="AB298" s="163"/>
      <c r="AC298" s="175"/>
      <c r="AD298" s="22"/>
      <c r="AE298" s="115"/>
    </row>
    <row r="299" spans="1:31" s="23" customFormat="1" x14ac:dyDescent="0.3">
      <c r="A299" s="47"/>
      <c r="B299" s="97" t="s">
        <v>103</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0</v>
      </c>
      <c r="Y299" s="198">
        <f>X299/$X$302</f>
        <v>0</v>
      </c>
      <c r="Z299" s="98">
        <v>0</v>
      </c>
      <c r="AA299" s="198">
        <f t="shared" si="6"/>
        <v>0</v>
      </c>
      <c r="AB299" s="163"/>
      <c r="AC299" s="175"/>
      <c r="AD299" s="22"/>
    </row>
    <row r="300" spans="1:31" s="23" customFormat="1" x14ac:dyDescent="0.3">
      <c r="A300" s="47"/>
      <c r="B300" s="97" t="s">
        <v>104</v>
      </c>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v>0</v>
      </c>
      <c r="Y300" s="198">
        <f t="shared" si="5"/>
        <v>0</v>
      </c>
      <c r="Z300" s="98">
        <v>0</v>
      </c>
      <c r="AA300" s="198">
        <f t="shared" si="6"/>
        <v>0</v>
      </c>
      <c r="AB300" s="163"/>
      <c r="AC300" s="175"/>
      <c r="AD300" s="22"/>
      <c r="AE300" s="115"/>
    </row>
    <row r="301" spans="1:31" s="23" customFormat="1" x14ac:dyDescent="0.3">
      <c r="A301" s="47"/>
      <c r="B301" s="97"/>
      <c r="C301" s="194"/>
      <c r="D301" s="194"/>
      <c r="E301" s="194"/>
      <c r="F301" s="194"/>
      <c r="G301" s="194"/>
      <c r="H301" s="194"/>
      <c r="I301" s="194"/>
      <c r="J301" s="194"/>
      <c r="K301" s="194"/>
      <c r="L301" s="194"/>
      <c r="M301" s="194"/>
      <c r="N301" s="194"/>
      <c r="O301" s="194"/>
      <c r="P301" s="194"/>
      <c r="Q301" s="194"/>
      <c r="R301" s="194"/>
      <c r="S301" s="194"/>
      <c r="T301" s="194"/>
      <c r="U301" s="194"/>
      <c r="V301" s="194"/>
      <c r="W301" s="194"/>
      <c r="X301" s="97"/>
      <c r="Y301" s="198"/>
      <c r="Z301" s="98"/>
      <c r="AA301" s="198"/>
      <c r="AB301" s="163"/>
      <c r="AC301" s="175"/>
      <c r="AD301" s="22"/>
    </row>
    <row r="302" spans="1:31" s="23" customFormat="1" x14ac:dyDescent="0.3">
      <c r="A302" s="47"/>
      <c r="B302" s="40" t="s">
        <v>80</v>
      </c>
      <c r="C302" s="40"/>
      <c r="D302" s="204"/>
      <c r="E302" s="204"/>
      <c r="F302" s="204"/>
      <c r="G302" s="204"/>
      <c r="H302" s="204"/>
      <c r="I302" s="204"/>
      <c r="J302" s="204"/>
      <c r="K302" s="204"/>
      <c r="L302" s="204"/>
      <c r="M302" s="204"/>
      <c r="N302" s="204"/>
      <c r="O302" s="204"/>
      <c r="P302" s="204"/>
      <c r="Q302" s="204"/>
      <c r="R302" s="204"/>
      <c r="S302" s="204"/>
      <c r="T302" s="204"/>
      <c r="U302" s="204"/>
      <c r="V302" s="204"/>
      <c r="W302" s="204"/>
      <c r="X302" s="97">
        <f>SUM(X293:X301)</f>
        <v>1447</v>
      </c>
      <c r="Y302" s="198">
        <f>SUM(Y293:Y301)</f>
        <v>0.99999999999999989</v>
      </c>
      <c r="Z302" s="98">
        <f>SUM(Z293:Z301)</f>
        <v>251834</v>
      </c>
      <c r="AA302" s="198">
        <f>SUM(AA293:AA301)</f>
        <v>1</v>
      </c>
      <c r="AB302" s="40"/>
      <c r="AC302" s="43"/>
      <c r="AD302" s="22"/>
    </row>
    <row r="303" spans="1:31" x14ac:dyDescent="0.3">
      <c r="A303" s="7"/>
      <c r="B303" s="99"/>
      <c r="C303" s="99"/>
      <c r="D303" s="205"/>
      <c r="E303" s="205"/>
      <c r="F303" s="205"/>
      <c r="G303" s="205"/>
      <c r="H303" s="205"/>
      <c r="I303" s="205"/>
      <c r="J303" s="205"/>
      <c r="K303" s="205"/>
      <c r="L303" s="205"/>
      <c r="M303" s="205"/>
      <c r="N303" s="205"/>
      <c r="O303" s="205"/>
      <c r="P303" s="205"/>
      <c r="Q303" s="205"/>
      <c r="R303" s="205"/>
      <c r="S303" s="205"/>
      <c r="T303" s="205"/>
      <c r="U303" s="205"/>
      <c r="V303" s="205"/>
      <c r="W303" s="205"/>
      <c r="X303" s="100"/>
      <c r="Y303" s="206"/>
      <c r="Z303" s="207"/>
      <c r="AA303" s="206"/>
      <c r="AB303" s="99"/>
      <c r="AC303" s="10"/>
      <c r="AD303" s="5"/>
    </row>
    <row r="304" spans="1:31" x14ac:dyDescent="0.3">
      <c r="A304" s="33"/>
      <c r="B304" s="102" t="s">
        <v>121</v>
      </c>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54" t="s">
        <v>69</v>
      </c>
      <c r="Y304" s="103" t="s">
        <v>70</v>
      </c>
      <c r="Z304" s="154" t="s">
        <v>75</v>
      </c>
      <c r="AA304" s="103" t="s">
        <v>70</v>
      </c>
      <c r="AB304" s="34"/>
      <c r="AC304" s="36"/>
      <c r="AD304" s="5"/>
    </row>
    <row r="305" spans="1:30" s="23" customFormat="1" x14ac:dyDescent="0.3">
      <c r="A305" s="18"/>
      <c r="B305" s="106" t="s">
        <v>59</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06">
        <v>0</v>
      </c>
      <c r="Y305" s="192">
        <f>X305/X314</f>
        <v>0</v>
      </c>
      <c r="Z305" s="107">
        <v>0</v>
      </c>
      <c r="AA305" s="192">
        <f>Z305/Z314</f>
        <v>0</v>
      </c>
      <c r="AB305" s="37"/>
      <c r="AC305" s="21"/>
      <c r="AD305" s="22"/>
    </row>
    <row r="306" spans="1:30" s="23" customFormat="1" x14ac:dyDescent="0.3">
      <c r="A306" s="47"/>
      <c r="B306" s="97" t="s">
        <v>60</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61</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100</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1</v>
      </c>
      <c r="Y308" s="198">
        <f>X308/X314</f>
        <v>0.25</v>
      </c>
      <c r="Z308" s="98">
        <v>222</v>
      </c>
      <c r="AA308" s="198">
        <f>Z308/Z314</f>
        <v>0.18765849535080303</v>
      </c>
      <c r="AB308" s="40"/>
      <c r="AC308" s="43"/>
      <c r="AD308" s="22"/>
    </row>
    <row r="309" spans="1:30" s="23" customFormat="1" x14ac:dyDescent="0.3">
      <c r="A309" s="47"/>
      <c r="B309" s="97" t="s">
        <v>101</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102</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1</v>
      </c>
      <c r="Y310" s="198">
        <f>X310/X314</f>
        <v>0.25</v>
      </c>
      <c r="Z310" s="98">
        <v>439</v>
      </c>
      <c r="AA310" s="198">
        <f>Z310/Z314</f>
        <v>0.37109044801352492</v>
      </c>
      <c r="AB310" s="40"/>
      <c r="AC310" s="43"/>
      <c r="AD310" s="22"/>
    </row>
    <row r="311" spans="1:30" s="23" customFormat="1" x14ac:dyDescent="0.3">
      <c r="A311" s="47"/>
      <c r="B311" s="97" t="s">
        <v>103</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1</v>
      </c>
      <c r="Y311" s="198">
        <f>X311/X314</f>
        <v>0.25</v>
      </c>
      <c r="Z311" s="98">
        <v>96</v>
      </c>
      <c r="AA311" s="198">
        <f>Z311/Z314</f>
        <v>8.1149619611158075E-2</v>
      </c>
      <c r="AB311" s="40"/>
      <c r="AC311" s="43"/>
      <c r="AD311" s="22"/>
    </row>
    <row r="312" spans="1:30" s="23" customFormat="1" x14ac:dyDescent="0.3">
      <c r="A312" s="47"/>
      <c r="B312" s="97" t="s">
        <v>104</v>
      </c>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v>1</v>
      </c>
      <c r="Y312" s="198">
        <f>X312/X314</f>
        <v>0.25</v>
      </c>
      <c r="Z312" s="98">
        <v>426</v>
      </c>
      <c r="AA312" s="198">
        <f>Z312/Z314</f>
        <v>0.36010143702451397</v>
      </c>
      <c r="AB312" s="40"/>
      <c r="AC312" s="43"/>
      <c r="AD312" s="22"/>
    </row>
    <row r="313" spans="1:30" s="23" customFormat="1" x14ac:dyDescent="0.3">
      <c r="A313" s="47"/>
      <c r="B313" s="97"/>
      <c r="C313" s="194"/>
      <c r="D313" s="194"/>
      <c r="E313" s="194"/>
      <c r="F313" s="194"/>
      <c r="G313" s="194"/>
      <c r="H313" s="194"/>
      <c r="I313" s="194"/>
      <c r="J313" s="194"/>
      <c r="K313" s="194"/>
      <c r="L313" s="194"/>
      <c r="M313" s="194"/>
      <c r="N313" s="194"/>
      <c r="O313" s="194"/>
      <c r="P313" s="194"/>
      <c r="Q313" s="194"/>
      <c r="R313" s="194"/>
      <c r="S313" s="194"/>
      <c r="T313" s="194"/>
      <c r="U313" s="194"/>
      <c r="V313" s="194"/>
      <c r="W313" s="194"/>
      <c r="X313" s="97"/>
      <c r="Y313" s="198"/>
      <c r="Z313" s="98"/>
      <c r="AA313" s="198"/>
      <c r="AB313" s="40"/>
      <c r="AC313" s="43"/>
      <c r="AD313" s="22"/>
    </row>
    <row r="314" spans="1:30" s="23" customFormat="1" x14ac:dyDescent="0.3">
      <c r="A314" s="47"/>
      <c r="B314" s="40" t="s">
        <v>80</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f>SUM(X305:X313)</f>
        <v>4</v>
      </c>
      <c r="Y314" s="198">
        <f>SUM(Y305:Y313)</f>
        <v>1</v>
      </c>
      <c r="Z314" s="98">
        <f>SUM(Z305:Z313)</f>
        <v>1183</v>
      </c>
      <c r="AA314" s="198">
        <f>SUM(AA305:AA313)</f>
        <v>1</v>
      </c>
      <c r="AB314" s="40"/>
      <c r="AC314" s="43"/>
      <c r="AD314" s="22"/>
    </row>
    <row r="315" spans="1:30" s="23" customFormat="1" x14ac:dyDescent="0.3">
      <c r="A315" s="47"/>
      <c r="B315" s="40"/>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97"/>
      <c r="Y315" s="198"/>
      <c r="Z315" s="98"/>
      <c r="AA315" s="198"/>
      <c r="AB315" s="40"/>
      <c r="AC315" s="43"/>
      <c r="AD315" s="22"/>
    </row>
    <row r="316" spans="1:30" s="23" customFormat="1" x14ac:dyDescent="0.3">
      <c r="A316" s="242"/>
      <c r="B316" s="243" t="s">
        <v>330</v>
      </c>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62" t="s">
        <v>69</v>
      </c>
      <c r="Y316" s="263" t="s">
        <v>70</v>
      </c>
      <c r="Z316" s="262" t="s">
        <v>75</v>
      </c>
      <c r="AA316" s="263" t="s">
        <v>70</v>
      </c>
      <c r="AB316" s="243"/>
      <c r="AC316" s="243"/>
      <c r="AD316" s="22"/>
    </row>
    <row r="317" spans="1:30" s="23" customFormat="1" x14ac:dyDescent="0.3">
      <c r="A317" s="273"/>
      <c r="B317" s="274" t="s">
        <v>326</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302">
        <v>1</v>
      </c>
      <c r="Y317" s="303">
        <f>X317/X324</f>
        <v>0.25</v>
      </c>
      <c r="Z317" s="304">
        <v>439</v>
      </c>
      <c r="AA317" s="303">
        <f>Z317/Z324</f>
        <v>0.37109044801352492</v>
      </c>
      <c r="AB317" s="40"/>
      <c r="AC317" s="43"/>
      <c r="AD317" s="22"/>
    </row>
    <row r="318" spans="1:30" s="23" customFormat="1" x14ac:dyDescent="0.3">
      <c r="A318" s="273"/>
      <c r="B318" s="274" t="s">
        <v>327</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302">
        <v>0</v>
      </c>
      <c r="Y318" s="303">
        <v>0</v>
      </c>
      <c r="Z318" s="304">
        <v>0</v>
      </c>
      <c r="AA318" s="303">
        <v>0</v>
      </c>
      <c r="AB318" s="40"/>
      <c r="AC318" s="43"/>
      <c r="AD318" s="22"/>
    </row>
    <row r="319" spans="1:30" s="23" customFormat="1" x14ac:dyDescent="0.3">
      <c r="A319" s="273"/>
      <c r="B319" s="274" t="s">
        <v>328</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302">
        <v>1</v>
      </c>
      <c r="Y319" s="303">
        <f>X319/X324</f>
        <v>0.25</v>
      </c>
      <c r="Z319" s="304">
        <v>96</v>
      </c>
      <c r="AA319" s="303">
        <f>Z319/Z324</f>
        <v>8.1149619611158075E-2</v>
      </c>
      <c r="AB319" s="40"/>
      <c r="AC319" s="43"/>
      <c r="AD319" s="22"/>
    </row>
    <row r="320" spans="1:30" s="23" customFormat="1" x14ac:dyDescent="0.3">
      <c r="A320" s="273"/>
      <c r="B320" s="274" t="s">
        <v>329</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302">
        <v>0</v>
      </c>
      <c r="Y320" s="303">
        <f>X320/X324</f>
        <v>0</v>
      </c>
      <c r="Z320" s="304">
        <v>0</v>
      </c>
      <c r="AA320" s="303">
        <f>Z320/Z324</f>
        <v>0</v>
      </c>
      <c r="AB320" s="40"/>
      <c r="AC320" s="43"/>
      <c r="AD320" s="22"/>
    </row>
    <row r="321" spans="1:30" s="23" customFormat="1" x14ac:dyDescent="0.3">
      <c r="A321" s="273"/>
      <c r="B321" s="274" t="s">
        <v>334</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302">
        <v>0</v>
      </c>
      <c r="Y321" s="303">
        <f>X321/X324</f>
        <v>0</v>
      </c>
      <c r="Z321" s="304">
        <v>0</v>
      </c>
      <c r="AA321" s="303">
        <f>Z321/Z324</f>
        <v>0</v>
      </c>
      <c r="AB321" s="40"/>
      <c r="AC321" s="43"/>
      <c r="AD321" s="22"/>
    </row>
    <row r="322" spans="1:30" s="23" customFormat="1" x14ac:dyDescent="0.3">
      <c r="A322" s="273"/>
      <c r="B322" s="275" t="s">
        <v>331</v>
      </c>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302">
        <v>2</v>
      </c>
      <c r="Y322" s="303">
        <f>X322/X324</f>
        <v>0.5</v>
      </c>
      <c r="Z322" s="304">
        <v>648</v>
      </c>
      <c r="AA322" s="303">
        <f>Z322/Z324</f>
        <v>0.54775993237531695</v>
      </c>
      <c r="AB322" s="40"/>
      <c r="AC322" s="43"/>
      <c r="AD322" s="22"/>
    </row>
    <row r="323" spans="1:30" s="23" customFormat="1" x14ac:dyDescent="0.3">
      <c r="A323" s="273"/>
      <c r="B323" s="274"/>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c r="Y323" s="277"/>
      <c r="Z323" s="278"/>
      <c r="AA323" s="277"/>
      <c r="AB323" s="40"/>
      <c r="AC323" s="43"/>
      <c r="AD323" s="22"/>
    </row>
    <row r="324" spans="1:30" s="23" customFormat="1" x14ac:dyDescent="0.3">
      <c r="A324" s="273"/>
      <c r="B324" s="274" t="s">
        <v>80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276">
        <f>SUM(X317:X323)</f>
        <v>4</v>
      </c>
      <c r="Y324" s="277">
        <f>SUM(Y317:Y322)</f>
        <v>1</v>
      </c>
      <c r="Z324" s="278">
        <f>SUM(Z317:Z322)</f>
        <v>1183</v>
      </c>
      <c r="AA324" s="277">
        <f>SUM(AA317:AA323)</f>
        <v>1</v>
      </c>
      <c r="AB324" s="40"/>
      <c r="AC324" s="43"/>
      <c r="AD324" s="22"/>
    </row>
    <row r="325" spans="1:30" x14ac:dyDescent="0.3">
      <c r="A325" s="7"/>
      <c r="B325" s="99"/>
      <c r="C325" s="99"/>
      <c r="D325" s="205"/>
      <c r="E325" s="205"/>
      <c r="F325" s="205"/>
      <c r="G325" s="205"/>
      <c r="H325" s="205"/>
      <c r="I325" s="205"/>
      <c r="J325" s="205"/>
      <c r="K325" s="205"/>
      <c r="L325" s="205"/>
      <c r="M325" s="205"/>
      <c r="N325" s="205"/>
      <c r="O325" s="205"/>
      <c r="P325" s="205"/>
      <c r="Q325" s="205"/>
      <c r="R325" s="205"/>
      <c r="S325" s="205"/>
      <c r="T325" s="205"/>
      <c r="U325" s="205"/>
      <c r="V325" s="205"/>
      <c r="W325" s="205"/>
      <c r="X325" s="100"/>
      <c r="Y325" s="206"/>
      <c r="Z325" s="207"/>
      <c r="AA325" s="206"/>
      <c r="AB325" s="99"/>
      <c r="AC325" s="10"/>
      <c r="AD325" s="5"/>
    </row>
    <row r="326" spans="1:30" x14ac:dyDescent="0.3">
      <c r="A326" s="33"/>
      <c r="B326" s="102" t="s">
        <v>106</v>
      </c>
      <c r="C326" s="34"/>
      <c r="D326" s="208"/>
      <c r="E326" s="208"/>
      <c r="F326" s="208"/>
      <c r="G326" s="208"/>
      <c r="H326" s="208"/>
      <c r="I326" s="208"/>
      <c r="J326" s="208"/>
      <c r="K326" s="208"/>
      <c r="L326" s="208"/>
      <c r="M326" s="208"/>
      <c r="N326" s="208"/>
      <c r="O326" s="208"/>
      <c r="P326" s="208"/>
      <c r="Q326" s="208"/>
      <c r="R326" s="208"/>
      <c r="S326" s="208"/>
      <c r="T326" s="208"/>
      <c r="U326" s="208"/>
      <c r="V326" s="208"/>
      <c r="W326" s="208"/>
      <c r="X326" s="154" t="s">
        <v>69</v>
      </c>
      <c r="Y326" s="103" t="s">
        <v>70</v>
      </c>
      <c r="Z326" s="154" t="s">
        <v>75</v>
      </c>
      <c r="AA326" s="103" t="s">
        <v>70</v>
      </c>
      <c r="AB326" s="34"/>
      <c r="AC326" s="36"/>
      <c r="AD326" s="5"/>
    </row>
    <row r="327" spans="1:30" s="23" customFormat="1" x14ac:dyDescent="0.3">
      <c r="A327" s="18"/>
      <c r="B327" s="106" t="s">
        <v>59</v>
      </c>
      <c r="C327" s="37"/>
      <c r="D327" s="209"/>
      <c r="E327" s="209"/>
      <c r="F327" s="209"/>
      <c r="G327" s="209"/>
      <c r="H327" s="209"/>
      <c r="I327" s="209"/>
      <c r="J327" s="209"/>
      <c r="K327" s="209"/>
      <c r="L327" s="209"/>
      <c r="M327" s="209"/>
      <c r="N327" s="209"/>
      <c r="O327" s="209"/>
      <c r="P327" s="209"/>
      <c r="Q327" s="209"/>
      <c r="R327" s="209"/>
      <c r="S327" s="209"/>
      <c r="T327" s="209"/>
      <c r="U327" s="209"/>
      <c r="V327" s="209"/>
      <c r="W327" s="209"/>
      <c r="X327" s="106">
        <v>0</v>
      </c>
      <c r="Y327" s="192">
        <v>0</v>
      </c>
      <c r="Z327" s="107">
        <v>0</v>
      </c>
      <c r="AA327" s="192">
        <v>0</v>
      </c>
      <c r="AB327" s="37"/>
      <c r="AC327" s="21"/>
      <c r="AD327" s="22"/>
    </row>
    <row r="328" spans="1:30" s="23" customFormat="1" x14ac:dyDescent="0.3">
      <c r="A328" s="47"/>
      <c r="B328" s="97" t="s">
        <v>60</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61</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100</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101</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102</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103</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1</v>
      </c>
      <c r="Y333" s="198">
        <v>1</v>
      </c>
      <c r="Z333" s="98">
        <v>195</v>
      </c>
      <c r="AA333" s="198">
        <v>1</v>
      </c>
      <c r="AB333" s="40"/>
      <c r="AC333" s="43"/>
      <c r="AD333" s="22"/>
    </row>
    <row r="334" spans="1:30" s="23" customFormat="1" x14ac:dyDescent="0.3">
      <c r="A334" s="47"/>
      <c r="B334" s="97" t="s">
        <v>104</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v>0</v>
      </c>
      <c r="Y334" s="198">
        <v>0</v>
      </c>
      <c r="Z334" s="98">
        <v>0</v>
      </c>
      <c r="AA334" s="198">
        <v>0</v>
      </c>
      <c r="AB334" s="40"/>
      <c r="AC334" s="43"/>
      <c r="AD334" s="22"/>
    </row>
    <row r="335" spans="1:30" s="23" customFormat="1" x14ac:dyDescent="0.3">
      <c r="A335" s="47"/>
      <c r="B335" s="97"/>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c r="Y335" s="198"/>
      <c r="Z335" s="98"/>
      <c r="AA335" s="198"/>
      <c r="AB335" s="40"/>
      <c r="AC335" s="43"/>
      <c r="AD335" s="22"/>
    </row>
    <row r="336" spans="1:30" s="23" customFormat="1" x14ac:dyDescent="0.3">
      <c r="A336" s="47"/>
      <c r="B336" s="40" t="s">
        <v>80</v>
      </c>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f>SUM(X327:X334)</f>
        <v>1</v>
      </c>
      <c r="Y336" s="198">
        <f>SUM(Y327:Y334)</f>
        <v>1</v>
      </c>
      <c r="Z336" s="98">
        <f>SUM(Z327:Z334)</f>
        <v>195</v>
      </c>
      <c r="AA336" s="198">
        <f>SUM(AA327:AA334)</f>
        <v>1</v>
      </c>
      <c r="AB336" s="40"/>
      <c r="AC336" s="43"/>
      <c r="AD336" s="22"/>
    </row>
    <row r="337" spans="1:30" s="23" customFormat="1" x14ac:dyDescent="0.3">
      <c r="A337" s="47"/>
      <c r="B337" s="40"/>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97"/>
      <c r="Y337" s="198"/>
      <c r="Z337" s="98"/>
      <c r="AA337" s="198"/>
      <c r="AB337" s="40"/>
      <c r="AC337" s="43"/>
      <c r="AD337" s="22"/>
    </row>
    <row r="338" spans="1:30" s="23" customFormat="1" x14ac:dyDescent="0.3">
      <c r="A338" s="47"/>
      <c r="B338" s="44" t="s">
        <v>139</v>
      </c>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f>X336+X314+X302</f>
        <v>1452</v>
      </c>
      <c r="Y338" s="198"/>
      <c r="Z338" s="211">
        <f>+Z336+Z314+Z302</f>
        <v>253212</v>
      </c>
      <c r="AA338" s="198"/>
      <c r="AB338" s="40"/>
      <c r="AC338" s="43"/>
      <c r="AD338" s="22"/>
    </row>
    <row r="339" spans="1:30" s="23" customFormat="1" x14ac:dyDescent="0.3">
      <c r="A339" s="47"/>
      <c r="B339" s="44" t="s">
        <v>304</v>
      </c>
      <c r="C339" s="44"/>
      <c r="D339" s="212"/>
      <c r="E339" s="212"/>
      <c r="F339" s="212"/>
      <c r="G339" s="212"/>
      <c r="H339" s="212"/>
      <c r="I339" s="212"/>
      <c r="J339" s="212"/>
      <c r="K339" s="212"/>
      <c r="L339" s="212"/>
      <c r="M339" s="212"/>
      <c r="N339" s="212"/>
      <c r="O339" s="212"/>
      <c r="P339" s="212"/>
      <c r="Q339" s="212"/>
      <c r="R339" s="212"/>
      <c r="S339" s="212"/>
      <c r="T339" s="212"/>
      <c r="U339" s="212"/>
      <c r="V339" s="212"/>
      <c r="W339" s="212"/>
      <c r="X339" s="210"/>
      <c r="Y339" s="213"/>
      <c r="Z339" s="211">
        <f>+AB65+AB64</f>
        <v>1</v>
      </c>
      <c r="AA339" s="198"/>
      <c r="AB339" s="40"/>
      <c r="AC339" s="43"/>
      <c r="AD339" s="22"/>
    </row>
    <row r="340" spans="1:30" s="23" customFormat="1" x14ac:dyDescent="0.3">
      <c r="A340" s="47"/>
      <c r="B340" s="44" t="s">
        <v>107</v>
      </c>
      <c r="C340" s="44"/>
      <c r="D340" s="212"/>
      <c r="E340" s="212"/>
      <c r="F340" s="212"/>
      <c r="G340" s="212"/>
      <c r="H340" s="212"/>
      <c r="I340" s="212"/>
      <c r="J340" s="212"/>
      <c r="K340" s="212"/>
      <c r="L340" s="212"/>
      <c r="M340" s="212"/>
      <c r="N340" s="212"/>
      <c r="O340" s="212"/>
      <c r="P340" s="212"/>
      <c r="Q340" s="212"/>
      <c r="R340" s="212"/>
      <c r="S340" s="212"/>
      <c r="T340" s="212"/>
      <c r="U340" s="212"/>
      <c r="V340" s="212"/>
      <c r="W340" s="212"/>
      <c r="X340" s="210"/>
      <c r="Y340" s="213"/>
      <c r="Z340" s="211">
        <f>+Z338+Z339</f>
        <v>253213</v>
      </c>
      <c r="AA340" s="198"/>
      <c r="AB340" s="40"/>
      <c r="AC340" s="43"/>
      <c r="AD340" s="22"/>
    </row>
    <row r="341" spans="1:30" s="23" customFormat="1" x14ac:dyDescent="0.3">
      <c r="A341" s="47"/>
      <c r="B341" s="44" t="s">
        <v>237</v>
      </c>
      <c r="C341" s="40"/>
      <c r="D341" s="204"/>
      <c r="E341" s="204"/>
      <c r="F341" s="204"/>
      <c r="G341" s="204"/>
      <c r="H341" s="204"/>
      <c r="I341" s="204"/>
      <c r="J341" s="204"/>
      <c r="K341" s="204"/>
      <c r="L341" s="204"/>
      <c r="M341" s="204"/>
      <c r="N341" s="204"/>
      <c r="O341" s="204"/>
      <c r="P341" s="204"/>
      <c r="Q341" s="204"/>
      <c r="R341" s="204"/>
      <c r="S341" s="204"/>
      <c r="T341" s="204"/>
      <c r="U341" s="204"/>
      <c r="V341" s="204"/>
      <c r="W341" s="204"/>
      <c r="X341" s="210"/>
      <c r="Y341" s="198"/>
      <c r="Z341" s="211">
        <f>+AB67</f>
        <v>253213</v>
      </c>
      <c r="AA341" s="198"/>
      <c r="AB341" s="40"/>
      <c r="AC341" s="43"/>
      <c r="AD341" s="22"/>
    </row>
    <row r="342" spans="1:30" s="23" customFormat="1" x14ac:dyDescent="0.3">
      <c r="A342" s="47"/>
      <c r="B342" s="44"/>
      <c r="C342" s="40"/>
      <c r="D342" s="204"/>
      <c r="E342" s="204"/>
      <c r="F342" s="204"/>
      <c r="G342" s="204"/>
      <c r="H342" s="204"/>
      <c r="I342" s="204"/>
      <c r="J342" s="204"/>
      <c r="K342" s="204"/>
      <c r="L342" s="204"/>
      <c r="M342" s="204"/>
      <c r="N342" s="204"/>
      <c r="O342" s="204"/>
      <c r="P342" s="204"/>
      <c r="Q342" s="204"/>
      <c r="R342" s="204"/>
      <c r="S342" s="204"/>
      <c r="T342" s="204"/>
      <c r="U342" s="204"/>
      <c r="V342" s="204"/>
      <c r="W342" s="204"/>
      <c r="X342" s="210"/>
      <c r="Y342" s="198"/>
      <c r="Z342" s="211"/>
      <c r="AA342" s="198"/>
      <c r="AB342" s="40"/>
      <c r="AC342" s="43"/>
      <c r="AD342" s="22"/>
    </row>
    <row r="343" spans="1:30" s="23" customFormat="1" x14ac:dyDescent="0.3">
      <c r="A343" s="47"/>
      <c r="B343" s="44" t="s">
        <v>305</v>
      </c>
      <c r="C343" s="40"/>
      <c r="D343" s="204"/>
      <c r="E343" s="204"/>
      <c r="F343" s="204"/>
      <c r="G343" s="204"/>
      <c r="H343" s="204"/>
      <c r="I343" s="204"/>
      <c r="J343" s="204"/>
      <c r="K343" s="204"/>
      <c r="L343" s="204"/>
      <c r="M343" s="204"/>
      <c r="N343" s="204"/>
      <c r="O343" s="204"/>
      <c r="P343" s="204"/>
      <c r="Q343" s="204"/>
      <c r="R343" s="204"/>
      <c r="S343" s="204"/>
      <c r="T343" s="204"/>
      <c r="U343" s="204"/>
      <c r="V343" s="204"/>
      <c r="W343" s="204"/>
      <c r="X343" s="210"/>
      <c r="Y343" s="198"/>
      <c r="Z343" s="236">
        <f>(D31*0.05+F31+H31+J31+L31+N31)/AB31</f>
        <v>0.93183113336040968</v>
      </c>
      <c r="AA343" s="198"/>
      <c r="AB343" s="40"/>
      <c r="AC343" s="43"/>
      <c r="AD343" s="22"/>
    </row>
    <row r="344" spans="1:30" s="23" customFormat="1" x14ac:dyDescent="0.3">
      <c r="A344" s="18"/>
      <c r="B344" s="20"/>
      <c r="C344" s="20"/>
      <c r="D344" s="214"/>
      <c r="E344" s="214"/>
      <c r="F344" s="214"/>
      <c r="G344" s="214"/>
      <c r="H344" s="214"/>
      <c r="I344" s="214"/>
      <c r="J344" s="214"/>
      <c r="K344" s="214"/>
      <c r="L344" s="214"/>
      <c r="M344" s="214"/>
      <c r="N344" s="214"/>
      <c r="O344" s="214"/>
      <c r="P344" s="214"/>
      <c r="Q344" s="214"/>
      <c r="R344" s="214"/>
      <c r="S344" s="214"/>
      <c r="T344" s="214"/>
      <c r="U344" s="214"/>
      <c r="V344" s="214"/>
      <c r="W344" s="214"/>
      <c r="X344" s="214"/>
      <c r="Y344" s="214"/>
      <c r="Z344" s="215"/>
      <c r="AA344" s="214"/>
      <c r="AB344" s="20"/>
      <c r="AC344" s="21"/>
      <c r="AD344" s="22"/>
    </row>
    <row r="345" spans="1:30" s="23" customFormat="1" x14ac:dyDescent="0.3">
      <c r="A345" s="18"/>
      <c r="B345" s="19" t="s">
        <v>62</v>
      </c>
      <c r="C345" s="20"/>
      <c r="D345" s="216" t="s">
        <v>66</v>
      </c>
      <c r="E345" s="19"/>
      <c r="F345" s="19" t="s">
        <v>67</v>
      </c>
      <c r="G345" s="20"/>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s="23" customFormat="1" x14ac:dyDescent="0.3">
      <c r="A346" s="18"/>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1"/>
      <c r="AD346" s="22"/>
    </row>
    <row r="347" spans="1:30" s="23" customFormat="1" x14ac:dyDescent="0.3">
      <c r="A347" s="18"/>
      <c r="B347" s="19" t="s">
        <v>152</v>
      </c>
      <c r="C347" s="19"/>
      <c r="D347" s="217" t="s">
        <v>122</v>
      </c>
      <c r="E347" s="19"/>
      <c r="F347" s="19" t="s">
        <v>168</v>
      </c>
      <c r="G347" s="19"/>
      <c r="H347" s="19"/>
      <c r="I347" s="20"/>
      <c r="J347" s="20"/>
      <c r="K347" s="20"/>
      <c r="L347" s="20"/>
      <c r="M347" s="20"/>
      <c r="N347" s="20"/>
      <c r="O347" s="20"/>
      <c r="P347" s="20"/>
      <c r="Q347" s="20"/>
      <c r="R347" s="20"/>
      <c r="S347" s="20"/>
      <c r="T347" s="20"/>
      <c r="U347" s="20"/>
      <c r="V347" s="20"/>
      <c r="W347" s="20"/>
      <c r="X347" s="20"/>
      <c r="Y347" s="20"/>
      <c r="Z347" s="20"/>
      <c r="AA347" s="20"/>
      <c r="AB347" s="20"/>
      <c r="AC347" s="21"/>
      <c r="AD347" s="22"/>
    </row>
    <row r="348" spans="1:30" s="23" customFormat="1" x14ac:dyDescent="0.3">
      <c r="A348" s="18"/>
      <c r="B348" s="19" t="s">
        <v>153</v>
      </c>
      <c r="C348" s="19"/>
      <c r="D348" s="217" t="s">
        <v>98</v>
      </c>
      <c r="E348" s="19"/>
      <c r="F348" s="19" t="s">
        <v>169</v>
      </c>
      <c r="G348" s="19"/>
      <c r="H348" s="19"/>
      <c r="I348" s="20"/>
      <c r="J348" s="20"/>
      <c r="K348" s="20"/>
      <c r="L348" s="20"/>
      <c r="M348" s="20"/>
      <c r="N348" s="20"/>
      <c r="O348" s="20"/>
      <c r="P348" s="20"/>
      <c r="Q348" s="20"/>
      <c r="R348" s="20"/>
      <c r="S348" s="20"/>
      <c r="T348" s="20"/>
      <c r="U348" s="20"/>
      <c r="V348" s="20"/>
      <c r="W348" s="20"/>
      <c r="X348" s="20"/>
      <c r="Y348" s="20"/>
      <c r="Z348" s="20"/>
      <c r="AA348" s="20"/>
      <c r="AB348" s="20"/>
      <c r="AC348" s="21"/>
      <c r="AD348" s="22"/>
    </row>
    <row r="349" spans="1:30" x14ac:dyDescent="0.3">
      <c r="A349" s="218"/>
      <c r="B349" s="258"/>
      <c r="C349" s="219"/>
      <c r="D349" s="220"/>
      <c r="E349" s="220"/>
      <c r="F349" s="220"/>
      <c r="G349" s="220"/>
      <c r="H349" s="220"/>
      <c r="I349" s="220"/>
      <c r="J349" s="220"/>
      <c r="K349" s="220"/>
      <c r="L349" s="220"/>
      <c r="M349" s="220"/>
      <c r="N349" s="220"/>
      <c r="O349" s="220"/>
      <c r="P349" s="220"/>
      <c r="Q349" s="220"/>
      <c r="R349" s="220"/>
      <c r="S349" s="220"/>
      <c r="T349" s="220"/>
      <c r="U349" s="220"/>
      <c r="V349" s="220"/>
      <c r="W349" s="220"/>
      <c r="X349" s="220"/>
      <c r="Y349" s="220"/>
      <c r="Z349" s="220"/>
      <c r="AA349" s="220"/>
      <c r="AB349" s="220"/>
      <c r="AC349" s="221"/>
      <c r="AD349" s="5"/>
    </row>
    <row r="350" spans="1:30" ht="18" x14ac:dyDescent="0.35">
      <c r="A350" s="218"/>
      <c r="B350" s="259" t="s">
        <v>109</v>
      </c>
      <c r="C350" s="219"/>
      <c r="D350" s="220"/>
      <c r="E350" s="220"/>
      <c r="F350" s="220"/>
      <c r="G350" s="220"/>
      <c r="H350" s="220"/>
      <c r="I350" s="220"/>
      <c r="J350" s="220"/>
      <c r="K350" s="220"/>
      <c r="L350" s="220"/>
      <c r="M350" s="220"/>
      <c r="N350" s="220"/>
      <c r="O350" s="220"/>
      <c r="P350" s="260" t="s">
        <v>167</v>
      </c>
      <c r="Q350" s="220"/>
      <c r="R350" s="220"/>
      <c r="S350" s="220"/>
      <c r="T350" s="220"/>
      <c r="U350" s="220"/>
      <c r="V350" s="220"/>
      <c r="W350" s="220"/>
      <c r="X350" s="220"/>
      <c r="Y350" s="220"/>
      <c r="Z350" s="220"/>
      <c r="AA350" s="220"/>
      <c r="AB350" s="220"/>
      <c r="AC350" s="221"/>
      <c r="AD350" s="5"/>
    </row>
    <row r="351" spans="1:30" ht="18" x14ac:dyDescent="0.35">
      <c r="A351" s="218"/>
      <c r="B351" s="259"/>
      <c r="C351" s="219"/>
      <c r="D351" s="220"/>
      <c r="E351" s="220"/>
      <c r="F351" s="220"/>
      <c r="G351" s="220"/>
      <c r="H351" s="220"/>
      <c r="I351" s="220"/>
      <c r="J351" s="220"/>
      <c r="K351" s="220"/>
      <c r="L351" s="220"/>
      <c r="M351" s="220"/>
      <c r="N351" s="220"/>
      <c r="O351" s="220"/>
      <c r="P351" s="260"/>
      <c r="Q351" s="220"/>
      <c r="R351" s="220"/>
      <c r="S351" s="220"/>
      <c r="T351" s="220"/>
      <c r="U351" s="220"/>
      <c r="V351" s="220"/>
      <c r="W351" s="220"/>
      <c r="X351" s="220"/>
      <c r="Y351" s="220"/>
      <c r="Z351" s="220"/>
      <c r="AA351" s="220"/>
      <c r="AB351" s="220"/>
      <c r="AC351" s="221"/>
      <c r="AD351" s="5"/>
    </row>
    <row r="352" spans="1:30" ht="18.600000000000001" thickBot="1" x14ac:dyDescent="0.4">
      <c r="A352" s="218"/>
      <c r="B352" s="222" t="str">
        <f>B238</f>
        <v>PM26 INVESTOR REPORT QUARTER ENDING JANUARY 2024</v>
      </c>
      <c r="C352" s="219"/>
      <c r="D352" s="220"/>
      <c r="E352" s="220"/>
      <c r="F352" s="220"/>
      <c r="G352" s="220"/>
      <c r="H352" s="220"/>
      <c r="I352" s="220"/>
      <c r="J352" s="220"/>
      <c r="K352" s="220"/>
      <c r="L352" s="220"/>
      <c r="M352" s="220"/>
      <c r="N352" s="220"/>
      <c r="O352" s="220"/>
      <c r="P352" s="220"/>
      <c r="Q352" s="220"/>
      <c r="R352" s="220"/>
      <c r="S352" s="220"/>
      <c r="T352" s="220"/>
      <c r="U352" s="220"/>
      <c r="V352" s="220"/>
      <c r="W352" s="220"/>
      <c r="X352" s="220"/>
      <c r="Y352" s="220"/>
      <c r="Z352" s="220"/>
      <c r="AA352" s="220"/>
      <c r="AB352" s="220"/>
      <c r="AC352" s="223"/>
      <c r="AD352" s="5"/>
    </row>
    <row r="353" spans="1:29" x14ac:dyDescent="0.3">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row>
    <row r="354" spans="1:29" x14ac:dyDescent="0.3">
      <c r="B354" s="6" t="s">
        <v>307</v>
      </c>
      <c r="AC354" s="271"/>
    </row>
    <row r="355" spans="1:29" x14ac:dyDescent="0.3">
      <c r="B355" s="6" t="s">
        <v>390</v>
      </c>
    </row>
    <row r="356" spans="1:29" x14ac:dyDescent="0.3">
      <c r="B356" s="271"/>
    </row>
    <row r="357" spans="1:29" x14ac:dyDescent="0.3">
      <c r="B357" s="279" t="s">
        <v>354</v>
      </c>
    </row>
    <row r="358" spans="1:29" x14ac:dyDescent="0.3">
      <c r="B358" s="270" t="s">
        <v>352</v>
      </c>
    </row>
    <row r="359" spans="1:29" x14ac:dyDescent="0.3">
      <c r="B359" s="300" t="s">
        <v>353</v>
      </c>
    </row>
    <row r="361" spans="1:29" x14ac:dyDescent="0.3">
      <c r="B361" s="6" t="s">
        <v>385</v>
      </c>
    </row>
    <row r="362" spans="1:29" x14ac:dyDescent="0.3">
      <c r="B362" s="6" t="s">
        <v>384</v>
      </c>
    </row>
  </sheetData>
  <hyperlinks>
    <hyperlink ref="K9" r:id="rId1" display="http://www.paragon-group.co.uk" xr:uid="{68B0BCB1-D34E-4880-81F5-C17A2FA65A04}"/>
    <hyperlink ref="P350" r:id="rId2" xr:uid="{DC597093-34CF-4A8C-A62D-6F4EFBE69C0A}"/>
    <hyperlink ref="P278" r:id="rId3" xr:uid="{57782351-4A32-400F-8F97-214B173495FF}"/>
    <hyperlink ref="B359" r:id="rId4" display="https://investorreporting.paragonbankinggroup.co.uk/bondinvestor_viewer/resources/bondinvestor/pdf/investornews/2021/libor-mortgages-transition-july-19" xr:uid="{E5D49594-64EC-4171-B654-0F7171FCF1C0}"/>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8" max="18" man="1"/>
  </rowBreaks>
  <colBreaks count="1" manualBreakCount="1">
    <brk id="29" max="299" man="1"/>
  </colBreak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80F12-7425-4F2A-A8FC-858E9A9D56E2}">
  <sheetPr>
    <tabColor rgb="FF89CB31"/>
  </sheetPr>
  <dimension ref="A1:JB362"/>
  <sheetViews>
    <sheetView showGridLines="0" tabSelected="1"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0.28645869937287682</v>
      </c>
      <c r="Z17" s="29" t="s">
        <v>258</v>
      </c>
      <c r="AA17" s="29">
        <v>0.71354130062712318</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45434</v>
      </c>
      <c r="AC19" s="21"/>
      <c r="AD19" s="22"/>
    </row>
    <row r="20" spans="1:33" s="23" customFormat="1" x14ac:dyDescent="0.3">
      <c r="A20" s="18"/>
      <c r="B20" s="20"/>
      <c r="C20" s="20"/>
      <c r="D20" s="308"/>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307"/>
      <c r="E21" s="20"/>
      <c r="F21" s="287"/>
      <c r="G21" s="20"/>
      <c r="H21" s="309"/>
      <c r="I21" s="20"/>
      <c r="J21" s="308"/>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213</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214</v>
      </c>
      <c r="I27" s="229"/>
      <c r="J27" s="229" t="s">
        <v>215</v>
      </c>
      <c r="K27" s="229"/>
      <c r="L27" s="229" t="s">
        <v>365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18169.70882</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3561.1358399999999</v>
      </c>
      <c r="Q30" s="54"/>
      <c r="R30" s="54">
        <v>0</v>
      </c>
      <c r="S30" s="54"/>
      <c r="T30" s="54" t="s">
        <v>83</v>
      </c>
      <c r="U30" s="54"/>
      <c r="V30" s="54" t="s">
        <v>83</v>
      </c>
      <c r="W30" s="54"/>
      <c r="X30" s="54" t="s">
        <v>83</v>
      </c>
      <c r="Y30" s="54" t="s">
        <v>83</v>
      </c>
      <c r="Z30" s="54"/>
      <c r="AA30" s="49"/>
      <c r="AB30" s="50">
        <f>SUM(D30:N30)</f>
        <v>253212.70882</v>
      </c>
      <c r="AC30" s="51"/>
      <c r="AD30" s="22"/>
    </row>
    <row r="31" spans="1:33" s="23" customFormat="1" x14ac:dyDescent="0.3">
      <c r="A31" s="47"/>
      <c r="B31" s="44" t="s">
        <v>92</v>
      </c>
      <c r="C31" s="49"/>
      <c r="D31" s="57">
        <f>D29*D32</f>
        <v>13479.638350000001</v>
      </c>
      <c r="E31" s="57"/>
      <c r="F31" s="57">
        <f>F29</f>
        <v>151540</v>
      </c>
      <c r="G31" s="57"/>
      <c r="H31" s="57">
        <f>H29</f>
        <v>24741</v>
      </c>
      <c r="I31" s="57"/>
      <c r="J31" s="57">
        <f>J29</f>
        <v>18555</v>
      </c>
      <c r="K31" s="57"/>
      <c r="L31" s="57">
        <f>L29</f>
        <v>20102</v>
      </c>
      <c r="M31" s="57"/>
      <c r="N31" s="57">
        <f>N29</f>
        <v>20105</v>
      </c>
      <c r="O31" s="57"/>
      <c r="P31" s="57">
        <f>P29*P32</f>
        <v>3496.61366</v>
      </c>
      <c r="Q31" s="57"/>
      <c r="R31" s="57">
        <v>0</v>
      </c>
      <c r="S31" s="57"/>
      <c r="T31" s="57" t="s">
        <v>83</v>
      </c>
      <c r="U31" s="57"/>
      <c r="V31" s="57" t="s">
        <v>83</v>
      </c>
      <c r="W31" s="57"/>
      <c r="X31" s="57" t="s">
        <v>83</v>
      </c>
      <c r="Y31" s="57" t="s">
        <v>83</v>
      </c>
      <c r="Z31" s="57"/>
      <c r="AA31" s="49"/>
      <c r="AB31" s="56">
        <f>SUM(D31:N31)</f>
        <v>248522.63834999999</v>
      </c>
      <c r="AC31" s="51"/>
      <c r="AD31" s="22"/>
      <c r="AE31" s="235"/>
    </row>
    <row r="32" spans="1:33" s="65" customFormat="1" x14ac:dyDescent="0.3">
      <c r="A32" s="58"/>
      <c r="B32" s="166" t="s">
        <v>88</v>
      </c>
      <c r="C32" s="61"/>
      <c r="D32" s="60">
        <v>3.5150000000000001E-2</v>
      </c>
      <c r="E32" s="60"/>
      <c r="F32" s="60">
        <v>1</v>
      </c>
      <c r="G32" s="60"/>
      <c r="H32" s="60">
        <v>1</v>
      </c>
      <c r="I32" s="60"/>
      <c r="J32" s="60">
        <v>1</v>
      </c>
      <c r="K32" s="60"/>
      <c r="L32" s="60">
        <v>1</v>
      </c>
      <c r="M32" s="60"/>
      <c r="N32" s="60">
        <v>1</v>
      </c>
      <c r="O32" s="60"/>
      <c r="P32" s="60">
        <v>0.34358</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4.7379999999999999E-2</v>
      </c>
      <c r="E33" s="60"/>
      <c r="F33" s="60">
        <v>1</v>
      </c>
      <c r="G33" s="60"/>
      <c r="H33" s="60">
        <v>1</v>
      </c>
      <c r="I33" s="60"/>
      <c r="J33" s="60">
        <v>1</v>
      </c>
      <c r="K33" s="60"/>
      <c r="L33" s="60">
        <v>1</v>
      </c>
      <c r="M33" s="60"/>
      <c r="N33" s="60">
        <v>1</v>
      </c>
      <c r="O33" s="60"/>
      <c r="P33" s="60">
        <v>0.34992000000000001</v>
      </c>
      <c r="Q33" s="60"/>
      <c r="R33" s="60">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6.2751799999999996E-2</v>
      </c>
      <c r="E35" s="241"/>
      <c r="F35" s="241">
        <v>6.4251799999999998E-2</v>
      </c>
      <c r="G35" s="241"/>
      <c r="H35" s="241">
        <v>7.1251800000000004E-2</v>
      </c>
      <c r="I35" s="241"/>
      <c r="J35" s="241">
        <v>7.4751799999999993E-2</v>
      </c>
      <c r="K35" s="241"/>
      <c r="L35" s="241">
        <v>7.8251799999999996E-2</v>
      </c>
      <c r="M35" s="241"/>
      <c r="N35" s="241">
        <v>8.8251800000000005E-2</v>
      </c>
      <c r="O35" s="241"/>
      <c r="P35" s="241">
        <v>9.2251799999999995E-2</v>
      </c>
      <c r="Q35" s="241"/>
      <c r="R35" s="241">
        <v>9.2251799999999995E-2</v>
      </c>
      <c r="S35" s="68"/>
      <c r="T35" s="68" t="s">
        <v>83</v>
      </c>
      <c r="U35" s="68"/>
      <c r="V35" s="68" t="s">
        <v>83</v>
      </c>
      <c r="W35" s="68"/>
      <c r="X35" s="68" t="s">
        <v>83</v>
      </c>
      <c r="Y35" s="68" t="s">
        <v>83</v>
      </c>
      <c r="Z35" s="68"/>
      <c r="AA35" s="40"/>
      <c r="AB35" s="67">
        <f>SUMPRODUCT(D35:N35,D30:N30)/AB30</f>
        <v>6.8614566552745559E-2</v>
      </c>
      <c r="AC35" s="43"/>
      <c r="AD35" s="22"/>
    </row>
    <row r="36" spans="1:30" s="23" customFormat="1" x14ac:dyDescent="0.3">
      <c r="A36" s="47"/>
      <c r="B36" s="40" t="s">
        <v>10</v>
      </c>
      <c r="C36" s="69"/>
      <c r="D36" s="241">
        <v>6.2707499999999999E-2</v>
      </c>
      <c r="E36" s="241"/>
      <c r="F36" s="241">
        <v>6.4207500000000001E-2</v>
      </c>
      <c r="G36" s="241"/>
      <c r="H36" s="241">
        <v>7.1207500000000007E-2</v>
      </c>
      <c r="I36" s="241"/>
      <c r="J36" s="241">
        <v>7.4707499999999996E-2</v>
      </c>
      <c r="K36" s="241"/>
      <c r="L36" s="241">
        <v>7.8207499999999999E-2</v>
      </c>
      <c r="M36" s="241"/>
      <c r="N36" s="241">
        <v>8.8207499999999994E-2</v>
      </c>
      <c r="O36" s="241"/>
      <c r="P36" s="241">
        <v>9.2207499999999998E-2</v>
      </c>
      <c r="Q36" s="241"/>
      <c r="R36" s="241">
        <v>9.2207499999999998E-2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0.50601856139627155</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45427</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92</v>
      </c>
      <c r="Y48" s="40"/>
      <c r="Z48" s="76">
        <v>45245</v>
      </c>
      <c r="AA48" s="77"/>
      <c r="AB48" s="76">
        <v>45336</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90</v>
      </c>
      <c r="Y49" s="40"/>
      <c r="Z49" s="76">
        <v>45337</v>
      </c>
      <c r="AA49" s="77"/>
      <c r="AB49" s="76">
        <v>45426</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45426</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391</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253212</v>
      </c>
      <c r="S58" s="238"/>
      <c r="T58" s="237">
        <f>121+105</f>
        <v>226</v>
      </c>
      <c r="U58" s="237"/>
      <c r="V58" s="237">
        <v>4467</v>
      </c>
      <c r="W58" s="238"/>
      <c r="X58" s="238">
        <v>0</v>
      </c>
      <c r="Y58" s="238"/>
      <c r="Z58" s="238">
        <v>0</v>
      </c>
      <c r="AA58" s="238"/>
      <c r="AB58" s="237">
        <f>R58-T58-V58+X58-Z58</f>
        <v>248519</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253212</v>
      </c>
      <c r="S61" s="238"/>
      <c r="T61" s="238">
        <f>T58+T59</f>
        <v>226</v>
      </c>
      <c r="U61" s="238"/>
      <c r="V61" s="238">
        <f>SUM(V58:V60)</f>
        <v>4467</v>
      </c>
      <c r="W61" s="238"/>
      <c r="X61" s="238">
        <f>SUM(X58:X60)</f>
        <v>0</v>
      </c>
      <c r="Y61" s="238"/>
      <c r="Z61" s="238">
        <f>SUM(Z58:Z60)</f>
        <v>0</v>
      </c>
      <c r="AA61" s="238"/>
      <c r="AB61" s="238">
        <f>SUM(AB58:AB60)</f>
        <v>248519</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1</v>
      </c>
      <c r="S64" s="238"/>
      <c r="T64" s="238">
        <v>0</v>
      </c>
      <c r="U64" s="238"/>
      <c r="V64" s="238">
        <v>3</v>
      </c>
      <c r="W64" s="238"/>
      <c r="X64" s="238"/>
      <c r="Y64" s="238"/>
      <c r="Z64" s="238"/>
      <c r="AA64" s="238"/>
      <c r="AB64" s="238">
        <f>R64+V64</f>
        <v>4</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253213</v>
      </c>
      <c r="S67" s="238"/>
      <c r="T67" s="238"/>
      <c r="U67" s="238"/>
      <c r="V67" s="238"/>
      <c r="W67" s="238"/>
      <c r="X67" s="238"/>
      <c r="Y67" s="238"/>
      <c r="Z67" s="238"/>
      <c r="AA67" s="238"/>
      <c r="AB67" s="238">
        <f>SUM(AB61:AB66)</f>
        <v>248523</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+Z239</f>
        <v>45412</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1</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f>
        <v>4693</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2122+1400-112-394</f>
        <v>3016</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53+12</f>
        <v>65</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181</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64</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378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769</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857</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4694</v>
      </c>
      <c r="AA84" s="40"/>
      <c r="AB84" s="97">
        <f>SUM(AB71:AB83)</f>
        <v>4952</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4694</v>
      </c>
      <c r="AA87" s="40"/>
      <c r="AB87" s="97">
        <f>AB84+AB85+AB86</f>
        <v>4952</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-125-15-5</f>
        <v>-145</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1265</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-281</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-2401</v>
      </c>
      <c r="AC94" s="114"/>
      <c r="AD94" s="30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-435</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-342</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-388</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0</v>
      </c>
      <c r="AA101" s="112"/>
      <c r="AB101" s="98">
        <v>0</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-676</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-500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-437</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-81</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-64</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-5-92</f>
        <v>-97</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30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-344</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-4690</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-4690</v>
      </c>
      <c r="AA130" s="97"/>
      <c r="AB130" s="97">
        <f>SUM(AB88:AB128)</f>
        <v>-4952</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4</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APRIL 2024</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+'January 24'!AB146</f>
        <v>2981.5499999999993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-64</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2917.5499999999993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+'January 24'!AB159</f>
        <v>579.85500000000002</v>
      </c>
      <c r="AC150" s="43"/>
      <c r="AD150" s="22"/>
      <c r="AE150" s="115"/>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c r="AE159" s="115"/>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+'January 24'!AB165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+'January 24'!AB173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0</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0</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0</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+'January 24'!AB182</f>
        <v>3233</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311" t="s">
        <v>381</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237">
        <v>676</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379</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769</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3140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+'January 24'!AB190</f>
        <v>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382</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220</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AB187-AB189+AB188</f>
        <v>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+'January 24'!AB199</f>
        <v>122</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237">
        <f>AB205</f>
        <v>829</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377</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237">
        <v>0</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222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AB83</f>
        <v>857</v>
      </c>
      <c r="AC198" s="43"/>
      <c r="AD198" s="310"/>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7" customFormat="1" x14ac:dyDescent="0.3">
      <c r="A199" s="47"/>
      <c r="B199" s="40" t="s">
        <v>356</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f>AB195+AB196-AB198-AB197</f>
        <v>94</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9" customFormat="1" ht="16.2" thickBot="1" x14ac:dyDescent="0.35">
      <c r="A200" s="138"/>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126"/>
      <c r="AC200" s="10"/>
      <c r="AD200" s="5"/>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row>
    <row r="201" spans="1:262" x14ac:dyDescent="0.3">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134"/>
      <c r="AC201" s="4"/>
      <c r="AD201" s="5"/>
    </row>
    <row r="202" spans="1:262" s="136" customFormat="1" x14ac:dyDescent="0.3">
      <c r="A202" s="7"/>
      <c r="B202" s="125" t="s">
        <v>350</v>
      </c>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135"/>
      <c r="AC202" s="10"/>
      <c r="AD202" s="5"/>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row>
    <row r="203" spans="1:262" s="137" customFormat="1" x14ac:dyDescent="0.3">
      <c r="A203" s="47"/>
      <c r="B203" s="40" t="s">
        <v>209</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v>901</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40" t="s">
        <v>210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f>+'January 24'!AB207</f>
        <v>839</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250</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v>829</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59" t="s">
        <v>223</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-AB103</f>
        <v>500</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7" customFormat="1" x14ac:dyDescent="0.3">
      <c r="A207" s="47"/>
      <c r="B207" s="40" t="s">
        <v>211</v>
      </c>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98">
        <f>AB204-AB205+AB206</f>
        <v>510</v>
      </c>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9" customFormat="1" ht="16.2" thickBot="1" x14ac:dyDescent="0.35">
      <c r="A208" s="138"/>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126"/>
      <c r="AC208" s="10"/>
      <c r="AD208" s="5"/>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row>
    <row r="209" spans="1:262" x14ac:dyDescent="0.3">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134"/>
      <c r="AC209" s="4"/>
      <c r="AD209" s="5"/>
    </row>
    <row r="210" spans="1:262" s="136" customFormat="1" x14ac:dyDescent="0.3">
      <c r="A210" s="7"/>
      <c r="B210" s="125" t="s">
        <v>229</v>
      </c>
      <c r="C210" s="99"/>
      <c r="D210" s="99"/>
      <c r="E210" s="99"/>
      <c r="F210" s="99"/>
      <c r="G210" s="99"/>
      <c r="H210" s="99"/>
      <c r="I210" s="99"/>
      <c r="J210" s="99"/>
      <c r="K210" s="99"/>
      <c r="L210" s="99"/>
      <c r="M210" s="99"/>
      <c r="N210" s="99"/>
      <c r="O210" s="99"/>
      <c r="P210" s="99"/>
      <c r="Q210" s="99"/>
      <c r="R210" s="99"/>
      <c r="S210" s="99"/>
      <c r="T210" s="99"/>
      <c r="U210" s="99"/>
      <c r="V210" s="99"/>
      <c r="W210" s="99"/>
      <c r="X210" s="99"/>
      <c r="Y210" s="233" t="s">
        <v>235</v>
      </c>
      <c r="Z210" s="233" t="s">
        <v>236</v>
      </c>
      <c r="AA210" s="12"/>
      <c r="AB210" s="234" t="s">
        <v>80</v>
      </c>
      <c r="AC210" s="10"/>
      <c r="AD210" s="5"/>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row>
    <row r="211" spans="1:262" s="137" customFormat="1" x14ac:dyDescent="0.3">
      <c r="A211" s="47"/>
      <c r="B211" s="40" t="s">
        <v>230</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+AB29*0.16</f>
        <v>98965.119999999995</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231</v>
      </c>
      <c r="C212" s="40"/>
      <c r="D212" s="40"/>
      <c r="E212" s="40"/>
      <c r="F212" s="40"/>
      <c r="G212" s="40"/>
      <c r="H212" s="40"/>
      <c r="I212" s="40"/>
      <c r="J212" s="40"/>
      <c r="K212" s="40"/>
      <c r="L212" s="40"/>
      <c r="M212" s="40"/>
      <c r="N212" s="40"/>
      <c r="O212" s="40"/>
      <c r="P212" s="40"/>
      <c r="Q212" s="40"/>
      <c r="R212" s="40"/>
      <c r="S212" s="40"/>
      <c r="T212" s="40"/>
      <c r="U212" s="40"/>
      <c r="V212" s="40"/>
      <c r="W212" s="40"/>
      <c r="X212" s="40"/>
      <c r="Y212" s="98">
        <f>+'January 24'!Y213</f>
        <v>0</v>
      </c>
      <c r="Z212" s="98">
        <f>+'January 24'!Z213</f>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232</v>
      </c>
      <c r="C213" s="40"/>
      <c r="D213" s="40"/>
      <c r="E213" s="40"/>
      <c r="F213" s="40"/>
      <c r="G213" s="40"/>
      <c r="H213" s="40"/>
      <c r="I213" s="40"/>
      <c r="J213" s="40"/>
      <c r="K213" s="40"/>
      <c r="L213" s="40"/>
      <c r="M213" s="40"/>
      <c r="N213" s="40"/>
      <c r="O213" s="40"/>
      <c r="P213" s="40"/>
      <c r="Q213" s="40"/>
      <c r="R213" s="40"/>
      <c r="S213" s="40"/>
      <c r="T213" s="40"/>
      <c r="U213" s="40"/>
      <c r="V213" s="40"/>
      <c r="W213" s="40"/>
      <c r="X213" s="40"/>
      <c r="Y213" s="97">
        <v>0</v>
      </c>
      <c r="Z213" s="97">
        <v>0</v>
      </c>
      <c r="AA213" s="40"/>
      <c r="AB213" s="98">
        <f>Y213+Z213</f>
        <v>0</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233</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Y212+Y213</f>
        <v>0</v>
      </c>
      <c r="Z214" s="98">
        <f>Z213+Z212</f>
        <v>0</v>
      </c>
      <c r="AA214" s="40"/>
      <c r="AB214" s="98">
        <f>Y214+Z214</f>
        <v>0</v>
      </c>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7" customFormat="1" x14ac:dyDescent="0.3">
      <c r="A215" s="47"/>
      <c r="B215" s="40" t="s">
        <v>234</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f>Y211-Y214-Z214</f>
        <v>98965.119999999995</v>
      </c>
      <c r="Z215" s="70"/>
      <c r="AA215" s="40"/>
      <c r="AB215" s="98"/>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9" customFormat="1" ht="16.2" thickBot="1" x14ac:dyDescent="0.35">
      <c r="A216" s="138"/>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126"/>
      <c r="AC216" s="10"/>
      <c r="AD216" s="5"/>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row>
    <row r="217" spans="1:262" x14ac:dyDescent="0.3">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134"/>
      <c r="AC217" s="4"/>
      <c r="AD217" s="5"/>
    </row>
    <row r="218" spans="1:262" s="136" customFormat="1" x14ac:dyDescent="0.3">
      <c r="A218" s="7"/>
      <c r="B218" s="125" t="s">
        <v>261</v>
      </c>
      <c r="C218" s="99"/>
      <c r="D218" s="99"/>
      <c r="E218" s="99"/>
      <c r="F218" s="99"/>
      <c r="G218" s="99"/>
      <c r="H218" s="99"/>
      <c r="I218" s="99"/>
      <c r="J218" s="99"/>
      <c r="K218" s="99"/>
      <c r="L218" s="99"/>
      <c r="M218" s="99"/>
      <c r="N218" s="99"/>
      <c r="O218" s="99"/>
      <c r="P218" s="99"/>
      <c r="Q218" s="99"/>
      <c r="R218" s="99"/>
      <c r="S218" s="99"/>
      <c r="T218" s="99"/>
      <c r="U218" s="99"/>
      <c r="V218" s="99"/>
      <c r="W218" s="99"/>
      <c r="X218" s="99"/>
      <c r="Y218" s="233"/>
      <c r="Z218" s="233"/>
      <c r="AA218" s="12"/>
      <c r="AB218" s="234" t="s">
        <v>80</v>
      </c>
      <c r="AC218" s="10"/>
      <c r="AD218" s="5"/>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row>
    <row r="219" spans="1:262" s="137" customFormat="1" x14ac:dyDescent="0.3">
      <c r="A219" s="47"/>
      <c r="B219" s="40" t="s">
        <v>373</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70"/>
      <c r="AA219" s="40"/>
      <c r="AB219" s="237">
        <v>197812</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306</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237">
        <v>204506</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260</v>
      </c>
      <c r="C221" s="40"/>
      <c r="D221" s="40"/>
      <c r="E221" s="40"/>
      <c r="F221" s="40"/>
      <c r="G221" s="40"/>
      <c r="H221" s="40"/>
      <c r="I221" s="40"/>
      <c r="J221" s="40"/>
      <c r="K221" s="40"/>
      <c r="L221" s="40"/>
      <c r="M221" s="40"/>
      <c r="N221" s="40"/>
      <c r="O221" s="40"/>
      <c r="P221" s="40"/>
      <c r="Q221" s="40"/>
      <c r="R221" s="40"/>
      <c r="S221" s="40"/>
      <c r="T221" s="40"/>
      <c r="U221" s="40"/>
      <c r="V221" s="40"/>
      <c r="W221" s="40"/>
      <c r="X221" s="40"/>
      <c r="Y221" s="98"/>
      <c r="Z221" s="98"/>
      <c r="AA221" s="40"/>
      <c r="AB221" s="98">
        <f>AB219-AB220</f>
        <v>-6694</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7" customFormat="1" x14ac:dyDescent="0.3">
      <c r="A222" s="47"/>
      <c r="B222" s="40" t="s">
        <v>303</v>
      </c>
      <c r="C222" s="40"/>
      <c r="D222" s="40"/>
      <c r="E222" s="40"/>
      <c r="F222" s="40"/>
      <c r="G222" s="40"/>
      <c r="H222" s="40"/>
      <c r="I222" s="40"/>
      <c r="J222" s="40"/>
      <c r="K222" s="40"/>
      <c r="L222" s="40"/>
      <c r="M222" s="40"/>
      <c r="N222" s="40"/>
      <c r="O222" s="40"/>
      <c r="P222" s="40"/>
      <c r="Q222" s="40"/>
      <c r="R222" s="40"/>
      <c r="S222" s="40"/>
      <c r="T222" s="40"/>
      <c r="U222" s="40"/>
      <c r="V222" s="40"/>
      <c r="W222" s="40"/>
      <c r="X222" s="40"/>
      <c r="Y222" s="97"/>
      <c r="Z222" s="97"/>
      <c r="AA222" s="40"/>
      <c r="AB222" s="313">
        <v>2.6345478498018399E-2</v>
      </c>
      <c r="AC222" s="43"/>
      <c r="AD222" s="22"/>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row>
    <row r="223" spans="1:262" s="139" customFormat="1" ht="16.2" thickBot="1" x14ac:dyDescent="0.35">
      <c r="A223" s="138"/>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126"/>
      <c r="AC223" s="10"/>
      <c r="AD223" s="5"/>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row>
    <row r="224" spans="1:262" x14ac:dyDescent="0.3">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134"/>
      <c r="AC224" s="4"/>
      <c r="AD224" s="5"/>
    </row>
    <row r="225" spans="1:30" x14ac:dyDescent="0.3">
      <c r="A225" s="7"/>
      <c r="B225" s="125" t="s">
        <v>39</v>
      </c>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140"/>
      <c r="AC225" s="10"/>
      <c r="AD225" s="5"/>
    </row>
    <row r="226" spans="1:30" s="23" customFormat="1" x14ac:dyDescent="0.3">
      <c r="A226" s="47"/>
      <c r="B226" s="40" t="s">
        <v>40</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f>(AB87+AB89+AB90+AB91+AB92)/-(AB93+AB94)</f>
        <v>2.2632363907531694</v>
      </c>
      <c r="AC226" s="43" t="s">
        <v>81</v>
      </c>
      <c r="AD226" s="22"/>
    </row>
    <row r="227" spans="1:30" s="23" customFormat="1" x14ac:dyDescent="0.3">
      <c r="A227" s="47"/>
      <c r="B227" s="40" t="s">
        <v>41</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3.29</v>
      </c>
      <c r="AC227" s="43" t="s">
        <v>81</v>
      </c>
      <c r="AD227" s="22"/>
    </row>
    <row r="228" spans="1:30" s="23" customFormat="1" x14ac:dyDescent="0.3">
      <c r="A228" s="47"/>
      <c r="B228" s="40" t="s">
        <v>144</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(AB87+AB89+AB90+AB91+AB92+AB93+AB94)/-(AB95)</f>
        <v>7.788505747126437</v>
      </c>
      <c r="AC228" s="43" t="s">
        <v>81</v>
      </c>
      <c r="AD228" s="22"/>
    </row>
    <row r="229" spans="1:30" s="23" customFormat="1" x14ac:dyDescent="0.3">
      <c r="A229" s="47"/>
      <c r="B229" s="40" t="s">
        <v>145</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18.82</v>
      </c>
      <c r="AC229" s="43" t="s">
        <v>81</v>
      </c>
      <c r="AD229" s="22"/>
    </row>
    <row r="230" spans="1:30" s="23" customFormat="1" x14ac:dyDescent="0.3">
      <c r="A230" s="47"/>
      <c r="B230" s="40" t="s">
        <v>146</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(AB87+AB89+AB90+AB91+AB92+AB93+AB94+AB95)/-(AB97)</f>
        <v>8.6345029239766085</v>
      </c>
      <c r="AC230" s="43" t="s">
        <v>81</v>
      </c>
      <c r="AD230" s="22"/>
    </row>
    <row r="231" spans="1:30" s="23" customFormat="1" x14ac:dyDescent="0.3">
      <c r="A231" s="47"/>
      <c r="B231" s="40" t="s">
        <v>147</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21.7</v>
      </c>
      <c r="AC231" s="43" t="s">
        <v>81</v>
      </c>
      <c r="AD231" s="22"/>
    </row>
    <row r="232" spans="1:30" s="23" customFormat="1" x14ac:dyDescent="0.3">
      <c r="A232" s="47"/>
      <c r="B232" s="40" t="s">
        <v>176</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1">
        <f>(AB87+AB89+AB90+AB91+AB92+AB93+AB94+AB95+AB97)/-(AB98)</f>
        <v>6.7293814432989691</v>
      </c>
      <c r="AC232" s="43" t="s">
        <v>81</v>
      </c>
      <c r="AD232" s="22"/>
    </row>
    <row r="233" spans="1:30" s="23" customFormat="1" x14ac:dyDescent="0.3">
      <c r="A233" s="47"/>
      <c r="B233" s="40" t="s">
        <v>177</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2">
        <v>17.55</v>
      </c>
      <c r="AC233" s="43" t="s">
        <v>81</v>
      </c>
      <c r="AD233" s="22"/>
    </row>
    <row r="234" spans="1:30" s="23" customFormat="1" x14ac:dyDescent="0.3">
      <c r="A234" s="47"/>
      <c r="B234" s="40" t="s">
        <v>163</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1">
        <f>(AB87+AB89+AB90+AB91+AB92+AB93+AB94+AB95+AB97+AB98)/-(AB107)</f>
        <v>5.0869565217391308</v>
      </c>
      <c r="AC234" s="43" t="s">
        <v>81</v>
      </c>
      <c r="AD234" s="22"/>
    </row>
    <row r="235" spans="1:30" s="23" customFormat="1" x14ac:dyDescent="0.3">
      <c r="A235" s="47"/>
      <c r="B235" s="40" t="s">
        <v>164</v>
      </c>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142">
        <v>13.45</v>
      </c>
      <c r="AC235" s="43" t="s">
        <v>81</v>
      </c>
      <c r="AD235" s="22"/>
    </row>
    <row r="236" spans="1:30" s="23" customFormat="1" x14ac:dyDescent="0.3">
      <c r="A236" s="18"/>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21"/>
      <c r="AD236" s="22"/>
    </row>
    <row r="237" spans="1:30" s="23" customFormat="1" x14ac:dyDescent="0.3">
      <c r="A237" s="18"/>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1"/>
      <c r="AD237" s="22"/>
    </row>
    <row r="238" spans="1:30" s="23" customFormat="1" ht="18.600000000000001" thickBot="1" x14ac:dyDescent="0.4">
      <c r="A238" s="83"/>
      <c r="B238" s="84" t="str">
        <f>B134</f>
        <v>PM26 INVESTOR REPORT QUARTER ENDING APRIL 2024</v>
      </c>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7"/>
      <c r="AD238" s="22"/>
    </row>
    <row r="239" spans="1:30" x14ac:dyDescent="0.3">
      <c r="A239" s="119"/>
      <c r="B239" s="120" t="s">
        <v>42</v>
      </c>
      <c r="C239" s="143"/>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v>45412</v>
      </c>
      <c r="AA239" s="121"/>
      <c r="AB239" s="121"/>
      <c r="AC239" s="123"/>
      <c r="AD239" s="5"/>
    </row>
    <row r="240" spans="1:30" x14ac:dyDescent="0.3">
      <c r="A240" s="145"/>
      <c r="B240" s="146"/>
      <c r="C240" s="147"/>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9"/>
      <c r="AB240" s="9"/>
      <c r="AC240" s="10"/>
      <c r="AD240" s="5"/>
    </row>
    <row r="241" spans="1:30" s="23" customFormat="1" x14ac:dyDescent="0.3">
      <c r="A241" s="47"/>
      <c r="B241" s="40" t="s">
        <v>43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3.773E-2</v>
      </c>
      <c r="AA241" s="40"/>
      <c r="AB241" s="40"/>
      <c r="AC241" s="43"/>
      <c r="AD241" s="22"/>
    </row>
    <row r="242" spans="1:30" s="23" customFormat="1" x14ac:dyDescent="0.3">
      <c r="A242" s="47"/>
      <c r="B242" s="40" t="s">
        <v>132</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v>2.0008281159907649E-2</v>
      </c>
      <c r="AA242" s="40"/>
      <c r="AB242" s="40"/>
      <c r="AC242" s="43"/>
      <c r="AD242" s="22"/>
    </row>
    <row r="243" spans="1:30" s="23" customFormat="1" x14ac:dyDescent="0.3">
      <c r="A243" s="47"/>
      <c r="B243" s="40" t="s">
        <v>44</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Z241-Z242</f>
        <v>1.7721718840092351E-2</v>
      </c>
      <c r="AA243" s="40"/>
      <c r="AB243" s="40"/>
      <c r="AC243" s="43"/>
      <c r="AD243" s="22"/>
    </row>
    <row r="244" spans="1:30" s="23" customFormat="1" x14ac:dyDescent="0.3">
      <c r="A244" s="47"/>
      <c r="B244" s="40" t="s">
        <v>45</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v>4.742547390692111E-2</v>
      </c>
      <c r="AA244" s="40"/>
      <c r="AB244" s="40"/>
      <c r="AC244" s="43"/>
      <c r="AD244" s="22"/>
    </row>
    <row r="245" spans="1:30" s="23" customFormat="1" x14ac:dyDescent="0.3">
      <c r="A245" s="47"/>
      <c r="B245" s="40" t="s">
        <v>133</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+AB35</f>
        <v>6.8614566552745559E-2</v>
      </c>
      <c r="AA245" s="40"/>
      <c r="AB245" s="40"/>
      <c r="AC245" s="43"/>
      <c r="AD245" s="22"/>
    </row>
    <row r="246" spans="1:30" s="23" customFormat="1" x14ac:dyDescent="0.3">
      <c r="A246" s="47"/>
      <c r="B246" s="40" t="s">
        <v>383</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314">
        <v>0</v>
      </c>
      <c r="AA246" s="40"/>
      <c r="AB246" s="40"/>
      <c r="AC246" s="43"/>
      <c r="AD246" s="22"/>
    </row>
    <row r="247" spans="1:30" s="23" customFormat="1" x14ac:dyDescent="0.3">
      <c r="A247" s="47"/>
      <c r="B247" s="40" t="s">
        <v>119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67">
        <f>(+AB87+AB89+AB92)/R67</f>
        <v>2.4552451888331168E-2</v>
      </c>
      <c r="AA247" s="40"/>
      <c r="AB247" s="40"/>
      <c r="AC247" s="43"/>
      <c r="AD247" s="22"/>
    </row>
    <row r="248" spans="1:30" s="23" customFormat="1" x14ac:dyDescent="0.3">
      <c r="A248" s="47"/>
      <c r="B248" s="40" t="s">
        <v>112</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0" s="23" customFormat="1" x14ac:dyDescent="0.3">
      <c r="A249" s="47"/>
      <c r="B249" s="40" t="s">
        <v>148</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0" s="23" customFormat="1" x14ac:dyDescent="0.3">
      <c r="A250" s="47"/>
      <c r="B250" s="40" t="s">
        <v>149</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0" s="23" customFormat="1" x14ac:dyDescent="0.3">
      <c r="A251" s="47"/>
      <c r="B251" s="40" t="s">
        <v>178</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0" s="23" customFormat="1" x14ac:dyDescent="0.3">
      <c r="A252" s="47"/>
      <c r="B252" s="40" t="s">
        <v>165</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0" s="23" customFormat="1" x14ac:dyDescent="0.3">
      <c r="A253" s="47"/>
      <c r="B253" s="40" t="s">
        <v>189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0" s="23" customFormat="1" x14ac:dyDescent="0.3">
      <c r="A254" s="47"/>
      <c r="B254" s="40" t="s">
        <v>190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150">
        <v>53097</v>
      </c>
      <c r="AA254" s="40"/>
      <c r="AB254" s="40"/>
      <c r="AC254" s="43"/>
      <c r="AD254" s="22"/>
    </row>
    <row r="255" spans="1:30" s="23" customFormat="1" x14ac:dyDescent="0.3">
      <c r="A255" s="47"/>
      <c r="B255" s="40" t="s">
        <v>47</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18.28</v>
      </c>
      <c r="AA255" s="40" t="s">
        <v>76</v>
      </c>
      <c r="AB255" s="40"/>
      <c r="AC255" s="43"/>
      <c r="AD255" s="22"/>
    </row>
    <row r="256" spans="1:30" s="23" customFormat="1" x14ac:dyDescent="0.3">
      <c r="A256" s="47"/>
      <c r="B256" s="40" t="s">
        <v>48</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71">
        <v>13.764379180140544</v>
      </c>
      <c r="AA256" s="40" t="s">
        <v>76</v>
      </c>
      <c r="AB256" s="40"/>
      <c r="AC256" s="43"/>
      <c r="AD256" s="22"/>
    </row>
    <row r="257" spans="1:31" s="23" customFormat="1" x14ac:dyDescent="0.3">
      <c r="A257" s="47"/>
      <c r="B257" s="40" t="s">
        <v>49</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f>(+T58+V58+Z58)/(R58+R64+R65)</f>
        <v>1.8533803556689429E-2</v>
      </c>
      <c r="AA257" s="40"/>
      <c r="AB257" s="40"/>
      <c r="AC257" s="43"/>
      <c r="AD257" s="22"/>
      <c r="AE257" s="271"/>
    </row>
    <row r="258" spans="1:31" s="23" customFormat="1" x14ac:dyDescent="0.3">
      <c r="A258" s="47"/>
      <c r="B258" s="40" t="s">
        <v>50</v>
      </c>
      <c r="C258" s="149"/>
      <c r="D258" s="73"/>
      <c r="E258" s="73"/>
      <c r="F258" s="73"/>
      <c r="G258" s="73"/>
      <c r="H258" s="73"/>
      <c r="I258" s="73"/>
      <c r="J258" s="73"/>
      <c r="K258" s="73"/>
      <c r="L258" s="73"/>
      <c r="M258" s="73"/>
      <c r="N258" s="73"/>
      <c r="O258" s="73"/>
      <c r="P258" s="73"/>
      <c r="Q258" s="73"/>
      <c r="R258" s="73"/>
      <c r="S258" s="73"/>
      <c r="T258" s="73"/>
      <c r="U258" s="73"/>
      <c r="V258" s="73"/>
      <c r="W258" s="73"/>
      <c r="X258" s="73"/>
      <c r="Y258" s="73"/>
      <c r="Z258" s="67">
        <v>0.17069999999999999</v>
      </c>
      <c r="AA258" s="40"/>
      <c r="AB258" s="40"/>
      <c r="AC258" s="43"/>
      <c r="AD258" s="22"/>
    </row>
    <row r="259" spans="1:31" x14ac:dyDescent="0.3">
      <c r="A259" s="145"/>
      <c r="B259" s="151"/>
      <c r="C259" s="151"/>
      <c r="D259" s="99"/>
      <c r="E259" s="99"/>
      <c r="F259" s="99"/>
      <c r="G259" s="99"/>
      <c r="H259" s="99"/>
      <c r="I259" s="99"/>
      <c r="J259" s="99"/>
      <c r="K259" s="99"/>
      <c r="L259" s="99"/>
      <c r="M259" s="99"/>
      <c r="N259" s="99"/>
      <c r="O259" s="99"/>
      <c r="P259" s="99"/>
      <c r="Q259" s="99"/>
      <c r="R259" s="99"/>
      <c r="S259" s="99"/>
      <c r="T259" s="99"/>
      <c r="U259" s="99"/>
      <c r="V259" s="99"/>
      <c r="W259" s="99"/>
      <c r="X259" s="99"/>
      <c r="Y259" s="99"/>
      <c r="Z259" s="126"/>
      <c r="AA259" s="99"/>
      <c r="AB259" s="152"/>
      <c r="AC259" s="10"/>
      <c r="AD259" s="5"/>
    </row>
    <row r="260" spans="1:31" x14ac:dyDescent="0.3">
      <c r="A260" s="153"/>
      <c r="B260" s="102" t="s">
        <v>51</v>
      </c>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t="s">
        <v>69</v>
      </c>
      <c r="Z260" s="154" t="s">
        <v>74</v>
      </c>
      <c r="AA260" s="34"/>
      <c r="AB260" s="34"/>
      <c r="AC260" s="36"/>
      <c r="AD260" s="5"/>
    </row>
    <row r="261" spans="1:31" s="23" customFormat="1" x14ac:dyDescent="0.3">
      <c r="A261" s="155"/>
      <c r="B261" s="37" t="s">
        <v>52</v>
      </c>
      <c r="C261" s="10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v>2</v>
      </c>
      <c r="Z261" s="157">
        <v>648</v>
      </c>
      <c r="AA261" s="37"/>
      <c r="AB261" s="158"/>
      <c r="AC261" s="159"/>
      <c r="AD261" s="22"/>
    </row>
    <row r="262" spans="1:31" s="23" customFormat="1" x14ac:dyDescent="0.3">
      <c r="A262" s="160"/>
      <c r="B262" s="40" t="s">
        <v>97</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+X314</f>
        <v>5</v>
      </c>
      <c r="Z262" s="162">
        <f>+Z314</f>
        <v>1251</v>
      </c>
      <c r="AA262" s="40"/>
      <c r="AB262" s="163"/>
      <c r="AC262" s="164"/>
      <c r="AD262" s="22"/>
    </row>
    <row r="263" spans="1:31" s="23" customFormat="1" x14ac:dyDescent="0.3">
      <c r="A263" s="160"/>
      <c r="B263" s="40" t="s">
        <v>53</v>
      </c>
      <c r="C263" s="97"/>
      <c r="D263" s="48"/>
      <c r="E263" s="48"/>
      <c r="F263" s="48"/>
      <c r="G263" s="48"/>
      <c r="H263" s="48"/>
      <c r="I263" s="48"/>
      <c r="J263" s="48"/>
      <c r="K263" s="48"/>
      <c r="L263" s="48"/>
      <c r="M263" s="48"/>
      <c r="N263" s="48"/>
      <c r="O263" s="48"/>
      <c r="P263" s="48"/>
      <c r="Q263" s="48"/>
      <c r="R263" s="48"/>
      <c r="S263" s="48"/>
      <c r="T263" s="48"/>
      <c r="U263" s="48"/>
      <c r="V263" s="48"/>
      <c r="W263" s="48"/>
      <c r="X263" s="48"/>
      <c r="Y263" s="161">
        <f>+X336</f>
        <v>1</v>
      </c>
      <c r="Z263" s="162">
        <f>+Z336</f>
        <v>195</v>
      </c>
      <c r="AA263" s="40"/>
      <c r="AB263" s="163"/>
      <c r="AC263" s="164"/>
      <c r="AD263" s="22"/>
    </row>
    <row r="264" spans="1:31" x14ac:dyDescent="0.3">
      <c r="A264" s="165"/>
      <c r="B264" s="166" t="s">
        <v>166</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Z58</f>
        <v>0</v>
      </c>
      <c r="AA264" s="59"/>
      <c r="AB264" s="168"/>
      <c r="AC264" s="169"/>
      <c r="AD264" s="5"/>
    </row>
    <row r="265" spans="1:31" x14ac:dyDescent="0.3">
      <c r="A265" s="165"/>
      <c r="B265" s="166" t="s">
        <v>255</v>
      </c>
      <c r="C265" s="167"/>
      <c r="D265" s="59"/>
      <c r="E265" s="59"/>
      <c r="F265" s="59"/>
      <c r="G265" s="59"/>
      <c r="H265" s="59"/>
      <c r="I265" s="59"/>
      <c r="J265" s="59"/>
      <c r="K265" s="59"/>
      <c r="L265" s="59"/>
      <c r="M265" s="59"/>
      <c r="N265" s="59"/>
      <c r="O265" s="59"/>
      <c r="P265" s="59"/>
      <c r="Q265" s="59"/>
      <c r="R265" s="59"/>
      <c r="S265" s="59"/>
      <c r="T265" s="59"/>
      <c r="U265" s="59"/>
      <c r="V265" s="59"/>
      <c r="W265" s="59"/>
      <c r="X265" s="59"/>
      <c r="Y265" s="112"/>
      <c r="Z265" s="162">
        <f>-T64</f>
        <v>0</v>
      </c>
      <c r="AA265" s="59"/>
      <c r="AB265" s="168"/>
      <c r="AC265" s="169"/>
      <c r="AD265" s="5"/>
    </row>
    <row r="266" spans="1:31" x14ac:dyDescent="0.3">
      <c r="A266" s="170"/>
      <c r="B266" s="166" t="s">
        <v>54</v>
      </c>
      <c r="C266" s="171"/>
      <c r="D266" s="59"/>
      <c r="E266" s="59"/>
      <c r="F266" s="59"/>
      <c r="G266" s="59"/>
      <c r="H266" s="59"/>
      <c r="I266" s="59"/>
      <c r="J266" s="59"/>
      <c r="K266" s="59"/>
      <c r="L266" s="59"/>
      <c r="M266" s="59"/>
      <c r="N266" s="59"/>
      <c r="O266" s="59"/>
      <c r="P266" s="59"/>
      <c r="Q266" s="59"/>
      <c r="R266" s="59"/>
      <c r="S266" s="59"/>
      <c r="T266" s="59"/>
      <c r="U266" s="59"/>
      <c r="V266" s="59"/>
      <c r="W266" s="59"/>
      <c r="X266" s="59"/>
      <c r="Y266" s="112"/>
      <c r="Z266" s="172"/>
      <c r="AA266" s="59"/>
      <c r="AB266" s="168"/>
      <c r="AC266" s="173"/>
      <c r="AD266" s="5"/>
    </row>
    <row r="267" spans="1:31" s="23" customFormat="1" x14ac:dyDescent="0.3">
      <c r="A267" s="174"/>
      <c r="B267" s="40" t="s">
        <v>55</v>
      </c>
      <c r="C267" s="40"/>
      <c r="D267" s="40"/>
      <c r="E267" s="40"/>
      <c r="F267" s="40"/>
      <c r="G267" s="40"/>
      <c r="H267" s="40"/>
      <c r="I267" s="40"/>
      <c r="J267" s="40"/>
      <c r="K267" s="40"/>
      <c r="L267" s="40"/>
      <c r="M267" s="40"/>
      <c r="N267" s="40"/>
      <c r="O267" s="40"/>
      <c r="P267" s="40"/>
      <c r="Q267" s="40"/>
      <c r="R267" s="40"/>
      <c r="S267" s="40"/>
      <c r="T267" s="40"/>
      <c r="U267" s="40"/>
      <c r="V267" s="40"/>
      <c r="W267" s="40"/>
      <c r="X267" s="40"/>
      <c r="Y267" s="48"/>
      <c r="Z267" s="162">
        <f>AB169</f>
        <v>0</v>
      </c>
      <c r="AA267" s="40"/>
      <c r="AB267" s="163"/>
      <c r="AC267" s="175"/>
      <c r="AD267" s="22"/>
    </row>
    <row r="268" spans="1:31" s="23" customFormat="1" x14ac:dyDescent="0.3">
      <c r="A268" s="160"/>
      <c r="B268" s="40" t="s">
        <v>56</v>
      </c>
      <c r="C268" s="97"/>
      <c r="D268" s="40"/>
      <c r="E268" s="40"/>
      <c r="F268" s="40"/>
      <c r="G268" s="40"/>
      <c r="H268" s="40"/>
      <c r="I268" s="40"/>
      <c r="J268" s="40"/>
      <c r="K268" s="40"/>
      <c r="L268" s="40"/>
      <c r="M268" s="40"/>
      <c r="N268" s="40"/>
      <c r="O268" s="40"/>
      <c r="P268" s="40"/>
      <c r="Q268" s="40"/>
      <c r="R268" s="40"/>
      <c r="S268" s="40"/>
      <c r="T268" s="40"/>
      <c r="U268" s="40"/>
      <c r="V268" s="40"/>
      <c r="W268" s="40"/>
      <c r="X268" s="40"/>
      <c r="Y268" s="48"/>
      <c r="Z268" s="162">
        <f>'January 24'!Z268+Z267</f>
        <v>35</v>
      </c>
      <c r="AA268" s="40"/>
      <c r="AB268" s="163"/>
      <c r="AC268" s="175"/>
      <c r="AD268" s="22"/>
    </row>
    <row r="269" spans="1:31" x14ac:dyDescent="0.3">
      <c r="A269" s="170"/>
      <c r="B269" s="166" t="s">
        <v>125</v>
      </c>
      <c r="C269" s="171"/>
      <c r="D269" s="59"/>
      <c r="E269" s="59"/>
      <c r="F269" s="59"/>
      <c r="G269" s="59"/>
      <c r="H269" s="59"/>
      <c r="I269" s="59"/>
      <c r="J269" s="59"/>
      <c r="K269" s="59"/>
      <c r="L269" s="59"/>
      <c r="M269" s="59"/>
      <c r="N269" s="59"/>
      <c r="O269" s="59"/>
      <c r="P269" s="59"/>
      <c r="Q269" s="59"/>
      <c r="R269" s="59"/>
      <c r="S269" s="59"/>
      <c r="T269" s="59"/>
      <c r="U269" s="59"/>
      <c r="V269" s="59"/>
      <c r="W269" s="59"/>
      <c r="X269" s="59"/>
      <c r="Y269" s="176"/>
      <c r="Z269" s="172"/>
      <c r="AA269" s="59"/>
      <c r="AB269" s="168"/>
      <c r="AC269" s="173"/>
      <c r="AD269" s="5"/>
    </row>
    <row r="270" spans="1:31" s="23" customFormat="1" x14ac:dyDescent="0.3">
      <c r="A270" s="174"/>
      <c r="B270" s="40" t="s">
        <v>134</v>
      </c>
      <c r="C270" s="4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1" s="23" customFormat="1" x14ac:dyDescent="0.3">
      <c r="A271" s="160"/>
      <c r="B271" s="40" t="s">
        <v>57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1" s="23" customFormat="1" x14ac:dyDescent="0.3">
      <c r="A272" s="160"/>
      <c r="B272" s="40" t="s">
        <v>58</v>
      </c>
      <c r="C272" s="70"/>
      <c r="D272" s="40"/>
      <c r="E272" s="40"/>
      <c r="F272" s="40"/>
      <c r="G272" s="40"/>
      <c r="H272" s="40"/>
      <c r="I272" s="40"/>
      <c r="J272" s="40"/>
      <c r="K272" s="40"/>
      <c r="L272" s="40"/>
      <c r="M272" s="40"/>
      <c r="N272" s="40"/>
      <c r="O272" s="40"/>
      <c r="P272" s="40"/>
      <c r="Q272" s="40"/>
      <c r="R272" s="40"/>
      <c r="S272" s="40"/>
      <c r="T272" s="40"/>
      <c r="U272" s="40"/>
      <c r="V272" s="40"/>
      <c r="W272" s="40"/>
      <c r="X272" s="40"/>
      <c r="Y272" s="40"/>
      <c r="Z272" s="177">
        <v>0</v>
      </c>
      <c r="AA272" s="40"/>
      <c r="AB272" s="163"/>
      <c r="AC272" s="175"/>
      <c r="AD272" s="22"/>
    </row>
    <row r="273" spans="1:31" x14ac:dyDescent="0.3">
      <c r="A273" s="165"/>
      <c r="B273" s="166" t="s">
        <v>116</v>
      </c>
      <c r="C273" s="178"/>
      <c r="D273" s="59"/>
      <c r="E273" s="59"/>
      <c r="F273" s="59"/>
      <c r="G273" s="59"/>
      <c r="H273" s="59"/>
      <c r="I273" s="59"/>
      <c r="J273" s="59"/>
      <c r="K273" s="59"/>
      <c r="L273" s="59"/>
      <c r="M273" s="59"/>
      <c r="N273" s="59"/>
      <c r="O273" s="59"/>
      <c r="P273" s="59"/>
      <c r="Q273" s="59"/>
      <c r="R273" s="59"/>
      <c r="S273" s="59"/>
      <c r="T273" s="59"/>
      <c r="U273" s="59"/>
      <c r="V273" s="59"/>
      <c r="W273" s="59"/>
      <c r="X273" s="59"/>
      <c r="Y273" s="112"/>
      <c r="Z273" s="179"/>
      <c r="AA273" s="59"/>
      <c r="AB273" s="168"/>
      <c r="AC273" s="173"/>
      <c r="AD273" s="5"/>
    </row>
    <row r="274" spans="1:31" s="23" customFormat="1" x14ac:dyDescent="0.3">
      <c r="A274" s="160"/>
      <c r="B274" s="40" t="s">
        <v>134</v>
      </c>
      <c r="C274" s="70"/>
      <c r="D274" s="40"/>
      <c r="E274" s="40"/>
      <c r="F274" s="40"/>
      <c r="G274" s="40"/>
      <c r="H274" s="40"/>
      <c r="I274" s="40"/>
      <c r="J274" s="40"/>
      <c r="K274" s="40"/>
      <c r="L274" s="40"/>
      <c r="M274" s="40"/>
      <c r="N274" s="40"/>
      <c r="O274" s="40"/>
      <c r="P274" s="40"/>
      <c r="Q274" s="40"/>
      <c r="R274" s="40"/>
      <c r="S274" s="40"/>
      <c r="T274" s="40"/>
      <c r="U274" s="40"/>
      <c r="V274" s="40"/>
      <c r="W274" s="40"/>
      <c r="X274" s="40"/>
      <c r="Y274" s="48">
        <v>0</v>
      </c>
      <c r="Z274" s="162">
        <v>0</v>
      </c>
      <c r="AA274" s="40"/>
      <c r="AB274" s="163"/>
      <c r="AC274" s="175"/>
      <c r="AD274" s="22"/>
    </row>
    <row r="275" spans="1:31" s="23" customFormat="1" x14ac:dyDescent="0.3">
      <c r="A275" s="160"/>
      <c r="B275" s="40" t="s">
        <v>117</v>
      </c>
      <c r="C275" s="70"/>
      <c r="D275" s="40"/>
      <c r="E275" s="40"/>
      <c r="F275" s="40"/>
      <c r="G275" s="40"/>
      <c r="H275" s="40"/>
      <c r="I275" s="40"/>
      <c r="J275" s="40"/>
      <c r="K275" s="40"/>
      <c r="L275" s="40"/>
      <c r="M275" s="40"/>
      <c r="N275" s="40"/>
      <c r="O275" s="40"/>
      <c r="P275" s="40"/>
      <c r="Q275" s="40"/>
      <c r="R275" s="40"/>
      <c r="S275" s="40"/>
      <c r="T275" s="40"/>
      <c r="U275" s="40"/>
      <c r="V275" s="40"/>
      <c r="W275" s="40"/>
      <c r="X275" s="40"/>
      <c r="Y275" s="40"/>
      <c r="Z275" s="177">
        <v>0</v>
      </c>
      <c r="AA275" s="40"/>
      <c r="AB275" s="163"/>
      <c r="AC275" s="175"/>
      <c r="AD275" s="22"/>
    </row>
    <row r="276" spans="1:31"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112"/>
      <c r="Z276" s="179"/>
      <c r="AA276" s="59"/>
      <c r="AB276" s="168"/>
      <c r="AC276" s="173"/>
      <c r="AD276" s="5"/>
    </row>
    <row r="277" spans="1:31" x14ac:dyDescent="0.3">
      <c r="A277" s="165"/>
      <c r="B277" s="171"/>
      <c r="C277" s="178"/>
      <c r="D277" s="59"/>
      <c r="E277" s="59"/>
      <c r="F277" s="59"/>
      <c r="G277" s="59"/>
      <c r="H277" s="59"/>
      <c r="I277" s="59"/>
      <c r="J277" s="59"/>
      <c r="K277" s="59"/>
      <c r="L277" s="59"/>
      <c r="M277" s="59"/>
      <c r="N277" s="59"/>
      <c r="O277" s="59"/>
      <c r="P277" s="59"/>
      <c r="Q277" s="59"/>
      <c r="R277" s="59"/>
      <c r="S277" s="59"/>
      <c r="T277" s="59"/>
      <c r="U277" s="59"/>
      <c r="V277" s="59"/>
      <c r="W277" s="59"/>
      <c r="X277" s="59"/>
      <c r="Y277" s="59"/>
      <c r="Z277" s="180"/>
      <c r="AA277" s="59"/>
      <c r="AB277" s="168"/>
      <c r="AC277" s="173"/>
      <c r="AD277" s="5"/>
    </row>
    <row r="278" spans="1:31" ht="18" x14ac:dyDescent="0.35">
      <c r="A278" s="165"/>
      <c r="B278" s="181" t="s">
        <v>109</v>
      </c>
      <c r="C278" s="178"/>
      <c r="D278" s="59"/>
      <c r="E278" s="59"/>
      <c r="F278" s="59"/>
      <c r="G278" s="59"/>
      <c r="H278" s="59"/>
      <c r="I278" s="59"/>
      <c r="J278" s="59"/>
      <c r="K278" s="59"/>
      <c r="L278" s="182"/>
      <c r="M278" s="182"/>
      <c r="N278" s="182"/>
      <c r="O278" s="182"/>
      <c r="P278" s="261" t="s">
        <v>167</v>
      </c>
      <c r="Q278" s="182"/>
      <c r="R278" s="182"/>
      <c r="S278" s="182"/>
      <c r="T278" s="182"/>
      <c r="U278" s="182"/>
      <c r="V278" s="182"/>
      <c r="W278" s="59"/>
      <c r="X278" s="183"/>
      <c r="Y278" s="182"/>
      <c r="Z278" s="180"/>
      <c r="AA278" s="59"/>
      <c r="AB278" s="168"/>
      <c r="AC278" s="173"/>
      <c r="AD278" s="5"/>
    </row>
    <row r="279" spans="1:31" ht="18" x14ac:dyDescent="0.35">
      <c r="A279" s="184"/>
      <c r="B279" s="185"/>
      <c r="C279" s="186"/>
      <c r="D279" s="99"/>
      <c r="E279" s="99"/>
      <c r="F279" s="99"/>
      <c r="G279" s="99"/>
      <c r="H279" s="99"/>
      <c r="I279" s="99"/>
      <c r="J279" s="99"/>
      <c r="K279" s="99"/>
      <c r="L279" s="187"/>
      <c r="M279" s="187"/>
      <c r="N279" s="187"/>
      <c r="O279" s="187"/>
      <c r="P279" s="187"/>
      <c r="Q279" s="187"/>
      <c r="R279" s="187"/>
      <c r="S279" s="187"/>
      <c r="T279" s="187"/>
      <c r="U279" s="187"/>
      <c r="V279" s="187"/>
      <c r="W279" s="99"/>
      <c r="X279" s="99"/>
      <c r="Y279" s="99"/>
      <c r="Z279" s="188"/>
      <c r="AA279" s="99"/>
      <c r="AB279" s="152"/>
      <c r="AC279" s="189"/>
      <c r="AD279" s="5"/>
    </row>
    <row r="280" spans="1:31" x14ac:dyDescent="0.3">
      <c r="A280" s="33"/>
      <c r="B280" s="102" t="s">
        <v>126</v>
      </c>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54" t="s">
        <v>69</v>
      </c>
      <c r="Y280" s="103" t="s">
        <v>70</v>
      </c>
      <c r="Z280" s="154" t="s">
        <v>75</v>
      </c>
      <c r="AA280" s="103" t="s">
        <v>70</v>
      </c>
      <c r="AB280" s="34"/>
      <c r="AC280" s="190"/>
      <c r="AD280" s="5"/>
    </row>
    <row r="281" spans="1:31" s="23" customFormat="1" x14ac:dyDescent="0.3">
      <c r="A281" s="18"/>
      <c r="B281" s="106" t="s">
        <v>59</v>
      </c>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06">
        <f>+X293+X305+X327</f>
        <v>1401</v>
      </c>
      <c r="Y281" s="192">
        <f>X281/$X$290</f>
        <v>0.99010600706713781</v>
      </c>
      <c r="Z281" s="107">
        <f t="shared" ref="Z281:Z288" si="1">+Z293+Z305+Z327</f>
        <v>245538</v>
      </c>
      <c r="AA281" s="192">
        <f t="shared" ref="AA281:AA288" si="2">Z281/$Z$290</f>
        <v>0.98800494127209593</v>
      </c>
      <c r="AB281" s="158"/>
      <c r="AC281" s="193"/>
      <c r="AD281" s="22"/>
    </row>
    <row r="282" spans="1:31" s="23" customFormat="1" x14ac:dyDescent="0.3">
      <c r="A282" s="47"/>
      <c r="B282" s="97" t="s">
        <v>60</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5">
        <f t="shared" ref="X282:X288" si="3">+X294+X306+X328</f>
        <v>3</v>
      </c>
      <c r="Y282" s="196">
        <f t="shared" ref="Y282:Y288" si="4">X282/$X$290</f>
        <v>2.1201413427561835E-3</v>
      </c>
      <c r="Z282" s="197">
        <f t="shared" si="1"/>
        <v>713</v>
      </c>
      <c r="AA282" s="198">
        <f t="shared" si="2"/>
        <v>2.8689959319005789E-3</v>
      </c>
      <c r="AB282" s="163"/>
      <c r="AC282" s="175"/>
      <c r="AD282" s="22"/>
    </row>
    <row r="283" spans="1:31" s="23" customFormat="1" x14ac:dyDescent="0.3">
      <c r="A283" s="47"/>
      <c r="B283" s="97" t="s">
        <v>61</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3"/>
        <v>1</v>
      </c>
      <c r="Y283" s="200">
        <f t="shared" si="4"/>
        <v>7.0671378091872788E-4</v>
      </c>
      <c r="Z283" s="131">
        <f t="shared" si="1"/>
        <v>82</v>
      </c>
      <c r="AA283" s="198">
        <f t="shared" si="2"/>
        <v>3.2995465135462478E-4</v>
      </c>
      <c r="AB283" s="163"/>
      <c r="AC283" s="175"/>
      <c r="AD283" s="22"/>
      <c r="AE283" s="312"/>
    </row>
    <row r="284" spans="1:31" s="23" customFormat="1" x14ac:dyDescent="0.3">
      <c r="A284" s="47"/>
      <c r="B284" s="97" t="s">
        <v>100</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+X296+X308+X330</f>
        <v>1</v>
      </c>
      <c r="Y284" s="200">
        <f t="shared" si="4"/>
        <v>7.0671378091872788E-4</v>
      </c>
      <c r="Z284" s="131">
        <f t="shared" si="1"/>
        <v>80</v>
      </c>
      <c r="AA284" s="198">
        <f t="shared" si="2"/>
        <v>3.2190697693134127E-4</v>
      </c>
      <c r="AB284" s="163"/>
      <c r="AC284" s="175"/>
      <c r="AD284" s="22"/>
    </row>
    <row r="285" spans="1:31" s="23" customFormat="1" x14ac:dyDescent="0.3">
      <c r="A285" s="47"/>
      <c r="B285" s="97" t="s">
        <v>101</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3"/>
        <v>1</v>
      </c>
      <c r="Y285" s="200">
        <f t="shared" si="4"/>
        <v>7.0671378091872788E-4</v>
      </c>
      <c r="Z285" s="131">
        <f t="shared" si="1"/>
        <v>327</v>
      </c>
      <c r="AA285" s="198">
        <f t="shared" si="2"/>
        <v>1.3157947682068574E-3</v>
      </c>
      <c r="AB285" s="163"/>
      <c r="AC285" s="175"/>
      <c r="AD285" s="22"/>
    </row>
    <row r="286" spans="1:31" s="23" customFormat="1" x14ac:dyDescent="0.3">
      <c r="A286" s="47"/>
      <c r="B286" s="97" t="s">
        <v>102</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199">
        <f t="shared" si="3"/>
        <v>1</v>
      </c>
      <c r="Y286" s="200">
        <f t="shared" si="4"/>
        <v>7.0671378091872788E-4</v>
      </c>
      <c r="Z286" s="131">
        <f t="shared" si="1"/>
        <v>222</v>
      </c>
      <c r="AA286" s="198">
        <f t="shared" si="2"/>
        <v>8.9329186098447203E-4</v>
      </c>
      <c r="AB286" s="163"/>
      <c r="AC286" s="175"/>
      <c r="AD286" s="22"/>
    </row>
    <row r="287" spans="1:31" s="23" customFormat="1" x14ac:dyDescent="0.3">
      <c r="A287" s="47"/>
      <c r="B287" s="97" t="s">
        <v>103</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201">
        <f t="shared" si="3"/>
        <v>6</v>
      </c>
      <c r="Y287" s="202">
        <f t="shared" si="4"/>
        <v>4.2402826855123671E-3</v>
      </c>
      <c r="Z287" s="203">
        <f t="shared" si="1"/>
        <v>1131</v>
      </c>
      <c r="AA287" s="198">
        <f t="shared" si="2"/>
        <v>4.550959886366837E-3</v>
      </c>
      <c r="AB287" s="163"/>
      <c r="AC287" s="175"/>
      <c r="AD287" s="22"/>
    </row>
    <row r="288" spans="1:31" s="23" customFormat="1" x14ac:dyDescent="0.3">
      <c r="A288" s="47"/>
      <c r="B288" s="97" t="s">
        <v>104</v>
      </c>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106">
        <f t="shared" si="3"/>
        <v>1</v>
      </c>
      <c r="Y288" s="198">
        <f t="shared" si="4"/>
        <v>7.0671378091872788E-4</v>
      </c>
      <c r="Z288" s="107">
        <f t="shared" si="1"/>
        <v>426</v>
      </c>
      <c r="AA288" s="198">
        <f t="shared" si="2"/>
        <v>1.7141546521593923E-3</v>
      </c>
      <c r="AB288" s="163"/>
      <c r="AC288" s="306"/>
      <c r="AD288" s="22"/>
    </row>
    <row r="289" spans="1:31" s="23" customFormat="1" x14ac:dyDescent="0.3">
      <c r="A289" s="47"/>
      <c r="B289" s="97"/>
      <c r="C289" s="194"/>
      <c r="D289" s="194"/>
      <c r="E289" s="194"/>
      <c r="F289" s="194"/>
      <c r="G289" s="194"/>
      <c r="H289" s="194"/>
      <c r="I289" s="194"/>
      <c r="J289" s="194"/>
      <c r="K289" s="194"/>
      <c r="L289" s="194"/>
      <c r="M289" s="194"/>
      <c r="N289" s="194"/>
      <c r="O289" s="194"/>
      <c r="P289" s="194"/>
      <c r="Q289" s="194"/>
      <c r="R289" s="194"/>
      <c r="S289" s="194"/>
      <c r="T289" s="194"/>
      <c r="U289" s="194"/>
      <c r="V289" s="194"/>
      <c r="W289" s="194"/>
      <c r="X289" s="97"/>
      <c r="Y289" s="198"/>
      <c r="Z289" s="98"/>
      <c r="AA289" s="198"/>
      <c r="AB289" s="163"/>
      <c r="AC289" s="175"/>
      <c r="AD289" s="22"/>
    </row>
    <row r="290" spans="1:31" s="23" customFormat="1" x14ac:dyDescent="0.3">
      <c r="A290" s="47"/>
      <c r="B290" s="40" t="s">
        <v>80</v>
      </c>
      <c r="C290" s="40"/>
      <c r="D290" s="204"/>
      <c r="E290" s="204"/>
      <c r="F290" s="204"/>
      <c r="G290" s="204"/>
      <c r="H290" s="204"/>
      <c r="I290" s="204"/>
      <c r="J290" s="204"/>
      <c r="K290" s="204"/>
      <c r="L290" s="204"/>
      <c r="M290" s="204"/>
      <c r="N290" s="204"/>
      <c r="O290" s="204"/>
      <c r="P290" s="204"/>
      <c r="Q290" s="204"/>
      <c r="R290" s="204"/>
      <c r="S290" s="204"/>
      <c r="T290" s="204"/>
      <c r="U290" s="204"/>
      <c r="V290" s="204"/>
      <c r="W290" s="204"/>
      <c r="X290" s="97">
        <f>SUM(X281:X289)</f>
        <v>1415</v>
      </c>
      <c r="Y290" s="198">
        <f>SUM(Y281:Y289)</f>
        <v>0.99999999999999978</v>
      </c>
      <c r="Z290" s="98">
        <f>SUM(Z281:Z289)</f>
        <v>248519</v>
      </c>
      <c r="AA290" s="198">
        <f>SUM(AA281:AA289)</f>
        <v>1.0000000000000002</v>
      </c>
      <c r="AB290" s="40"/>
      <c r="AC290" s="43"/>
      <c r="AD290" s="22"/>
    </row>
    <row r="291" spans="1:31" x14ac:dyDescent="0.3">
      <c r="A291" s="7"/>
      <c r="B291" s="151"/>
      <c r="C291" s="186"/>
      <c r="D291" s="99"/>
      <c r="E291" s="99"/>
      <c r="F291" s="99"/>
      <c r="G291" s="99"/>
      <c r="H291" s="99"/>
      <c r="I291" s="99"/>
      <c r="J291" s="99"/>
      <c r="K291" s="99"/>
      <c r="L291" s="99"/>
      <c r="M291" s="99"/>
      <c r="N291" s="99"/>
      <c r="O291" s="99"/>
      <c r="P291" s="99"/>
      <c r="Q291" s="99"/>
      <c r="R291" s="99"/>
      <c r="S291" s="99"/>
      <c r="T291" s="99"/>
      <c r="U291" s="99"/>
      <c r="V291" s="99"/>
      <c r="W291" s="99"/>
      <c r="X291" s="99"/>
      <c r="Y291" s="99"/>
      <c r="Z291" s="188"/>
      <c r="AA291" s="99"/>
      <c r="AB291" s="99"/>
      <c r="AC291" s="10"/>
      <c r="AD291" s="5"/>
    </row>
    <row r="292" spans="1:31" x14ac:dyDescent="0.3">
      <c r="A292" s="33"/>
      <c r="B292" s="102" t="s">
        <v>105</v>
      </c>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54" t="s">
        <v>69</v>
      </c>
      <c r="Y292" s="103" t="s">
        <v>70</v>
      </c>
      <c r="Z292" s="154" t="s">
        <v>75</v>
      </c>
      <c r="AA292" s="103" t="s">
        <v>70</v>
      </c>
      <c r="AB292" s="34"/>
      <c r="AC292" s="190"/>
      <c r="AD292" s="5"/>
    </row>
    <row r="293" spans="1:31" s="23" customFormat="1" x14ac:dyDescent="0.3">
      <c r="A293" s="18"/>
      <c r="B293" s="106" t="s">
        <v>59</v>
      </c>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06">
        <v>1401</v>
      </c>
      <c r="Y293" s="192">
        <f>X293/$X$302</f>
        <v>0.99432221433640877</v>
      </c>
      <c r="Z293" s="107">
        <v>245538</v>
      </c>
      <c r="AA293" s="192">
        <f>Z293/$Z$302</f>
        <v>0.9937872612547709</v>
      </c>
      <c r="AB293" s="158"/>
      <c r="AC293" s="193"/>
      <c r="AD293" s="22"/>
    </row>
    <row r="294" spans="1:31" s="23" customFormat="1" x14ac:dyDescent="0.3">
      <c r="A294" s="47"/>
      <c r="B294" s="97" t="s">
        <v>60</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3</v>
      </c>
      <c r="Y294" s="198">
        <f t="shared" ref="Y294:Y300" si="5">X294/$X$302</f>
        <v>2.1291696238466998E-3</v>
      </c>
      <c r="Z294" s="98">
        <v>713</v>
      </c>
      <c r="AA294" s="198">
        <f t="shared" ref="AA294:AA300" si="6">Z294/$Z$302</f>
        <v>2.8857867917579014E-3</v>
      </c>
      <c r="AB294" s="163"/>
      <c r="AC294" s="175"/>
      <c r="AD294" s="22"/>
      <c r="AE294" s="115"/>
    </row>
    <row r="295" spans="1:31" s="23" customFormat="1" x14ac:dyDescent="0.3">
      <c r="A295" s="47"/>
      <c r="B295" s="97" t="s">
        <v>61</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1</v>
      </c>
      <c r="Y295" s="198">
        <f t="shared" si="5"/>
        <v>7.0972320794889996E-4</v>
      </c>
      <c r="Z295" s="98">
        <v>82</v>
      </c>
      <c r="AA295" s="198">
        <f t="shared" si="6"/>
        <v>3.318857179861822E-4</v>
      </c>
      <c r="AB295" s="163"/>
      <c r="AC295" s="175"/>
      <c r="AD295" s="22"/>
    </row>
    <row r="296" spans="1:31" s="23" customFormat="1" x14ac:dyDescent="0.3">
      <c r="A296" s="47"/>
      <c r="B296" s="97" t="s">
        <v>100</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1</v>
      </c>
      <c r="Y296" s="198">
        <f t="shared" si="5"/>
        <v>7.0972320794889996E-4</v>
      </c>
      <c r="Z296" s="98">
        <v>80</v>
      </c>
      <c r="AA296" s="198">
        <f t="shared" si="6"/>
        <v>3.2379094437676317E-4</v>
      </c>
      <c r="AB296" s="163"/>
      <c r="AC296" s="175"/>
      <c r="AD296" s="22"/>
      <c r="AE296" s="115"/>
    </row>
    <row r="297" spans="1:31" s="23" customFormat="1" x14ac:dyDescent="0.3">
      <c r="A297" s="47"/>
      <c r="B297" s="97" t="s">
        <v>101</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1</v>
      </c>
      <c r="Y297" s="198">
        <f t="shared" si="5"/>
        <v>7.0972320794889996E-4</v>
      </c>
      <c r="Z297" s="98">
        <v>327</v>
      </c>
      <c r="AA297" s="198">
        <f t="shared" si="6"/>
        <v>1.3234954851400194E-3</v>
      </c>
      <c r="AB297" s="163"/>
      <c r="AC297" s="175"/>
      <c r="AD297" s="22"/>
    </row>
    <row r="298" spans="1:31" s="23" customFormat="1" x14ac:dyDescent="0.3">
      <c r="A298" s="47"/>
      <c r="B298" s="97" t="s">
        <v>102</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0</v>
      </c>
      <c r="Y298" s="198">
        <f t="shared" si="5"/>
        <v>0</v>
      </c>
      <c r="Z298" s="98">
        <v>0</v>
      </c>
      <c r="AA298" s="198">
        <f t="shared" si="6"/>
        <v>0</v>
      </c>
      <c r="AB298" s="163"/>
      <c r="AC298" s="175"/>
      <c r="AD298" s="22"/>
      <c r="AE298" s="115"/>
    </row>
    <row r="299" spans="1:31" s="23" customFormat="1" x14ac:dyDescent="0.3">
      <c r="A299" s="47"/>
      <c r="B299" s="97" t="s">
        <v>103</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2</v>
      </c>
      <c r="Y299" s="198">
        <f>X299/$X$302</f>
        <v>1.4194464158977999E-3</v>
      </c>
      <c r="Z299" s="98">
        <v>333</v>
      </c>
      <c r="AA299" s="198">
        <f t="shared" si="6"/>
        <v>1.3477798059682766E-3</v>
      </c>
      <c r="AB299" s="163"/>
      <c r="AC299" s="175"/>
      <c r="AD299" s="22"/>
    </row>
    <row r="300" spans="1:31" s="23" customFormat="1" x14ac:dyDescent="0.3">
      <c r="A300" s="47"/>
      <c r="B300" s="97" t="s">
        <v>104</v>
      </c>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v>0</v>
      </c>
      <c r="Y300" s="198">
        <f t="shared" si="5"/>
        <v>0</v>
      </c>
      <c r="Z300" s="98">
        <v>0</v>
      </c>
      <c r="AA300" s="198">
        <f t="shared" si="6"/>
        <v>0</v>
      </c>
      <c r="AB300" s="163"/>
      <c r="AC300" s="175"/>
      <c r="AD300" s="22"/>
      <c r="AE300" s="115"/>
    </row>
    <row r="301" spans="1:31" s="23" customFormat="1" x14ac:dyDescent="0.3">
      <c r="A301" s="47"/>
      <c r="B301" s="97"/>
      <c r="C301" s="194"/>
      <c r="D301" s="194"/>
      <c r="E301" s="194"/>
      <c r="F301" s="194"/>
      <c r="G301" s="194"/>
      <c r="H301" s="194"/>
      <c r="I301" s="194"/>
      <c r="J301" s="194"/>
      <c r="K301" s="194"/>
      <c r="L301" s="194"/>
      <c r="M301" s="194"/>
      <c r="N301" s="194"/>
      <c r="O301" s="194"/>
      <c r="P301" s="194"/>
      <c r="Q301" s="194"/>
      <c r="R301" s="194"/>
      <c r="S301" s="194"/>
      <c r="T301" s="194"/>
      <c r="U301" s="194"/>
      <c r="V301" s="194"/>
      <c r="W301" s="194"/>
      <c r="X301" s="97"/>
      <c r="Y301" s="198"/>
      <c r="Z301" s="98"/>
      <c r="AA301" s="198"/>
      <c r="AB301" s="163"/>
      <c r="AC301" s="175"/>
      <c r="AD301" s="22"/>
    </row>
    <row r="302" spans="1:31" s="23" customFormat="1" x14ac:dyDescent="0.3">
      <c r="A302" s="47"/>
      <c r="B302" s="40" t="s">
        <v>80</v>
      </c>
      <c r="C302" s="40"/>
      <c r="D302" s="204"/>
      <c r="E302" s="204"/>
      <c r="F302" s="204"/>
      <c r="G302" s="204"/>
      <c r="H302" s="204"/>
      <c r="I302" s="204"/>
      <c r="J302" s="204"/>
      <c r="K302" s="204"/>
      <c r="L302" s="204"/>
      <c r="M302" s="204"/>
      <c r="N302" s="204"/>
      <c r="O302" s="204"/>
      <c r="P302" s="204"/>
      <c r="Q302" s="204"/>
      <c r="R302" s="204"/>
      <c r="S302" s="204"/>
      <c r="T302" s="204"/>
      <c r="U302" s="204"/>
      <c r="V302" s="204"/>
      <c r="W302" s="204"/>
      <c r="X302" s="97">
        <f>SUM(X293:X301)</f>
        <v>1409</v>
      </c>
      <c r="Y302" s="198">
        <f>SUM(Y293:Y301)</f>
        <v>1</v>
      </c>
      <c r="Z302" s="98">
        <f>SUM(Z293:Z301)</f>
        <v>247073</v>
      </c>
      <c r="AA302" s="198">
        <f>SUM(AA293:AA301)</f>
        <v>0.99999999999999989</v>
      </c>
      <c r="AB302" s="40"/>
      <c r="AC302" s="43"/>
      <c r="AD302" s="22"/>
    </row>
    <row r="303" spans="1:31" x14ac:dyDescent="0.3">
      <c r="A303" s="7"/>
      <c r="B303" s="99"/>
      <c r="C303" s="99"/>
      <c r="D303" s="205"/>
      <c r="E303" s="205"/>
      <c r="F303" s="205"/>
      <c r="G303" s="205"/>
      <c r="H303" s="205"/>
      <c r="I303" s="205"/>
      <c r="J303" s="205"/>
      <c r="K303" s="205"/>
      <c r="L303" s="205"/>
      <c r="M303" s="205"/>
      <c r="N303" s="205"/>
      <c r="O303" s="205"/>
      <c r="P303" s="205"/>
      <c r="Q303" s="205"/>
      <c r="R303" s="205"/>
      <c r="S303" s="205"/>
      <c r="T303" s="205"/>
      <c r="U303" s="205"/>
      <c r="V303" s="205"/>
      <c r="W303" s="205"/>
      <c r="X303" s="100"/>
      <c r="Y303" s="206"/>
      <c r="Z303" s="207"/>
      <c r="AA303" s="206"/>
      <c r="AB303" s="99"/>
      <c r="AC303" s="10"/>
      <c r="AD303" s="5"/>
    </row>
    <row r="304" spans="1:31" x14ac:dyDescent="0.3">
      <c r="A304" s="33"/>
      <c r="B304" s="102" t="s">
        <v>121</v>
      </c>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54" t="s">
        <v>69</v>
      </c>
      <c r="Y304" s="103" t="s">
        <v>70</v>
      </c>
      <c r="Z304" s="154" t="s">
        <v>75</v>
      </c>
      <c r="AA304" s="103" t="s">
        <v>70</v>
      </c>
      <c r="AB304" s="34"/>
      <c r="AC304" s="36"/>
      <c r="AD304" s="5"/>
    </row>
    <row r="305" spans="1:30" s="23" customFormat="1" x14ac:dyDescent="0.3">
      <c r="A305" s="18"/>
      <c r="B305" s="106" t="s">
        <v>59</v>
      </c>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06">
        <v>0</v>
      </c>
      <c r="Y305" s="192">
        <f>X305/X314</f>
        <v>0</v>
      </c>
      <c r="Z305" s="107">
        <v>0</v>
      </c>
      <c r="AA305" s="192">
        <f>Z305/Z314</f>
        <v>0</v>
      </c>
      <c r="AB305" s="37"/>
      <c r="AC305" s="21"/>
      <c r="AD305" s="22"/>
    </row>
    <row r="306" spans="1:30" s="23" customFormat="1" x14ac:dyDescent="0.3">
      <c r="A306" s="47"/>
      <c r="B306" s="97" t="s">
        <v>60</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61</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100</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f>X308/X314</f>
        <v>0</v>
      </c>
      <c r="Z308" s="98">
        <v>0</v>
      </c>
      <c r="AA308" s="198">
        <f>Z308/Z314</f>
        <v>0</v>
      </c>
      <c r="AB308" s="40"/>
      <c r="AC308" s="43"/>
      <c r="AD308" s="22"/>
    </row>
    <row r="309" spans="1:30" s="23" customFormat="1" x14ac:dyDescent="0.3">
      <c r="A309" s="47"/>
      <c r="B309" s="97" t="s">
        <v>101</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102</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1</v>
      </c>
      <c r="Y310" s="198">
        <f>X310/X314</f>
        <v>0.2</v>
      </c>
      <c r="Z310" s="98">
        <v>222</v>
      </c>
      <c r="AA310" s="198">
        <f>Z310/Z314</f>
        <v>0.17745803357314149</v>
      </c>
      <c r="AB310" s="40"/>
      <c r="AC310" s="43"/>
      <c r="AD310" s="22"/>
    </row>
    <row r="311" spans="1:30" s="23" customFormat="1" x14ac:dyDescent="0.3">
      <c r="A311" s="47"/>
      <c r="B311" s="97" t="s">
        <v>103</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3</v>
      </c>
      <c r="Y311" s="198">
        <f>X311/X314</f>
        <v>0.6</v>
      </c>
      <c r="Z311" s="98">
        <v>603</v>
      </c>
      <c r="AA311" s="198">
        <f>Z311/Z314</f>
        <v>0.48201438848920863</v>
      </c>
      <c r="AB311" s="40"/>
      <c r="AC311" s="43"/>
      <c r="AD311" s="22"/>
    </row>
    <row r="312" spans="1:30" s="23" customFormat="1" x14ac:dyDescent="0.3">
      <c r="A312" s="47"/>
      <c r="B312" s="97" t="s">
        <v>104</v>
      </c>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v>1</v>
      </c>
      <c r="Y312" s="198">
        <f>X312/X314</f>
        <v>0.2</v>
      </c>
      <c r="Z312" s="98">
        <v>426</v>
      </c>
      <c r="AA312" s="198">
        <f>Z312/Z314</f>
        <v>0.34052757793764987</v>
      </c>
      <c r="AB312" s="40"/>
      <c r="AC312" s="43"/>
      <c r="AD312" s="22"/>
    </row>
    <row r="313" spans="1:30" s="23" customFormat="1" x14ac:dyDescent="0.3">
      <c r="A313" s="47"/>
      <c r="B313" s="97"/>
      <c r="C313" s="194"/>
      <c r="D313" s="194"/>
      <c r="E313" s="194"/>
      <c r="F313" s="194"/>
      <c r="G313" s="194"/>
      <c r="H313" s="194"/>
      <c r="I313" s="194"/>
      <c r="J313" s="194"/>
      <c r="K313" s="194"/>
      <c r="L313" s="194"/>
      <c r="M313" s="194"/>
      <c r="N313" s="194"/>
      <c r="O313" s="194"/>
      <c r="P313" s="194"/>
      <c r="Q313" s="194"/>
      <c r="R313" s="194"/>
      <c r="S313" s="194"/>
      <c r="T313" s="194"/>
      <c r="U313" s="194"/>
      <c r="V313" s="194"/>
      <c r="W313" s="194"/>
      <c r="X313" s="97"/>
      <c r="Y313" s="198"/>
      <c r="Z313" s="98"/>
      <c r="AA313" s="198"/>
      <c r="AB313" s="40"/>
      <c r="AC313" s="43"/>
      <c r="AD313" s="22"/>
    </row>
    <row r="314" spans="1:30" s="23" customFormat="1" x14ac:dyDescent="0.3">
      <c r="A314" s="47"/>
      <c r="B314" s="40" t="s">
        <v>80</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f>SUM(X305:X313)</f>
        <v>5</v>
      </c>
      <c r="Y314" s="198">
        <f>SUM(Y305:Y313)</f>
        <v>1</v>
      </c>
      <c r="Z314" s="98">
        <f>SUM(Z305:Z313)</f>
        <v>1251</v>
      </c>
      <c r="AA314" s="198">
        <f>SUM(AA305:AA313)</f>
        <v>1</v>
      </c>
      <c r="AB314" s="40"/>
      <c r="AC314" s="43"/>
      <c r="AD314" s="22"/>
    </row>
    <row r="315" spans="1:30" s="23" customFormat="1" x14ac:dyDescent="0.3">
      <c r="A315" s="47"/>
      <c r="B315" s="40"/>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97"/>
      <c r="Y315" s="198"/>
      <c r="Z315" s="98"/>
      <c r="AA315" s="198"/>
      <c r="AB315" s="40"/>
      <c r="AC315" s="43"/>
      <c r="AD315" s="22"/>
    </row>
    <row r="316" spans="1:30" s="23" customFormat="1" x14ac:dyDescent="0.3">
      <c r="A316" s="242"/>
      <c r="B316" s="243" t="s">
        <v>330</v>
      </c>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62" t="s">
        <v>69</v>
      </c>
      <c r="Y316" s="263" t="s">
        <v>70</v>
      </c>
      <c r="Z316" s="262" t="s">
        <v>75</v>
      </c>
      <c r="AA316" s="263" t="s">
        <v>70</v>
      </c>
      <c r="AB316" s="243"/>
      <c r="AC316" s="243"/>
      <c r="AD316" s="22"/>
    </row>
    <row r="317" spans="1:30" s="23" customFormat="1" x14ac:dyDescent="0.3">
      <c r="A317" s="273"/>
      <c r="B317" s="274" t="s">
        <v>326</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302">
        <v>1</v>
      </c>
      <c r="Y317" s="303">
        <f>X317/X324</f>
        <v>0.2</v>
      </c>
      <c r="Z317" s="304">
        <v>68</v>
      </c>
      <c r="AA317" s="303">
        <f>Z317/Z324</f>
        <v>5.4356514788169462E-2</v>
      </c>
      <c r="AB317" s="40"/>
      <c r="AC317" s="43"/>
      <c r="AD317" s="22"/>
    </row>
    <row r="318" spans="1:30" s="23" customFormat="1" x14ac:dyDescent="0.3">
      <c r="A318" s="273"/>
      <c r="B318" s="274" t="s">
        <v>327</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302">
        <v>0</v>
      </c>
      <c r="Y318" s="303">
        <v>0</v>
      </c>
      <c r="Z318" s="304">
        <v>0</v>
      </c>
      <c r="AA318" s="303">
        <v>0</v>
      </c>
      <c r="AB318" s="40"/>
      <c r="AC318" s="43"/>
      <c r="AD318" s="22"/>
    </row>
    <row r="319" spans="1:30" s="23" customFormat="1" x14ac:dyDescent="0.3">
      <c r="A319" s="273"/>
      <c r="B319" s="274" t="s">
        <v>328</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302">
        <v>1</v>
      </c>
      <c r="Y319" s="303">
        <f>X319/X324</f>
        <v>0.2</v>
      </c>
      <c r="Z319" s="304">
        <v>96</v>
      </c>
      <c r="AA319" s="303">
        <f>Z319/Z324</f>
        <v>7.6738609112709827E-2</v>
      </c>
      <c r="AB319" s="40"/>
      <c r="AC319" s="43"/>
      <c r="AD319" s="22"/>
    </row>
    <row r="320" spans="1:30" s="23" customFormat="1" x14ac:dyDescent="0.3">
      <c r="A320" s="273"/>
      <c r="B320" s="274" t="s">
        <v>329</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302">
        <v>0</v>
      </c>
      <c r="Y320" s="303">
        <f>X320/X324</f>
        <v>0</v>
      </c>
      <c r="Z320" s="304">
        <v>0</v>
      </c>
      <c r="AA320" s="303">
        <f>Z320/Z324</f>
        <v>0</v>
      </c>
      <c r="AB320" s="40"/>
      <c r="AC320" s="43"/>
      <c r="AD320" s="22"/>
    </row>
    <row r="321" spans="1:30" s="23" customFormat="1" x14ac:dyDescent="0.3">
      <c r="A321" s="273"/>
      <c r="B321" s="274" t="s">
        <v>334</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302">
        <v>0</v>
      </c>
      <c r="Y321" s="303">
        <f>X321/X324</f>
        <v>0</v>
      </c>
      <c r="Z321" s="304">
        <v>0</v>
      </c>
      <c r="AA321" s="303">
        <f>Z321/Z324</f>
        <v>0</v>
      </c>
      <c r="AB321" s="40"/>
      <c r="AC321" s="43"/>
      <c r="AD321" s="22"/>
    </row>
    <row r="322" spans="1:30" s="23" customFormat="1" x14ac:dyDescent="0.3">
      <c r="A322" s="273"/>
      <c r="B322" s="275" t="s">
        <v>331</v>
      </c>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302">
        <v>3</v>
      </c>
      <c r="Y322" s="303">
        <f>X322/X324</f>
        <v>0.6</v>
      </c>
      <c r="Z322" s="304">
        <v>1087</v>
      </c>
      <c r="AA322" s="303">
        <f>Z322/Z324</f>
        <v>0.8689048760991207</v>
      </c>
      <c r="AB322" s="40"/>
      <c r="AC322" s="43"/>
      <c r="AD322" s="22"/>
    </row>
    <row r="323" spans="1:30" s="23" customFormat="1" x14ac:dyDescent="0.3">
      <c r="A323" s="273"/>
      <c r="B323" s="274"/>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c r="Y323" s="277"/>
      <c r="Z323" s="278"/>
      <c r="AA323" s="277"/>
      <c r="AB323" s="40"/>
      <c r="AC323" s="43"/>
      <c r="AD323" s="22"/>
    </row>
    <row r="324" spans="1:30" s="23" customFormat="1" x14ac:dyDescent="0.3">
      <c r="A324" s="273"/>
      <c r="B324" s="274" t="s">
        <v>80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276">
        <f>SUM(X317:X323)</f>
        <v>5</v>
      </c>
      <c r="Y324" s="277">
        <f>SUM(Y317:Y322)</f>
        <v>1</v>
      </c>
      <c r="Z324" s="278">
        <f>SUM(Z317:Z322)</f>
        <v>1251</v>
      </c>
      <c r="AA324" s="277">
        <f>SUM(AA317:AA323)</f>
        <v>1</v>
      </c>
      <c r="AB324" s="40"/>
      <c r="AC324" s="43"/>
      <c r="AD324" s="22"/>
    </row>
    <row r="325" spans="1:30" x14ac:dyDescent="0.3">
      <c r="A325" s="7"/>
      <c r="B325" s="99"/>
      <c r="C325" s="99"/>
      <c r="D325" s="205"/>
      <c r="E325" s="205"/>
      <c r="F325" s="205"/>
      <c r="G325" s="205"/>
      <c r="H325" s="205"/>
      <c r="I325" s="205"/>
      <c r="J325" s="205"/>
      <c r="K325" s="205"/>
      <c r="L325" s="205"/>
      <c r="M325" s="205"/>
      <c r="N325" s="205"/>
      <c r="O325" s="205"/>
      <c r="P325" s="205"/>
      <c r="Q325" s="205"/>
      <c r="R325" s="205"/>
      <c r="S325" s="205"/>
      <c r="T325" s="205"/>
      <c r="U325" s="205"/>
      <c r="V325" s="205"/>
      <c r="W325" s="205"/>
      <c r="X325" s="100"/>
      <c r="Y325" s="206"/>
      <c r="Z325" s="207"/>
      <c r="AA325" s="206"/>
      <c r="AB325" s="99"/>
      <c r="AC325" s="10"/>
      <c r="AD325" s="5"/>
    </row>
    <row r="326" spans="1:30" x14ac:dyDescent="0.3">
      <c r="A326" s="33"/>
      <c r="B326" s="102" t="s">
        <v>106</v>
      </c>
      <c r="C326" s="34"/>
      <c r="D326" s="208"/>
      <c r="E326" s="208"/>
      <c r="F326" s="208"/>
      <c r="G326" s="208"/>
      <c r="H326" s="208"/>
      <c r="I326" s="208"/>
      <c r="J326" s="208"/>
      <c r="K326" s="208"/>
      <c r="L326" s="208"/>
      <c r="M326" s="208"/>
      <c r="N326" s="208"/>
      <c r="O326" s="208"/>
      <c r="P326" s="208"/>
      <c r="Q326" s="208"/>
      <c r="R326" s="208"/>
      <c r="S326" s="208"/>
      <c r="T326" s="208"/>
      <c r="U326" s="208"/>
      <c r="V326" s="208"/>
      <c r="W326" s="208"/>
      <c r="X326" s="154" t="s">
        <v>69</v>
      </c>
      <c r="Y326" s="103" t="s">
        <v>70</v>
      </c>
      <c r="Z326" s="154" t="s">
        <v>75</v>
      </c>
      <c r="AA326" s="103" t="s">
        <v>70</v>
      </c>
      <c r="AB326" s="34"/>
      <c r="AC326" s="36"/>
      <c r="AD326" s="5"/>
    </row>
    <row r="327" spans="1:30" s="23" customFormat="1" x14ac:dyDescent="0.3">
      <c r="A327" s="18"/>
      <c r="B327" s="106" t="s">
        <v>59</v>
      </c>
      <c r="C327" s="37"/>
      <c r="D327" s="209"/>
      <c r="E327" s="209"/>
      <c r="F327" s="209"/>
      <c r="G327" s="209"/>
      <c r="H327" s="209"/>
      <c r="I327" s="209"/>
      <c r="J327" s="209"/>
      <c r="K327" s="209"/>
      <c r="L327" s="209"/>
      <c r="M327" s="209"/>
      <c r="N327" s="209"/>
      <c r="O327" s="209"/>
      <c r="P327" s="209"/>
      <c r="Q327" s="209"/>
      <c r="R327" s="209"/>
      <c r="S327" s="209"/>
      <c r="T327" s="209"/>
      <c r="U327" s="209"/>
      <c r="V327" s="209"/>
      <c r="W327" s="209"/>
      <c r="X327" s="106">
        <v>0</v>
      </c>
      <c r="Y327" s="192">
        <v>0</v>
      </c>
      <c r="Z327" s="107">
        <v>0</v>
      </c>
      <c r="AA327" s="192">
        <v>0</v>
      </c>
      <c r="AB327" s="37"/>
      <c r="AC327" s="21"/>
      <c r="AD327" s="22"/>
    </row>
    <row r="328" spans="1:30" s="23" customFormat="1" x14ac:dyDescent="0.3">
      <c r="A328" s="47"/>
      <c r="B328" s="97" t="s">
        <v>60</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61</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100</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101</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102</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103</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1</v>
      </c>
      <c r="Y333" s="198">
        <v>1</v>
      </c>
      <c r="Z333" s="98">
        <v>195</v>
      </c>
      <c r="AA333" s="198">
        <v>1</v>
      </c>
      <c r="AB333" s="40"/>
      <c r="AC333" s="43"/>
      <c r="AD333" s="22"/>
    </row>
    <row r="334" spans="1:30" s="23" customFormat="1" x14ac:dyDescent="0.3">
      <c r="A334" s="47"/>
      <c r="B334" s="97" t="s">
        <v>104</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v>0</v>
      </c>
      <c r="Y334" s="198">
        <v>0</v>
      </c>
      <c r="Z334" s="98">
        <v>0</v>
      </c>
      <c r="AA334" s="198">
        <v>0</v>
      </c>
      <c r="AB334" s="40"/>
      <c r="AC334" s="43"/>
      <c r="AD334" s="22"/>
    </row>
    <row r="335" spans="1:30" s="23" customFormat="1" x14ac:dyDescent="0.3">
      <c r="A335" s="47"/>
      <c r="B335" s="97"/>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c r="Y335" s="198"/>
      <c r="Z335" s="98"/>
      <c r="AA335" s="198"/>
      <c r="AB335" s="40"/>
      <c r="AC335" s="43"/>
      <c r="AD335" s="22"/>
    </row>
    <row r="336" spans="1:30" s="23" customFormat="1" x14ac:dyDescent="0.3">
      <c r="A336" s="47"/>
      <c r="B336" s="40" t="s">
        <v>80</v>
      </c>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f>SUM(X327:X334)</f>
        <v>1</v>
      </c>
      <c r="Y336" s="198">
        <f>SUM(Y327:Y334)</f>
        <v>1</v>
      </c>
      <c r="Z336" s="98">
        <f>SUM(Z327:Z334)</f>
        <v>195</v>
      </c>
      <c r="AA336" s="198">
        <f>SUM(AA327:AA334)</f>
        <v>1</v>
      </c>
      <c r="AB336" s="40"/>
      <c r="AC336" s="43"/>
      <c r="AD336" s="22"/>
    </row>
    <row r="337" spans="1:30" s="23" customFormat="1" x14ac:dyDescent="0.3">
      <c r="A337" s="47"/>
      <c r="B337" s="40"/>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97"/>
      <c r="Y337" s="198"/>
      <c r="Z337" s="98"/>
      <c r="AA337" s="198"/>
      <c r="AB337" s="40"/>
      <c r="AC337" s="43"/>
      <c r="AD337" s="22"/>
    </row>
    <row r="338" spans="1:30" s="23" customFormat="1" x14ac:dyDescent="0.3">
      <c r="A338" s="47"/>
      <c r="B338" s="44" t="s">
        <v>139</v>
      </c>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f>X336+X314+X302</f>
        <v>1415</v>
      </c>
      <c r="Y338" s="198"/>
      <c r="Z338" s="211">
        <f>+Z336+Z314+Z302</f>
        <v>248519</v>
      </c>
      <c r="AA338" s="198"/>
      <c r="AB338" s="40"/>
      <c r="AC338" s="43"/>
      <c r="AD338" s="22"/>
    </row>
    <row r="339" spans="1:30" s="23" customFormat="1" x14ac:dyDescent="0.3">
      <c r="A339" s="47"/>
      <c r="B339" s="44" t="s">
        <v>304</v>
      </c>
      <c r="C339" s="44"/>
      <c r="D339" s="212"/>
      <c r="E339" s="212"/>
      <c r="F339" s="212"/>
      <c r="G339" s="212"/>
      <c r="H339" s="212"/>
      <c r="I339" s="212"/>
      <c r="J339" s="212"/>
      <c r="K339" s="212"/>
      <c r="L339" s="212"/>
      <c r="M339" s="212"/>
      <c r="N339" s="212"/>
      <c r="O339" s="212"/>
      <c r="P339" s="212"/>
      <c r="Q339" s="212"/>
      <c r="R339" s="212"/>
      <c r="S339" s="212"/>
      <c r="T339" s="212"/>
      <c r="U339" s="212"/>
      <c r="V339" s="212"/>
      <c r="W339" s="212"/>
      <c r="X339" s="210"/>
      <c r="Y339" s="213"/>
      <c r="Z339" s="211">
        <f>+AB65+AB64</f>
        <v>4</v>
      </c>
      <c r="AA339" s="198"/>
      <c r="AB339" s="40"/>
      <c r="AC339" s="43"/>
      <c r="AD339" s="22"/>
    </row>
    <row r="340" spans="1:30" s="23" customFormat="1" x14ac:dyDescent="0.3">
      <c r="A340" s="47"/>
      <c r="B340" s="44" t="s">
        <v>107</v>
      </c>
      <c r="C340" s="44"/>
      <c r="D340" s="212"/>
      <c r="E340" s="212"/>
      <c r="F340" s="212"/>
      <c r="G340" s="212"/>
      <c r="H340" s="212"/>
      <c r="I340" s="212"/>
      <c r="J340" s="212"/>
      <c r="K340" s="212"/>
      <c r="L340" s="212"/>
      <c r="M340" s="212"/>
      <c r="N340" s="212"/>
      <c r="O340" s="212"/>
      <c r="P340" s="212"/>
      <c r="Q340" s="212"/>
      <c r="R340" s="212"/>
      <c r="S340" s="212"/>
      <c r="T340" s="212"/>
      <c r="U340" s="212"/>
      <c r="V340" s="212"/>
      <c r="W340" s="212"/>
      <c r="X340" s="210"/>
      <c r="Y340" s="213"/>
      <c r="Z340" s="211">
        <f>+Z338+Z339</f>
        <v>248523</v>
      </c>
      <c r="AA340" s="198"/>
      <c r="AB340" s="40"/>
      <c r="AC340" s="43"/>
      <c r="AD340" s="22"/>
    </row>
    <row r="341" spans="1:30" s="23" customFormat="1" x14ac:dyDescent="0.3">
      <c r="A341" s="47"/>
      <c r="B341" s="44" t="s">
        <v>237</v>
      </c>
      <c r="C341" s="40"/>
      <c r="D341" s="204"/>
      <c r="E341" s="204"/>
      <c r="F341" s="204"/>
      <c r="G341" s="204"/>
      <c r="H341" s="204"/>
      <c r="I341" s="204"/>
      <c r="J341" s="204"/>
      <c r="K341" s="204"/>
      <c r="L341" s="204"/>
      <c r="M341" s="204"/>
      <c r="N341" s="204"/>
      <c r="O341" s="204"/>
      <c r="P341" s="204"/>
      <c r="Q341" s="204"/>
      <c r="R341" s="204"/>
      <c r="S341" s="204"/>
      <c r="T341" s="204"/>
      <c r="U341" s="204"/>
      <c r="V341" s="204"/>
      <c r="W341" s="204"/>
      <c r="X341" s="210"/>
      <c r="Y341" s="198"/>
      <c r="Z341" s="211">
        <f>+AB67</f>
        <v>248523</v>
      </c>
      <c r="AA341" s="198"/>
      <c r="AB341" s="40"/>
      <c r="AC341" s="43"/>
      <c r="AD341" s="22"/>
    </row>
    <row r="342" spans="1:30" s="23" customFormat="1" x14ac:dyDescent="0.3">
      <c r="A342" s="47"/>
      <c r="B342" s="44"/>
      <c r="C342" s="40"/>
      <c r="D342" s="204"/>
      <c r="E342" s="204"/>
      <c r="F342" s="204"/>
      <c r="G342" s="204"/>
      <c r="H342" s="204"/>
      <c r="I342" s="204"/>
      <c r="J342" s="204"/>
      <c r="K342" s="204"/>
      <c r="L342" s="204"/>
      <c r="M342" s="204"/>
      <c r="N342" s="204"/>
      <c r="O342" s="204"/>
      <c r="P342" s="204"/>
      <c r="Q342" s="204"/>
      <c r="R342" s="204"/>
      <c r="S342" s="204"/>
      <c r="T342" s="204"/>
      <c r="U342" s="204"/>
      <c r="V342" s="204"/>
      <c r="W342" s="204"/>
      <c r="X342" s="210"/>
      <c r="Y342" s="198"/>
      <c r="Z342" s="211"/>
      <c r="AA342" s="198"/>
      <c r="AB342" s="40"/>
      <c r="AC342" s="43"/>
      <c r="AD342" s="22"/>
    </row>
    <row r="343" spans="1:30" s="23" customFormat="1" x14ac:dyDescent="0.3">
      <c r="A343" s="47"/>
      <c r="B343" s="44" t="s">
        <v>305</v>
      </c>
      <c r="C343" s="40"/>
      <c r="D343" s="204"/>
      <c r="E343" s="204"/>
      <c r="F343" s="204"/>
      <c r="G343" s="204"/>
      <c r="H343" s="204"/>
      <c r="I343" s="204"/>
      <c r="J343" s="204"/>
      <c r="K343" s="204"/>
      <c r="L343" s="204"/>
      <c r="M343" s="204"/>
      <c r="N343" s="204"/>
      <c r="O343" s="204"/>
      <c r="P343" s="204"/>
      <c r="Q343" s="204"/>
      <c r="R343" s="204"/>
      <c r="S343" s="204"/>
      <c r="T343" s="204"/>
      <c r="U343" s="204"/>
      <c r="V343" s="204"/>
      <c r="W343" s="204"/>
      <c r="X343" s="210"/>
      <c r="Y343" s="198"/>
      <c r="Z343" s="236">
        <f>(D31*0.05+F31+H31+J31+L31+N31)/AB31</f>
        <v>0.94847287749108189</v>
      </c>
      <c r="AA343" s="198"/>
      <c r="AB343" s="40"/>
      <c r="AC343" s="43"/>
      <c r="AD343" s="22"/>
    </row>
    <row r="344" spans="1:30" s="23" customFormat="1" x14ac:dyDescent="0.3">
      <c r="A344" s="18"/>
      <c r="B344" s="20"/>
      <c r="C344" s="20"/>
      <c r="D344" s="214"/>
      <c r="E344" s="214"/>
      <c r="F344" s="214"/>
      <c r="G344" s="214"/>
      <c r="H344" s="214"/>
      <c r="I344" s="214"/>
      <c r="J344" s="214"/>
      <c r="K344" s="214"/>
      <c r="L344" s="214"/>
      <c r="M344" s="214"/>
      <c r="N344" s="214"/>
      <c r="O344" s="214"/>
      <c r="P344" s="214"/>
      <c r="Q344" s="214"/>
      <c r="R344" s="214"/>
      <c r="S344" s="214"/>
      <c r="T344" s="214"/>
      <c r="U344" s="214"/>
      <c r="V344" s="214"/>
      <c r="W344" s="214"/>
      <c r="X344" s="214"/>
      <c r="Y344" s="214"/>
      <c r="Z344" s="215"/>
      <c r="AA344" s="214"/>
      <c r="AB344" s="20"/>
      <c r="AC344" s="21"/>
      <c r="AD344" s="22"/>
    </row>
    <row r="345" spans="1:30" s="23" customFormat="1" x14ac:dyDescent="0.3">
      <c r="A345" s="18"/>
      <c r="B345" s="19" t="s">
        <v>62</v>
      </c>
      <c r="C345" s="20"/>
      <c r="D345" s="216" t="s">
        <v>66</v>
      </c>
      <c r="E345" s="19"/>
      <c r="F345" s="19" t="s">
        <v>67</v>
      </c>
      <c r="G345" s="20"/>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s="23" customFormat="1" x14ac:dyDescent="0.3">
      <c r="A346" s="18"/>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1"/>
      <c r="AD346" s="22"/>
    </row>
    <row r="347" spans="1:30" s="23" customFormat="1" x14ac:dyDescent="0.3">
      <c r="A347" s="18"/>
      <c r="B347" s="19" t="s">
        <v>152</v>
      </c>
      <c r="C347" s="19"/>
      <c r="D347" s="217" t="s">
        <v>122</v>
      </c>
      <c r="E347" s="19"/>
      <c r="F347" s="19" t="s">
        <v>168</v>
      </c>
      <c r="G347" s="19"/>
      <c r="H347" s="19"/>
      <c r="I347" s="20"/>
      <c r="J347" s="20"/>
      <c r="K347" s="20"/>
      <c r="L347" s="20"/>
      <c r="M347" s="20"/>
      <c r="N347" s="20"/>
      <c r="O347" s="20"/>
      <c r="P347" s="20"/>
      <c r="Q347" s="20"/>
      <c r="R347" s="20"/>
      <c r="S347" s="20"/>
      <c r="T347" s="20"/>
      <c r="U347" s="20"/>
      <c r="V347" s="20"/>
      <c r="W347" s="20"/>
      <c r="X347" s="20"/>
      <c r="Y347" s="20"/>
      <c r="Z347" s="20"/>
      <c r="AA347" s="20"/>
      <c r="AB347" s="20"/>
      <c r="AC347" s="21"/>
      <c r="AD347" s="22"/>
    </row>
    <row r="348" spans="1:30" s="23" customFormat="1" x14ac:dyDescent="0.3">
      <c r="A348" s="18"/>
      <c r="B348" s="19" t="s">
        <v>153</v>
      </c>
      <c r="C348" s="19"/>
      <c r="D348" s="217" t="s">
        <v>98</v>
      </c>
      <c r="E348" s="19"/>
      <c r="F348" s="19" t="s">
        <v>169</v>
      </c>
      <c r="G348" s="19"/>
      <c r="H348" s="19"/>
      <c r="I348" s="20"/>
      <c r="J348" s="20"/>
      <c r="K348" s="20"/>
      <c r="L348" s="20"/>
      <c r="M348" s="20"/>
      <c r="N348" s="20"/>
      <c r="O348" s="20"/>
      <c r="P348" s="20"/>
      <c r="Q348" s="20"/>
      <c r="R348" s="20"/>
      <c r="S348" s="20"/>
      <c r="T348" s="20"/>
      <c r="U348" s="20"/>
      <c r="V348" s="20"/>
      <c r="W348" s="20"/>
      <c r="X348" s="20"/>
      <c r="Y348" s="20"/>
      <c r="Z348" s="20"/>
      <c r="AA348" s="20"/>
      <c r="AB348" s="20"/>
      <c r="AC348" s="21"/>
      <c r="AD348" s="22"/>
    </row>
    <row r="349" spans="1:30" x14ac:dyDescent="0.3">
      <c r="A349" s="218"/>
      <c r="B349" s="258"/>
      <c r="C349" s="219"/>
      <c r="D349" s="220"/>
      <c r="E349" s="220"/>
      <c r="F349" s="220"/>
      <c r="G349" s="220"/>
      <c r="H349" s="220"/>
      <c r="I349" s="220"/>
      <c r="J349" s="220"/>
      <c r="K349" s="220"/>
      <c r="L349" s="220"/>
      <c r="M349" s="220"/>
      <c r="N349" s="220"/>
      <c r="O349" s="220"/>
      <c r="P349" s="220"/>
      <c r="Q349" s="220"/>
      <c r="R349" s="220"/>
      <c r="S349" s="220"/>
      <c r="T349" s="220"/>
      <c r="U349" s="220"/>
      <c r="V349" s="220"/>
      <c r="W349" s="220"/>
      <c r="X349" s="220"/>
      <c r="Y349" s="220"/>
      <c r="Z349" s="220"/>
      <c r="AA349" s="220"/>
      <c r="AB349" s="220"/>
      <c r="AC349" s="221"/>
      <c r="AD349" s="5"/>
    </row>
    <row r="350" spans="1:30" ht="18" x14ac:dyDescent="0.35">
      <c r="A350" s="218"/>
      <c r="B350" s="259" t="s">
        <v>109</v>
      </c>
      <c r="C350" s="219"/>
      <c r="D350" s="220"/>
      <c r="E350" s="220"/>
      <c r="F350" s="220"/>
      <c r="G350" s="220"/>
      <c r="H350" s="220"/>
      <c r="I350" s="220"/>
      <c r="J350" s="220"/>
      <c r="K350" s="220"/>
      <c r="L350" s="220"/>
      <c r="M350" s="220"/>
      <c r="N350" s="220"/>
      <c r="O350" s="220"/>
      <c r="P350" s="260" t="s">
        <v>167</v>
      </c>
      <c r="Q350" s="220"/>
      <c r="R350" s="220"/>
      <c r="S350" s="220"/>
      <c r="T350" s="220"/>
      <c r="U350" s="220"/>
      <c r="V350" s="220"/>
      <c r="W350" s="220"/>
      <c r="X350" s="220"/>
      <c r="Y350" s="220"/>
      <c r="Z350" s="220"/>
      <c r="AA350" s="220"/>
      <c r="AB350" s="220"/>
      <c r="AC350" s="221"/>
      <c r="AD350" s="5"/>
    </row>
    <row r="351" spans="1:30" ht="18" x14ac:dyDescent="0.35">
      <c r="A351" s="218"/>
      <c r="B351" s="259"/>
      <c r="C351" s="219"/>
      <c r="D351" s="220"/>
      <c r="E351" s="220"/>
      <c r="F351" s="220"/>
      <c r="G351" s="220"/>
      <c r="H351" s="220"/>
      <c r="I351" s="220"/>
      <c r="J351" s="220"/>
      <c r="K351" s="220"/>
      <c r="L351" s="220"/>
      <c r="M351" s="220"/>
      <c r="N351" s="220"/>
      <c r="O351" s="220"/>
      <c r="P351" s="260"/>
      <c r="Q351" s="220"/>
      <c r="R351" s="220"/>
      <c r="S351" s="220"/>
      <c r="T351" s="220"/>
      <c r="U351" s="220"/>
      <c r="V351" s="220"/>
      <c r="W351" s="220"/>
      <c r="X351" s="220"/>
      <c r="Y351" s="220"/>
      <c r="Z351" s="220"/>
      <c r="AA351" s="220"/>
      <c r="AB351" s="220"/>
      <c r="AC351" s="221"/>
      <c r="AD351" s="5"/>
    </row>
    <row r="352" spans="1:30" ht="18.600000000000001" thickBot="1" x14ac:dyDescent="0.4">
      <c r="A352" s="218"/>
      <c r="B352" s="222" t="str">
        <f>B238</f>
        <v>PM26 INVESTOR REPORT QUARTER ENDING APRIL 2024</v>
      </c>
      <c r="C352" s="219"/>
      <c r="D352" s="220"/>
      <c r="E352" s="220"/>
      <c r="F352" s="220"/>
      <c r="G352" s="220"/>
      <c r="H352" s="220"/>
      <c r="I352" s="220"/>
      <c r="J352" s="220"/>
      <c r="K352" s="220"/>
      <c r="L352" s="220"/>
      <c r="M352" s="220"/>
      <c r="N352" s="220"/>
      <c r="O352" s="220"/>
      <c r="P352" s="220"/>
      <c r="Q352" s="220"/>
      <c r="R352" s="220"/>
      <c r="S352" s="220"/>
      <c r="T352" s="220"/>
      <c r="U352" s="220"/>
      <c r="V352" s="220"/>
      <c r="W352" s="220"/>
      <c r="X352" s="220"/>
      <c r="Y352" s="220"/>
      <c r="Z352" s="220"/>
      <c r="AA352" s="220"/>
      <c r="AB352" s="220"/>
      <c r="AC352" s="223"/>
      <c r="AD352" s="5"/>
    </row>
    <row r="353" spans="1:29" x14ac:dyDescent="0.3">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row>
    <row r="354" spans="1:29" x14ac:dyDescent="0.3">
      <c r="B354" s="6" t="s">
        <v>307</v>
      </c>
      <c r="AC354" s="271"/>
    </row>
    <row r="355" spans="1:29" x14ac:dyDescent="0.3">
      <c r="B355" s="6" t="s">
        <v>392</v>
      </c>
    </row>
    <row r="356" spans="1:29" x14ac:dyDescent="0.3">
      <c r="B356" s="271"/>
    </row>
    <row r="357" spans="1:29" x14ac:dyDescent="0.3">
      <c r="B357" s="279" t="s">
        <v>354</v>
      </c>
    </row>
    <row r="358" spans="1:29" x14ac:dyDescent="0.3">
      <c r="B358" s="270" t="s">
        <v>352</v>
      </c>
    </row>
    <row r="359" spans="1:29" x14ac:dyDescent="0.3">
      <c r="B359" s="300" t="s">
        <v>353</v>
      </c>
    </row>
    <row r="361" spans="1:29" x14ac:dyDescent="0.3">
      <c r="B361" s="6" t="s">
        <v>385</v>
      </c>
    </row>
    <row r="362" spans="1:29" x14ac:dyDescent="0.3">
      <c r="B362" s="6" t="s">
        <v>384</v>
      </c>
    </row>
  </sheetData>
  <hyperlinks>
    <hyperlink ref="K9" r:id="rId1" display="http://www.paragon-group.co.uk" xr:uid="{CB4D4759-ACDD-4AAD-A94E-ACA36276429E}"/>
    <hyperlink ref="P350" r:id="rId2" xr:uid="{BBDB20C9-E50A-48E6-A05F-B54D8AB1A0EC}"/>
    <hyperlink ref="P278" r:id="rId3" xr:uid="{0FA6C77E-8387-4998-BEF3-C3E8974312D5}"/>
    <hyperlink ref="B359" r:id="rId4" display="https://investorreporting.paragonbankinggroup.co.uk/bondinvestor_viewer/resources/bondinvestor/pdf/investornews/2021/libor-mortgages-transition-july-19" xr:uid="{5CCFF562-E2BE-4C42-924D-C5D78104B496}"/>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8" max="18" man="1"/>
  </rowBreaks>
  <colBreaks count="1" manualBreakCount="1">
    <brk id="29" max="299" man="1"/>
  </colBreak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462B6-4651-42F2-9743-FB5D24C7062D}">
  <sheetPr>
    <tabColor rgb="FF2D2926"/>
  </sheetPr>
  <dimension ref="A1:JB342"/>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0.254460152578389</v>
      </c>
      <c r="Z17" s="29" t="s">
        <v>258</v>
      </c>
      <c r="AA17" s="29">
        <v>0.74553984742161095</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43879</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215</v>
      </c>
      <c r="I27" s="229"/>
      <c r="J27" s="229" t="s">
        <v>269</v>
      </c>
      <c r="K27" s="229"/>
      <c r="L27" s="229" t="s">
        <v>270</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321689.74764999998</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8976.4193099999993</v>
      </c>
      <c r="Q30" s="54"/>
      <c r="R30" s="54">
        <f>'October 19'!R31</f>
        <v>9156</v>
      </c>
      <c r="S30" s="54"/>
      <c r="T30" s="54" t="s">
        <v>83</v>
      </c>
      <c r="U30" s="54"/>
      <c r="V30" s="54" t="s">
        <v>83</v>
      </c>
      <c r="W30" s="54"/>
      <c r="X30" s="54" t="s">
        <v>83</v>
      </c>
      <c r="Y30" s="54" t="s">
        <v>83</v>
      </c>
      <c r="Z30" s="54"/>
      <c r="AA30" s="49"/>
      <c r="AB30" s="50">
        <f>SUM(D30:N30)</f>
        <v>556732.74765000003</v>
      </c>
      <c r="AC30" s="51"/>
      <c r="AD30" s="22"/>
    </row>
    <row r="31" spans="1:33" s="23" customFormat="1" x14ac:dyDescent="0.3">
      <c r="A31" s="47"/>
      <c r="B31" s="44" t="s">
        <v>92</v>
      </c>
      <c r="C31" s="49"/>
      <c r="D31" s="57">
        <f>D29*D32</f>
        <v>288441.25134999998</v>
      </c>
      <c r="E31" s="57"/>
      <c r="F31" s="57">
        <f>F29</f>
        <v>151540</v>
      </c>
      <c r="G31" s="57"/>
      <c r="H31" s="57">
        <f>H29</f>
        <v>24741</v>
      </c>
      <c r="I31" s="57"/>
      <c r="J31" s="57">
        <f>J29</f>
        <v>18555</v>
      </c>
      <c r="K31" s="57"/>
      <c r="L31" s="57">
        <f>L29</f>
        <v>20102</v>
      </c>
      <c r="M31" s="57"/>
      <c r="N31" s="57">
        <f>N29</f>
        <v>20105</v>
      </c>
      <c r="O31" s="57"/>
      <c r="P31" s="57">
        <f>P29*P32</f>
        <v>8049.4981500000004</v>
      </c>
      <c r="Q31" s="57"/>
      <c r="R31" s="57">
        <v>7541</v>
      </c>
      <c r="S31" s="57"/>
      <c r="T31" s="57" t="s">
        <v>83</v>
      </c>
      <c r="U31" s="57"/>
      <c r="V31" s="57" t="s">
        <v>83</v>
      </c>
      <c r="W31" s="57"/>
      <c r="X31" s="57" t="s">
        <v>83</v>
      </c>
      <c r="Y31" s="57" t="s">
        <v>83</v>
      </c>
      <c r="Z31" s="57"/>
      <c r="AA31" s="49"/>
      <c r="AB31" s="56">
        <f>SUM(D31:N31)</f>
        <v>523484.25134999998</v>
      </c>
      <c r="AC31" s="51"/>
      <c r="AD31" s="22"/>
      <c r="AE31" s="235"/>
    </row>
    <row r="32" spans="1:33" s="65" customFormat="1" x14ac:dyDescent="0.3">
      <c r="A32" s="58"/>
      <c r="B32" s="166" t="s">
        <v>88</v>
      </c>
      <c r="C32" s="61"/>
      <c r="D32" s="60">
        <v>0.75214999999999999</v>
      </c>
      <c r="E32" s="60"/>
      <c r="F32" s="60">
        <v>1</v>
      </c>
      <c r="G32" s="60"/>
      <c r="H32" s="60">
        <v>1</v>
      </c>
      <c r="I32" s="60"/>
      <c r="J32" s="60">
        <v>1</v>
      </c>
      <c r="K32" s="60"/>
      <c r="L32" s="60">
        <v>1</v>
      </c>
      <c r="M32" s="60"/>
      <c r="N32" s="60">
        <v>1</v>
      </c>
      <c r="O32" s="60"/>
      <c r="P32" s="60">
        <v>0.79095000000000004</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0.83884999999999998</v>
      </c>
      <c r="E33" s="225"/>
      <c r="F33" s="225">
        <v>1</v>
      </c>
      <c r="G33" s="225"/>
      <c r="H33" s="225">
        <v>1</v>
      </c>
      <c r="I33" s="225"/>
      <c r="J33" s="225">
        <v>1</v>
      </c>
      <c r="K33" s="225"/>
      <c r="L33" s="225">
        <v>1</v>
      </c>
      <c r="M33" s="225"/>
      <c r="N33" s="225">
        <v>1</v>
      </c>
      <c r="O33" s="225"/>
      <c r="P33" s="60">
        <v>0.88202999999999998</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1.7612599999999999E-2</v>
      </c>
      <c r="E35" s="241"/>
      <c r="F35" s="241">
        <v>1.91126E-2</v>
      </c>
      <c r="G35" s="241"/>
      <c r="H35" s="241">
        <v>2.61126E-2</v>
      </c>
      <c r="I35" s="241"/>
      <c r="J35" s="241">
        <v>2.9612599999999999E-2</v>
      </c>
      <c r="K35" s="241"/>
      <c r="L35" s="241">
        <v>3.3112599999999999E-2</v>
      </c>
      <c r="M35" s="241"/>
      <c r="N35" s="241">
        <v>4.3112600000000001E-2</v>
      </c>
      <c r="O35" s="241"/>
      <c r="P35" s="241">
        <v>4.7112599999999998E-2</v>
      </c>
      <c r="Q35" s="241"/>
      <c r="R35" s="241">
        <v>4.7112599999999998E-2</v>
      </c>
      <c r="S35" s="68"/>
      <c r="T35" s="68" t="s">
        <v>83</v>
      </c>
      <c r="U35" s="68"/>
      <c r="V35" s="68" t="s">
        <v>83</v>
      </c>
      <c r="W35" s="68"/>
      <c r="X35" s="68" t="s">
        <v>83</v>
      </c>
      <c r="Y35" s="68" t="s">
        <v>83</v>
      </c>
      <c r="Z35" s="68"/>
      <c r="AA35" s="40"/>
      <c r="AB35" s="67">
        <f>SUMPRODUCT(D35:N35,D30:N30)/AB30</f>
        <v>2.0279098434421668E-2</v>
      </c>
      <c r="AC35" s="43"/>
      <c r="AD35" s="22"/>
    </row>
    <row r="36" spans="1:30" s="23" customFormat="1" x14ac:dyDescent="0.3">
      <c r="A36" s="47"/>
      <c r="B36" s="40" t="s">
        <v>10</v>
      </c>
      <c r="C36" s="69"/>
      <c r="D36" s="241">
        <v>1.7608200000000001E-2</v>
      </c>
      <c r="E36" s="241"/>
      <c r="F36" s="241">
        <v>1.9108199999999999E-2</v>
      </c>
      <c r="G36" s="241"/>
      <c r="H36" s="241">
        <v>2.6108200000000002E-2</v>
      </c>
      <c r="I36" s="241"/>
      <c r="J36" s="241">
        <v>2.9608200000000001E-2</v>
      </c>
      <c r="K36" s="241"/>
      <c r="L36" s="241">
        <v>3.3108199999999997E-2</v>
      </c>
      <c r="M36" s="241"/>
      <c r="N36" s="241">
        <v>4.3108199999999999E-2</v>
      </c>
      <c r="O36" s="241"/>
      <c r="P36" s="241">
        <v>4.7108200000000003E-2</v>
      </c>
      <c r="Q36" s="241"/>
      <c r="R36" s="241">
        <v>4.7108200000000003E-2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0.18978763241339647</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43878</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135</v>
      </c>
      <c r="Y48" s="40"/>
      <c r="Z48" s="76">
        <v>43649</v>
      </c>
      <c r="AA48" s="77"/>
      <c r="AB48" s="76">
        <v>43783</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94</v>
      </c>
      <c r="Y49" s="40"/>
      <c r="Z49" s="76">
        <v>43784</v>
      </c>
      <c r="AA49" s="77"/>
      <c r="AB49" s="76">
        <v>43877</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43877</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308</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556346</v>
      </c>
      <c r="S58" s="238"/>
      <c r="T58" s="237">
        <f>167+260</f>
        <v>427</v>
      </c>
      <c r="U58" s="238"/>
      <c r="V58" s="238">
        <v>32818</v>
      </c>
      <c r="W58" s="238"/>
      <c r="X58" s="238">
        <v>0</v>
      </c>
      <c r="Y58" s="238"/>
      <c r="Z58" s="238">
        <v>0</v>
      </c>
      <c r="AA58" s="238"/>
      <c r="AB58" s="237">
        <f>R58-T58-V58+X58-Z58</f>
        <v>523101</v>
      </c>
      <c r="AC58" s="43"/>
      <c r="AD58" s="22"/>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556346</v>
      </c>
      <c r="S61" s="238"/>
      <c r="T61" s="238">
        <f>T58+T59</f>
        <v>427</v>
      </c>
      <c r="U61" s="238"/>
      <c r="V61" s="238">
        <f>SUM(V58:V60)</f>
        <v>32818</v>
      </c>
      <c r="W61" s="238"/>
      <c r="X61" s="238">
        <f>SUM(X58:X60)</f>
        <v>0</v>
      </c>
      <c r="Y61" s="238"/>
      <c r="Z61" s="238">
        <f>SUM(Z58:Z60)</f>
        <v>0</v>
      </c>
      <c r="AA61" s="238"/>
      <c r="AB61" s="238">
        <f>SUM(AB58:AB60)</f>
        <v>523101</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4</v>
      </c>
      <c r="S64" s="238"/>
      <c r="T64" s="238">
        <v>0</v>
      </c>
      <c r="U64" s="238"/>
      <c r="V64" s="238">
        <v>-4</v>
      </c>
      <c r="W64" s="238"/>
      <c r="X64" s="238"/>
      <c r="Y64" s="238"/>
      <c r="Z64" s="238"/>
      <c r="AA64" s="238"/>
      <c r="AB64" s="238">
        <f>R64+V64</f>
        <v>0</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383</v>
      </c>
      <c r="S65" s="238"/>
      <c r="T65" s="238"/>
      <c r="U65" s="238"/>
      <c r="V65" s="238"/>
      <c r="W65" s="238"/>
      <c r="X65" s="238"/>
      <c r="Y65" s="238"/>
      <c r="Z65" s="238"/>
      <c r="AA65" s="238"/>
      <c r="AB65" s="238">
        <f>+R65+X65</f>
        <v>383</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556733</v>
      </c>
      <c r="S67" s="238"/>
      <c r="T67" s="238"/>
      <c r="U67" s="238"/>
      <c r="V67" s="238"/>
      <c r="W67" s="238"/>
      <c r="X67" s="238"/>
      <c r="Y67" s="238"/>
      <c r="Z67" s="238"/>
      <c r="AA67" s="238"/>
      <c r="AB67" s="238">
        <f>SUM(AB61:AB66)</f>
        <v>523484</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43861</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-V64</f>
        <v>4</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f>-Z72</f>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f>
        <v>33245</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5122+1952-1258-411</f>
        <v>5405</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145+41</f>
        <v>186</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101</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927</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153</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33249</v>
      </c>
      <c r="AA84" s="40"/>
      <c r="AB84" s="97">
        <f>SUM(AB71:AB83)</f>
        <v>6772</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33249</v>
      </c>
      <c r="AA87" s="40"/>
      <c r="AB87" s="97">
        <f>AB84+AB85+AB86</f>
        <v>6772</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-280-30-8</f>
        <v>-318</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-15</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-1458</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-747</v>
      </c>
      <c r="AC94" s="114"/>
      <c r="AD94" s="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-166</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-142</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-171</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0</v>
      </c>
      <c r="AA101" s="112"/>
      <c r="AB101" s="98">
        <v>0</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-750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-18</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-223</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-109</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-927</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-111</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-1615</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0"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0</v>
      </c>
      <c r="AC113" s="114"/>
      <c r="AD113" s="5"/>
    </row>
    <row r="114" spans="1:30"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0</v>
      </c>
      <c r="AC114" s="114"/>
      <c r="AD114" s="5"/>
    </row>
    <row r="115" spans="1:30"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0</v>
      </c>
      <c r="AC115" s="114"/>
      <c r="AD115" s="5"/>
    </row>
    <row r="116" spans="1:30"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0"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0"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0"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0"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-33249</v>
      </c>
      <c r="AA123" s="97"/>
      <c r="AB123" s="98"/>
      <c r="AC123" s="43"/>
      <c r="AD123" s="22"/>
    </row>
    <row r="124" spans="1:30"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0"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-33249</v>
      </c>
      <c r="AA130" s="97"/>
      <c r="AB130" s="97">
        <f>SUM(AB88:AB128)</f>
        <v>-6772</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0</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JANUARY 2020</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+'October 19'!AB146</f>
        <v>8396.5499999999993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0"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-927</v>
      </c>
      <c r="AC145" s="43"/>
      <c r="AD145" s="22"/>
    </row>
    <row r="146" spans="1:30"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7469.5499999999993</v>
      </c>
      <c r="AC146" s="43"/>
      <c r="AD146" s="22"/>
    </row>
    <row r="147" spans="1:30"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0"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0"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0"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+'October 19'!AB159</f>
        <v>579.85500000000002</v>
      </c>
      <c r="AC150" s="43"/>
      <c r="AD150" s="22"/>
    </row>
    <row r="151" spans="1:30"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0"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0"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0"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0"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0"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0"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0"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0"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row>
    <row r="160" spans="1:30"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+'October 19'!AB165</f>
        <v>383</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383</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+'October 19'!AB173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0</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0</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0</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+'October 19'!AB181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+'October 19'!AB190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+'October 19'!AB198</f>
        <v>656</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803</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153</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202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1306</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+'October 19'!AB206</f>
        <v>950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f>650+153</f>
        <v>803</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750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AB203-AB204+AB205</f>
        <v>897</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+'October 19'!Y213</f>
        <v>0</v>
      </c>
      <c r="Z211" s="98">
        <f>+'October 19'!Z213</f>
        <v>5</v>
      </c>
      <c r="AA211" s="40"/>
      <c r="AB211" s="98">
        <f>Y211+Z211</f>
        <v>5</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259</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440485</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440695</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-210</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7.1999999999999998E-3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2.9192743764172335</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2.37</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25.493975903614459</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19.47</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28.633802816901408</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21.68</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22.94736842105263</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17.11</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16.829596412556054</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12.28</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JANUARY 2020</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43861</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0"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2.0008281159907649E-2</v>
      </c>
      <c r="AA241" s="40"/>
      <c r="AB241" s="40"/>
      <c r="AC241" s="43"/>
      <c r="AD241" s="22"/>
    </row>
    <row r="242" spans="1:30"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0"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3.9763993990615594E-2</v>
      </c>
      <c r="AA243" s="40"/>
      <c r="AB243" s="40"/>
      <c r="AC243" s="43"/>
      <c r="AD243" s="22"/>
    </row>
    <row r="244" spans="1:30"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2.0279098434421668E-2</v>
      </c>
      <c r="AA244" s="40"/>
      <c r="AB244" s="40"/>
      <c r="AC244" s="43"/>
      <c r="AD244" s="22"/>
    </row>
    <row r="245" spans="1:30"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1.9484895556193926E-2</v>
      </c>
      <c r="AA245" s="40"/>
      <c r="AB245" s="40"/>
      <c r="AC245" s="43"/>
      <c r="AD245" s="22"/>
    </row>
    <row r="246" spans="1:30"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(+AB87+AB89)/R67</f>
        <v>1.2163819999892229E-2</v>
      </c>
      <c r="AA246" s="40"/>
      <c r="AB246" s="40"/>
      <c r="AC246" s="43"/>
      <c r="AD246" s="22"/>
    </row>
    <row r="247" spans="1:30"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0"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0"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0"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0"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0"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0"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0"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0"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17.8</v>
      </c>
      <c r="AA255" s="40" t="s">
        <v>76</v>
      </c>
      <c r="AB255" s="40"/>
      <c r="AC255" s="43"/>
      <c r="AD255" s="22"/>
    </row>
    <row r="256" spans="1:30"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5.971444121329255E-2</v>
      </c>
      <c r="AA256" s="40"/>
      <c r="AB256" s="40"/>
      <c r="AC256" s="43"/>
      <c r="AD256" s="22"/>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0.23619999999999999</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0</v>
      </c>
      <c r="Z260" s="157">
        <v>0</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0</v>
      </c>
      <c r="Z261" s="162">
        <f>+Z313</f>
        <v>0</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+X325</f>
        <v>0</v>
      </c>
      <c r="Z262" s="162">
        <f>+Z325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0</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+'October 19'!Z267+Z266</f>
        <v>0</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0</v>
      </c>
      <c r="Z273" s="162">
        <v>0</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0</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182"/>
      <c r="Q277" s="182"/>
      <c r="R277" s="182"/>
      <c r="S277" s="182"/>
      <c r="T277" s="182"/>
      <c r="U277" s="182"/>
      <c r="V277" s="182"/>
      <c r="W277" s="59"/>
      <c r="X277" s="183" t="s">
        <v>167</v>
      </c>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+X292+X304+X316</f>
        <v>2996</v>
      </c>
      <c r="Y280" s="192">
        <f>X280/$X$289</f>
        <v>0.99899966655551853</v>
      </c>
      <c r="Z280" s="107">
        <f>+Z292+Z304+Z316</f>
        <v>522442</v>
      </c>
      <c r="AA280" s="192">
        <f t="shared" ref="AA280:AA287" si="1">Z280/$Z$289</f>
        <v>0.99874020504644423</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+X293+X305+X317</f>
        <v>2</v>
      </c>
      <c r="Y281" s="196">
        <f t="shared" ref="Y281:Y287" si="2">X281/$X$289</f>
        <v>6.6688896298766251E-4</v>
      </c>
      <c r="Z281" s="197">
        <f>+Z293+Z305+Z317</f>
        <v>364</v>
      </c>
      <c r="AA281" s="198">
        <f t="shared" si="1"/>
        <v>6.9585032336011595E-4</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ref="X282:X286" si="3">+X294+X306+X318</f>
        <v>1</v>
      </c>
      <c r="Y282" s="200">
        <f t="shared" si="2"/>
        <v>3.3344448149383126E-4</v>
      </c>
      <c r="Z282" s="131">
        <f t="shared" ref="Z282:Z286" si="4">+Z294+Z306+Z318</f>
        <v>295</v>
      </c>
      <c r="AA282" s="198">
        <f t="shared" si="1"/>
        <v>5.6394463019569839E-4</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3"/>
        <v>0</v>
      </c>
      <c r="Y283" s="200">
        <f t="shared" si="2"/>
        <v>0</v>
      </c>
      <c r="Z283" s="131">
        <f t="shared" si="4"/>
        <v>0</v>
      </c>
      <c r="AA283" s="198">
        <f t="shared" si="1"/>
        <v>0</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3"/>
        <v>0</v>
      </c>
      <c r="Y284" s="200">
        <f t="shared" si="2"/>
        <v>0</v>
      </c>
      <c r="Z284" s="131">
        <f t="shared" si="4"/>
        <v>0</v>
      </c>
      <c r="AA284" s="198">
        <f t="shared" si="1"/>
        <v>0</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+X297+X309+X321</f>
        <v>0</v>
      </c>
      <c r="Y285" s="200">
        <f t="shared" si="2"/>
        <v>0</v>
      </c>
      <c r="Z285" s="131">
        <f t="shared" si="4"/>
        <v>0</v>
      </c>
      <c r="AA285" s="198">
        <f t="shared" si="1"/>
        <v>0</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3"/>
        <v>0</v>
      </c>
      <c r="Y286" s="202">
        <f t="shared" si="2"/>
        <v>0</v>
      </c>
      <c r="Z286" s="203">
        <f t="shared" si="4"/>
        <v>0</v>
      </c>
      <c r="AA286" s="198">
        <f t="shared" si="1"/>
        <v>0</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+X299+X311+X323</f>
        <v>0</v>
      </c>
      <c r="Y287" s="198">
        <f t="shared" si="2"/>
        <v>0</v>
      </c>
      <c r="Z287" s="107">
        <f>+Z299+Z311+Z323</f>
        <v>0</v>
      </c>
      <c r="AA287" s="198">
        <f t="shared" si="1"/>
        <v>0</v>
      </c>
      <c r="AB287" s="163"/>
      <c r="AC287" s="175"/>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2999</v>
      </c>
      <c r="Y289" s="198">
        <f>SUM(Y280:Y288)</f>
        <v>1</v>
      </c>
      <c r="Z289" s="98">
        <f>SUM(Z280:Z288)</f>
        <v>523101</v>
      </c>
      <c r="AA289" s="198">
        <f>SUM(AA280:AA288)</f>
        <v>1</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2996</v>
      </c>
      <c r="Y292" s="192">
        <f>X292/$X$301</f>
        <v>0.99899966655551853</v>
      </c>
      <c r="Z292" s="107">
        <v>522442</v>
      </c>
      <c r="AA292" s="192">
        <f>Z292/$Z$301</f>
        <v>0.99874020504644423</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2</v>
      </c>
      <c r="Y293" s="198">
        <f t="shared" ref="Y293:Y299" si="5">X293/$X$301</f>
        <v>6.6688896298766251E-4</v>
      </c>
      <c r="Z293" s="98">
        <v>364</v>
      </c>
      <c r="AA293" s="198">
        <f t="shared" ref="AA293:AA299" si="6">Z293/$Z$301</f>
        <v>6.9585032336011595E-4</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1</v>
      </c>
      <c r="Y294" s="198">
        <f t="shared" si="5"/>
        <v>3.3344448149383126E-4</v>
      </c>
      <c r="Z294" s="98">
        <v>295</v>
      </c>
      <c r="AA294" s="198">
        <f t="shared" si="6"/>
        <v>5.6394463019569839E-4</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0</v>
      </c>
      <c r="Y295" s="198">
        <f t="shared" si="5"/>
        <v>0</v>
      </c>
      <c r="Z295" s="98">
        <v>0</v>
      </c>
      <c r="AA295" s="198">
        <f t="shared" si="6"/>
        <v>0</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0</v>
      </c>
      <c r="Y297" s="198">
        <f t="shared" si="5"/>
        <v>0</v>
      </c>
      <c r="Z297" s="98">
        <v>0</v>
      </c>
      <c r="AA297" s="198">
        <f t="shared" si="6"/>
        <v>0</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0</v>
      </c>
      <c r="Y298" s="198">
        <f>X298/$X$301</f>
        <v>0</v>
      </c>
      <c r="Z298" s="98">
        <v>0</v>
      </c>
      <c r="AA298" s="198">
        <f t="shared" si="6"/>
        <v>0</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0</v>
      </c>
      <c r="Y299" s="198">
        <f t="shared" si="5"/>
        <v>0</v>
      </c>
      <c r="Z299" s="98">
        <v>0</v>
      </c>
      <c r="AA299" s="198">
        <f t="shared" si="6"/>
        <v>0</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2999</v>
      </c>
      <c r="Y301" s="198">
        <f>SUM(Y292:Y300)</f>
        <v>1</v>
      </c>
      <c r="Z301" s="98">
        <f>SUM(Z292:Z300)</f>
        <v>523101</v>
      </c>
      <c r="AA301" s="198">
        <f>SUM(AA292:AA300)</f>
        <v>1</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v>0</v>
      </c>
      <c r="Z310" s="98">
        <v>0</v>
      </c>
      <c r="AA310" s="198">
        <v>0</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0</v>
      </c>
      <c r="Y313" s="198">
        <f>SUM(Y304:Y312)</f>
        <v>0</v>
      </c>
      <c r="Z313" s="98">
        <f>SUM(Z304:Z312)</f>
        <v>0</v>
      </c>
      <c r="AA313" s="198">
        <f>SUM(AA304:AA312)</f>
        <v>0</v>
      </c>
      <c r="AB313" s="40"/>
      <c r="AC313" s="43"/>
      <c r="AD313" s="22"/>
    </row>
    <row r="314" spans="1:30" x14ac:dyDescent="0.3">
      <c r="A314" s="7"/>
      <c r="B314" s="99"/>
      <c r="C314" s="99"/>
      <c r="D314" s="205"/>
      <c r="E314" s="205"/>
      <c r="F314" s="205"/>
      <c r="G314" s="205"/>
      <c r="H314" s="205"/>
      <c r="I314" s="205"/>
      <c r="J314" s="205"/>
      <c r="K314" s="205"/>
      <c r="L314" s="205"/>
      <c r="M314" s="205"/>
      <c r="N314" s="205"/>
      <c r="O314" s="205"/>
      <c r="P314" s="205"/>
      <c r="Q314" s="205"/>
      <c r="R314" s="205"/>
      <c r="S314" s="205"/>
      <c r="T314" s="205"/>
      <c r="U314" s="205"/>
      <c r="V314" s="205"/>
      <c r="W314" s="205"/>
      <c r="X314" s="100"/>
      <c r="Y314" s="206"/>
      <c r="Z314" s="207"/>
      <c r="AA314" s="206"/>
      <c r="AB314" s="99"/>
      <c r="AC314" s="10"/>
      <c r="AD314" s="5"/>
    </row>
    <row r="315" spans="1:30" x14ac:dyDescent="0.3">
      <c r="A315" s="33"/>
      <c r="B315" s="102" t="s">
        <v>106</v>
      </c>
      <c r="C315" s="34"/>
      <c r="D315" s="208"/>
      <c r="E315" s="208"/>
      <c r="F315" s="208"/>
      <c r="G315" s="208"/>
      <c r="H315" s="208"/>
      <c r="I315" s="208"/>
      <c r="J315" s="208"/>
      <c r="K315" s="208"/>
      <c r="L315" s="208"/>
      <c r="M315" s="208"/>
      <c r="N315" s="208"/>
      <c r="O315" s="208"/>
      <c r="P315" s="208"/>
      <c r="Q315" s="208"/>
      <c r="R315" s="208"/>
      <c r="S315" s="208"/>
      <c r="T315" s="208"/>
      <c r="U315" s="208"/>
      <c r="V315" s="208"/>
      <c r="W315" s="208"/>
      <c r="X315" s="154" t="s">
        <v>69</v>
      </c>
      <c r="Y315" s="103" t="s">
        <v>70</v>
      </c>
      <c r="Z315" s="154" t="s">
        <v>75</v>
      </c>
      <c r="AA315" s="103" t="s">
        <v>70</v>
      </c>
      <c r="AB315" s="34"/>
      <c r="AC315" s="36"/>
      <c r="AD315" s="5"/>
    </row>
    <row r="316" spans="1:30" s="23" customFormat="1" x14ac:dyDescent="0.3">
      <c r="A316" s="18"/>
      <c r="B316" s="106" t="s">
        <v>59</v>
      </c>
      <c r="C316" s="37"/>
      <c r="D316" s="209"/>
      <c r="E316" s="209"/>
      <c r="F316" s="209"/>
      <c r="G316" s="209"/>
      <c r="H316" s="209"/>
      <c r="I316" s="209"/>
      <c r="J316" s="209"/>
      <c r="K316" s="209"/>
      <c r="L316" s="209"/>
      <c r="M316" s="209"/>
      <c r="N316" s="209"/>
      <c r="O316" s="209"/>
      <c r="P316" s="209"/>
      <c r="Q316" s="209"/>
      <c r="R316" s="209"/>
      <c r="S316" s="209"/>
      <c r="T316" s="209"/>
      <c r="U316" s="209"/>
      <c r="V316" s="209"/>
      <c r="W316" s="209"/>
      <c r="X316" s="106">
        <v>0</v>
      </c>
      <c r="Y316" s="192">
        <v>0</v>
      </c>
      <c r="Z316" s="107">
        <v>0</v>
      </c>
      <c r="AA316" s="192">
        <v>0</v>
      </c>
      <c r="AB316" s="37"/>
      <c r="AC316" s="21"/>
      <c r="AD316" s="22"/>
    </row>
    <row r="317" spans="1:30" s="23" customFormat="1" x14ac:dyDescent="0.3">
      <c r="A317" s="47"/>
      <c r="B317" s="97" t="s">
        <v>60</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97">
        <v>0</v>
      </c>
      <c r="Y317" s="198">
        <v>0</v>
      </c>
      <c r="Z317" s="98">
        <v>0</v>
      </c>
      <c r="AA317" s="198">
        <v>0</v>
      </c>
      <c r="AB317" s="40"/>
      <c r="AC317" s="43"/>
      <c r="AD317" s="22"/>
    </row>
    <row r="318" spans="1:30" s="23" customFormat="1" x14ac:dyDescent="0.3">
      <c r="A318" s="47"/>
      <c r="B318" s="97" t="s">
        <v>61</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97">
        <v>0</v>
      </c>
      <c r="Y318" s="198">
        <v>0</v>
      </c>
      <c r="Z318" s="98">
        <v>0</v>
      </c>
      <c r="AA318" s="198">
        <v>0</v>
      </c>
      <c r="AB318" s="40"/>
      <c r="AC318" s="43"/>
      <c r="AD318" s="22"/>
    </row>
    <row r="319" spans="1:30" s="23" customFormat="1" x14ac:dyDescent="0.3">
      <c r="A319" s="47"/>
      <c r="B319" s="97" t="s">
        <v>100</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97">
        <v>0</v>
      </c>
      <c r="Y319" s="198">
        <v>0</v>
      </c>
      <c r="Z319" s="98">
        <v>0</v>
      </c>
      <c r="AA319" s="198">
        <v>0</v>
      </c>
      <c r="AB319" s="40"/>
      <c r="AC319" s="43"/>
      <c r="AD319" s="22"/>
    </row>
    <row r="320" spans="1:30" s="23" customFormat="1" x14ac:dyDescent="0.3">
      <c r="A320" s="47"/>
      <c r="B320" s="97" t="s">
        <v>101</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97">
        <v>0</v>
      </c>
      <c r="Y320" s="198">
        <v>0</v>
      </c>
      <c r="Z320" s="98">
        <v>0</v>
      </c>
      <c r="AA320" s="198">
        <v>0</v>
      </c>
      <c r="AB320" s="40"/>
      <c r="AC320" s="43"/>
      <c r="AD320" s="22"/>
    </row>
    <row r="321" spans="1:30" s="23" customFormat="1" x14ac:dyDescent="0.3">
      <c r="A321" s="47"/>
      <c r="B321" s="97" t="s">
        <v>102</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97">
        <v>0</v>
      </c>
      <c r="Y321" s="198">
        <v>0</v>
      </c>
      <c r="Z321" s="98">
        <v>0</v>
      </c>
      <c r="AA321" s="198">
        <v>0</v>
      </c>
      <c r="AB321" s="40"/>
      <c r="AC321" s="43"/>
      <c r="AD321" s="22"/>
    </row>
    <row r="322" spans="1:30" s="23" customFormat="1" x14ac:dyDescent="0.3">
      <c r="A322" s="47"/>
      <c r="B322" s="97" t="s">
        <v>103</v>
      </c>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97">
        <v>0</v>
      </c>
      <c r="Y322" s="198">
        <v>0</v>
      </c>
      <c r="Z322" s="98">
        <v>0</v>
      </c>
      <c r="AA322" s="198">
        <v>0</v>
      </c>
      <c r="AB322" s="40"/>
      <c r="AC322" s="43"/>
      <c r="AD322" s="22"/>
    </row>
    <row r="323" spans="1:30" s="23" customFormat="1" x14ac:dyDescent="0.3">
      <c r="A323" s="47"/>
      <c r="B323" s="97" t="s">
        <v>104</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97">
        <v>0</v>
      </c>
      <c r="Y323" s="198">
        <v>0</v>
      </c>
      <c r="Z323" s="98">
        <v>0</v>
      </c>
      <c r="AA323" s="198">
        <v>0</v>
      </c>
      <c r="AB323" s="40"/>
      <c r="AC323" s="43"/>
      <c r="AD323" s="22"/>
    </row>
    <row r="324" spans="1:30" s="23" customFormat="1" x14ac:dyDescent="0.3">
      <c r="A324" s="47"/>
      <c r="B324" s="97"/>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97"/>
      <c r="Y324" s="198"/>
      <c r="Z324" s="98"/>
      <c r="AA324" s="198"/>
      <c r="AB324" s="40"/>
      <c r="AC324" s="43"/>
      <c r="AD324" s="22"/>
    </row>
    <row r="325" spans="1:30" s="23" customFormat="1" x14ac:dyDescent="0.3">
      <c r="A325" s="47"/>
      <c r="B325" s="40" t="s">
        <v>80</v>
      </c>
      <c r="C325" s="40"/>
      <c r="D325" s="204"/>
      <c r="E325" s="204"/>
      <c r="F325" s="204"/>
      <c r="G325" s="204"/>
      <c r="H325" s="204"/>
      <c r="I325" s="204"/>
      <c r="J325" s="204"/>
      <c r="K325" s="204"/>
      <c r="L325" s="204"/>
      <c r="M325" s="204"/>
      <c r="N325" s="204"/>
      <c r="O325" s="204"/>
      <c r="P325" s="204"/>
      <c r="Q325" s="204"/>
      <c r="R325" s="204"/>
      <c r="S325" s="204"/>
      <c r="T325" s="204"/>
      <c r="U325" s="204"/>
      <c r="V325" s="204"/>
      <c r="W325" s="204"/>
      <c r="X325" s="97">
        <f>SUM(X316:X323)</f>
        <v>0</v>
      </c>
      <c r="Y325" s="198">
        <f>SUM(Y316:Y323)</f>
        <v>0</v>
      </c>
      <c r="Z325" s="98">
        <f>SUM(Z316:Z323)</f>
        <v>0</v>
      </c>
      <c r="AA325" s="198">
        <f>SUM(AA316:AA323)</f>
        <v>0</v>
      </c>
      <c r="AB325" s="40"/>
      <c r="AC325" s="43"/>
      <c r="AD325" s="22"/>
    </row>
    <row r="326" spans="1:30" s="23" customFormat="1" x14ac:dyDescent="0.3">
      <c r="A326" s="47"/>
      <c r="B326" s="40"/>
      <c r="C326" s="40"/>
      <c r="D326" s="204"/>
      <c r="E326" s="204"/>
      <c r="F326" s="204"/>
      <c r="G326" s="204"/>
      <c r="H326" s="204"/>
      <c r="I326" s="204"/>
      <c r="J326" s="204"/>
      <c r="K326" s="204"/>
      <c r="L326" s="204"/>
      <c r="M326" s="204"/>
      <c r="N326" s="204"/>
      <c r="O326" s="204"/>
      <c r="P326" s="204"/>
      <c r="Q326" s="204"/>
      <c r="R326" s="204"/>
      <c r="S326" s="204"/>
      <c r="T326" s="204"/>
      <c r="U326" s="204"/>
      <c r="V326" s="204"/>
      <c r="W326" s="204"/>
      <c r="X326" s="97"/>
      <c r="Y326" s="198"/>
      <c r="Z326" s="98"/>
      <c r="AA326" s="198"/>
      <c r="AB326" s="40"/>
      <c r="AC326" s="43"/>
      <c r="AD326" s="22"/>
    </row>
    <row r="327" spans="1:30" s="23" customFormat="1" x14ac:dyDescent="0.3">
      <c r="A327" s="47"/>
      <c r="B327" s="44" t="s">
        <v>139</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210">
        <f>X325+X313+X301</f>
        <v>2999</v>
      </c>
      <c r="Y327" s="198"/>
      <c r="Z327" s="211">
        <f>+Z325+Z313+Z301</f>
        <v>523101</v>
      </c>
      <c r="AA327" s="198"/>
      <c r="AB327" s="40"/>
      <c r="AC327" s="43"/>
      <c r="AD327" s="22"/>
    </row>
    <row r="328" spans="1:30" s="23" customFormat="1" x14ac:dyDescent="0.3">
      <c r="A328" s="47"/>
      <c r="B328" s="44" t="s">
        <v>304</v>
      </c>
      <c r="C328" s="44"/>
      <c r="D328" s="212"/>
      <c r="E328" s="212"/>
      <c r="F328" s="212"/>
      <c r="G328" s="212"/>
      <c r="H328" s="212"/>
      <c r="I328" s="212"/>
      <c r="J328" s="212"/>
      <c r="K328" s="212"/>
      <c r="L328" s="212"/>
      <c r="M328" s="212"/>
      <c r="N328" s="212"/>
      <c r="O328" s="212"/>
      <c r="P328" s="212"/>
      <c r="Q328" s="212"/>
      <c r="R328" s="212"/>
      <c r="S328" s="212"/>
      <c r="T328" s="212"/>
      <c r="U328" s="212"/>
      <c r="V328" s="212"/>
      <c r="W328" s="212"/>
      <c r="X328" s="210"/>
      <c r="Y328" s="213"/>
      <c r="Z328" s="211">
        <f>+AB65+AB64</f>
        <v>383</v>
      </c>
      <c r="AA328" s="198"/>
      <c r="AB328" s="40"/>
      <c r="AC328" s="43"/>
      <c r="AD328" s="22"/>
    </row>
    <row r="329" spans="1:30" s="23" customFormat="1" x14ac:dyDescent="0.3">
      <c r="A329" s="47"/>
      <c r="B329" s="44" t="s">
        <v>107</v>
      </c>
      <c r="C329" s="44"/>
      <c r="D329" s="212"/>
      <c r="E329" s="212"/>
      <c r="F329" s="212"/>
      <c r="G329" s="212"/>
      <c r="H329" s="212"/>
      <c r="I329" s="212"/>
      <c r="J329" s="212"/>
      <c r="K329" s="212"/>
      <c r="L329" s="212"/>
      <c r="M329" s="212"/>
      <c r="N329" s="212"/>
      <c r="O329" s="212"/>
      <c r="P329" s="212"/>
      <c r="Q329" s="212"/>
      <c r="R329" s="212"/>
      <c r="S329" s="212"/>
      <c r="T329" s="212"/>
      <c r="U329" s="212"/>
      <c r="V329" s="212"/>
      <c r="W329" s="212"/>
      <c r="X329" s="210"/>
      <c r="Y329" s="213"/>
      <c r="Z329" s="211">
        <f>+Z327+Z328</f>
        <v>523484</v>
      </c>
      <c r="AA329" s="198"/>
      <c r="AB329" s="40"/>
      <c r="AC329" s="43"/>
      <c r="AD329" s="22"/>
    </row>
    <row r="330" spans="1:30" s="23" customFormat="1" x14ac:dyDescent="0.3">
      <c r="A330" s="47"/>
      <c r="B330" s="44" t="s">
        <v>237</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210"/>
      <c r="Y330" s="198"/>
      <c r="Z330" s="211">
        <f>+AB67</f>
        <v>523484</v>
      </c>
      <c r="AA330" s="198"/>
      <c r="AB330" s="40"/>
      <c r="AC330" s="43"/>
      <c r="AD330" s="22"/>
    </row>
    <row r="331" spans="1:30" s="23" customFormat="1" x14ac:dyDescent="0.3">
      <c r="A331" s="47"/>
      <c r="B331" s="44"/>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210"/>
      <c r="Y331" s="198"/>
      <c r="Z331" s="211"/>
      <c r="AA331" s="198"/>
      <c r="AB331" s="40"/>
      <c r="AC331" s="43"/>
      <c r="AD331" s="22"/>
    </row>
    <row r="332" spans="1:30" s="23" customFormat="1" x14ac:dyDescent="0.3">
      <c r="A332" s="47"/>
      <c r="B332" s="44" t="s">
        <v>305</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210"/>
      <c r="Y332" s="198"/>
      <c r="Z332" s="236">
        <f>(D31*0.05+F31+H31+J31+L31+N31)/AB31</f>
        <v>0.47654740696431841</v>
      </c>
      <c r="AA332" s="198"/>
      <c r="AB332" s="40"/>
      <c r="AC332" s="43"/>
      <c r="AD332" s="22"/>
    </row>
    <row r="333" spans="1:30" s="23" customFormat="1" x14ac:dyDescent="0.3">
      <c r="A333" s="18"/>
      <c r="B333" s="20"/>
      <c r="C333" s="20"/>
      <c r="D333" s="214"/>
      <c r="E333" s="214"/>
      <c r="F333" s="214"/>
      <c r="G333" s="214"/>
      <c r="H333" s="214"/>
      <c r="I333" s="214"/>
      <c r="J333" s="214"/>
      <c r="K333" s="214"/>
      <c r="L333" s="214"/>
      <c r="M333" s="214"/>
      <c r="N333" s="214"/>
      <c r="O333" s="214"/>
      <c r="P333" s="214"/>
      <c r="Q333" s="214"/>
      <c r="R333" s="214"/>
      <c r="S333" s="214"/>
      <c r="T333" s="214"/>
      <c r="U333" s="214"/>
      <c r="V333" s="214"/>
      <c r="W333" s="214"/>
      <c r="X333" s="214"/>
      <c r="Y333" s="214"/>
      <c r="Z333" s="215"/>
      <c r="AA333" s="214"/>
      <c r="AB333" s="20"/>
      <c r="AC333" s="21"/>
      <c r="AD333" s="22"/>
    </row>
    <row r="334" spans="1:30" s="23" customFormat="1" x14ac:dyDescent="0.3">
      <c r="A334" s="18"/>
      <c r="B334" s="19" t="s">
        <v>62</v>
      </c>
      <c r="C334" s="20"/>
      <c r="D334" s="216" t="s">
        <v>66</v>
      </c>
      <c r="E334" s="19"/>
      <c r="F334" s="19" t="s">
        <v>67</v>
      </c>
      <c r="G334" s="20"/>
      <c r="H334" s="19"/>
      <c r="I334" s="20"/>
      <c r="J334" s="20"/>
      <c r="K334" s="20"/>
      <c r="L334" s="20"/>
      <c r="M334" s="20"/>
      <c r="N334" s="20"/>
      <c r="O334" s="20"/>
      <c r="P334" s="20"/>
      <c r="Q334" s="20"/>
      <c r="R334" s="20"/>
      <c r="S334" s="20"/>
      <c r="T334" s="20"/>
      <c r="U334" s="20"/>
      <c r="V334" s="20"/>
      <c r="W334" s="20"/>
      <c r="X334" s="20"/>
      <c r="Y334" s="20"/>
      <c r="Z334" s="20"/>
      <c r="AA334" s="20"/>
      <c r="AB334" s="20"/>
      <c r="AC334" s="21"/>
      <c r="AD334" s="22"/>
    </row>
    <row r="335" spans="1:30" s="23" customFormat="1" x14ac:dyDescent="0.3">
      <c r="A335" s="18"/>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1"/>
      <c r="AD335" s="22"/>
    </row>
    <row r="336" spans="1:30" s="23" customFormat="1" x14ac:dyDescent="0.3">
      <c r="A336" s="18"/>
      <c r="B336" s="19" t="s">
        <v>152</v>
      </c>
      <c r="C336" s="19"/>
      <c r="D336" s="217" t="s">
        <v>122</v>
      </c>
      <c r="E336" s="19"/>
      <c r="F336" s="19" t="s">
        <v>168</v>
      </c>
      <c r="G336" s="19"/>
      <c r="H336" s="19"/>
      <c r="I336" s="20"/>
      <c r="J336" s="20"/>
      <c r="K336" s="20"/>
      <c r="L336" s="20"/>
      <c r="M336" s="20"/>
      <c r="N336" s="20"/>
      <c r="O336" s="20"/>
      <c r="P336" s="20"/>
      <c r="Q336" s="20"/>
      <c r="R336" s="20"/>
      <c r="S336" s="20"/>
      <c r="T336" s="20"/>
      <c r="U336" s="20"/>
      <c r="V336" s="20"/>
      <c r="W336" s="20"/>
      <c r="X336" s="20"/>
      <c r="Y336" s="20"/>
      <c r="Z336" s="20"/>
      <c r="AA336" s="20"/>
      <c r="AB336" s="20"/>
      <c r="AC336" s="21"/>
      <c r="AD336" s="22"/>
    </row>
    <row r="337" spans="1:30" s="23" customFormat="1" x14ac:dyDescent="0.3">
      <c r="A337" s="18"/>
      <c r="B337" s="19" t="s">
        <v>153</v>
      </c>
      <c r="C337" s="19"/>
      <c r="D337" s="217" t="s">
        <v>98</v>
      </c>
      <c r="E337" s="19"/>
      <c r="F337" s="19" t="s">
        <v>169</v>
      </c>
      <c r="G337" s="19"/>
      <c r="H337" s="19"/>
      <c r="I337" s="20"/>
      <c r="J337" s="20"/>
      <c r="K337" s="20"/>
      <c r="L337" s="20"/>
      <c r="M337" s="20"/>
      <c r="N337" s="20"/>
      <c r="O337" s="20"/>
      <c r="P337" s="20"/>
      <c r="Q337" s="20"/>
      <c r="R337" s="20"/>
      <c r="S337" s="20"/>
      <c r="T337" s="20"/>
      <c r="U337" s="20"/>
      <c r="V337" s="20"/>
      <c r="W337" s="20"/>
      <c r="X337" s="20"/>
      <c r="Y337" s="20"/>
      <c r="Z337" s="20"/>
      <c r="AA337" s="20"/>
      <c r="AB337" s="20"/>
      <c r="AC337" s="21"/>
      <c r="AD337" s="22"/>
    </row>
    <row r="338" spans="1:30" x14ac:dyDescent="0.3">
      <c r="A338" s="218"/>
      <c r="B338" s="219"/>
      <c r="C338" s="219"/>
      <c r="D338" s="220"/>
      <c r="E338" s="220"/>
      <c r="F338" s="220"/>
      <c r="G338" s="220"/>
      <c r="H338" s="220"/>
      <c r="I338" s="220"/>
      <c r="J338" s="220"/>
      <c r="K338" s="220"/>
      <c r="L338" s="220"/>
      <c r="M338" s="220"/>
      <c r="N338" s="220"/>
      <c r="O338" s="220"/>
      <c r="P338" s="220"/>
      <c r="Q338" s="220"/>
      <c r="R338" s="220"/>
      <c r="S338" s="220"/>
      <c r="T338" s="220"/>
      <c r="U338" s="220"/>
      <c r="V338" s="220"/>
      <c r="W338" s="220"/>
      <c r="X338" s="220"/>
      <c r="Y338" s="220"/>
      <c r="Z338" s="220"/>
      <c r="AA338" s="220"/>
      <c r="AB338" s="220"/>
      <c r="AC338" s="221"/>
      <c r="AD338" s="5"/>
    </row>
    <row r="339" spans="1:30" x14ac:dyDescent="0.3">
      <c r="A339" s="218"/>
      <c r="B339" s="219"/>
      <c r="C339" s="219"/>
      <c r="D339" s="220"/>
      <c r="E339" s="220"/>
      <c r="F339" s="220"/>
      <c r="G339" s="220"/>
      <c r="H339" s="220"/>
      <c r="I339" s="220"/>
      <c r="J339" s="220"/>
      <c r="K339" s="220"/>
      <c r="L339" s="220"/>
      <c r="M339" s="220"/>
      <c r="N339" s="220"/>
      <c r="O339" s="220"/>
      <c r="P339" s="220"/>
      <c r="Q339" s="220"/>
      <c r="R339" s="220"/>
      <c r="S339" s="220"/>
      <c r="T339" s="220"/>
      <c r="U339" s="220"/>
      <c r="V339" s="220"/>
      <c r="W339" s="220"/>
      <c r="X339" s="220"/>
      <c r="Y339" s="220"/>
      <c r="Z339" s="220"/>
      <c r="AA339" s="220"/>
      <c r="AB339" s="220"/>
      <c r="AC339" s="221"/>
      <c r="AD339" s="5"/>
    </row>
    <row r="340" spans="1:30" ht="18.600000000000001" thickBot="1" x14ac:dyDescent="0.4">
      <c r="A340" s="218"/>
      <c r="B340" s="222" t="str">
        <f>B237</f>
        <v>PM26 INVESTOR REPORT QUARTER ENDING JANUARY 2020</v>
      </c>
      <c r="C340" s="219"/>
      <c r="D340" s="220"/>
      <c r="E340" s="220"/>
      <c r="F340" s="220"/>
      <c r="G340" s="220"/>
      <c r="H340" s="220"/>
      <c r="I340" s="220"/>
      <c r="J340" s="220"/>
      <c r="K340" s="220"/>
      <c r="L340" s="220"/>
      <c r="M340" s="220"/>
      <c r="N340" s="220"/>
      <c r="O340" s="220"/>
      <c r="P340" s="220"/>
      <c r="Q340" s="220"/>
      <c r="R340" s="220"/>
      <c r="S340" s="220"/>
      <c r="T340" s="220"/>
      <c r="U340" s="220"/>
      <c r="V340" s="220"/>
      <c r="W340" s="220"/>
      <c r="X340" s="220"/>
      <c r="Y340" s="220"/>
      <c r="Z340" s="220"/>
      <c r="AA340" s="220"/>
      <c r="AB340" s="220"/>
      <c r="AC340" s="223"/>
      <c r="AD340" s="5"/>
    </row>
    <row r="341" spans="1:30" x14ac:dyDescent="0.3">
      <c r="A341" s="224"/>
      <c r="B341" s="224"/>
      <c r="C341" s="224"/>
      <c r="D341" s="224"/>
      <c r="E341" s="224"/>
      <c r="F341" s="224"/>
      <c r="G341" s="224"/>
      <c r="H341" s="224"/>
      <c r="I341" s="224"/>
      <c r="J341" s="224"/>
      <c r="K341" s="224"/>
      <c r="L341" s="224"/>
      <c r="M341" s="224"/>
      <c r="N341" s="224"/>
      <c r="O341" s="224"/>
      <c r="P341" s="224"/>
      <c r="Q341" s="224"/>
      <c r="R341" s="224"/>
      <c r="S341" s="224"/>
      <c r="T341" s="224"/>
      <c r="U341" s="224"/>
      <c r="V341" s="224"/>
      <c r="W341" s="224"/>
      <c r="X341" s="224"/>
      <c r="Y341" s="224"/>
      <c r="Z341" s="224"/>
      <c r="AA341" s="224"/>
      <c r="AB341" s="224"/>
      <c r="AC341" s="224"/>
    </row>
    <row r="342" spans="1:30" x14ac:dyDescent="0.3">
      <c r="B342" s="6" t="s">
        <v>307</v>
      </c>
    </row>
  </sheetData>
  <hyperlinks>
    <hyperlink ref="X277" r:id="rId1" display="http://www.paragon-group.co.uk" xr:uid="{BF15D258-7907-43CB-9E4D-BFAC64D0BC2B}"/>
    <hyperlink ref="K9" r:id="rId2" display="http://www.paragon-group.co.uk" xr:uid="{B93DD272-DE3E-44AF-A6C3-CD4B2D00B6EE}"/>
  </hyperlinks>
  <printOptions horizontalCentered="1" verticalCentered="1"/>
  <pageMargins left="0.19685039370078741" right="0.19685039370078741" top="0.27559055118110237" bottom="0.27559055118110237" header="0" footer="0"/>
  <pageSetup scale="33" orientation="landscape" r:id="rId3"/>
  <headerFooter alignWithMargins="0"/>
  <rowBreaks count="3" manualBreakCount="3">
    <brk id="54" max="18" man="1"/>
    <brk id="134" max="18" man="1"/>
    <brk id="237" max="18" man="1"/>
  </rowBreaks>
  <colBreaks count="1" manualBreakCount="1">
    <brk id="29" max="299" man="1"/>
  </col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244E9-ED8F-47AF-8D09-0861D784C18A}">
  <sheetPr>
    <tabColor rgb="FF89CB31"/>
  </sheetPr>
  <dimension ref="A1:JB381"/>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0.25080000000000002</v>
      </c>
      <c r="Z17" s="29" t="s">
        <v>258</v>
      </c>
      <c r="AA17" s="29">
        <v>0.74919999999999998</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43977</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215</v>
      </c>
      <c r="I27" s="229"/>
      <c r="J27" s="229" t="s">
        <v>269</v>
      </c>
      <c r="K27" s="229"/>
      <c r="L27" s="229" t="s">
        <v>270</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288441.25134999998</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8049.4981500000004</v>
      </c>
      <c r="Q30" s="54"/>
      <c r="R30" s="54">
        <f>+'January 20'!R31</f>
        <v>7541</v>
      </c>
      <c r="S30" s="54"/>
      <c r="T30" s="54" t="s">
        <v>83</v>
      </c>
      <c r="U30" s="54"/>
      <c r="V30" s="54" t="s">
        <v>83</v>
      </c>
      <c r="W30" s="54"/>
      <c r="X30" s="54" t="s">
        <v>83</v>
      </c>
      <c r="Y30" s="54" t="s">
        <v>83</v>
      </c>
      <c r="Z30" s="54"/>
      <c r="AA30" s="49"/>
      <c r="AB30" s="50">
        <f>SUM(D30:N30)</f>
        <v>523484.25134999998</v>
      </c>
      <c r="AC30" s="51"/>
      <c r="AD30" s="22"/>
    </row>
    <row r="31" spans="1:33" s="23" customFormat="1" x14ac:dyDescent="0.3">
      <c r="A31" s="47"/>
      <c r="B31" s="44" t="s">
        <v>92</v>
      </c>
      <c r="C31" s="49"/>
      <c r="D31" s="57">
        <f>D29*D32</f>
        <v>264714.78691999998</v>
      </c>
      <c r="E31" s="57"/>
      <c r="F31" s="57">
        <f>F29</f>
        <v>151540</v>
      </c>
      <c r="G31" s="57"/>
      <c r="H31" s="57">
        <f>H29</f>
        <v>24741</v>
      </c>
      <c r="I31" s="57"/>
      <c r="J31" s="57">
        <f>J29</f>
        <v>18555</v>
      </c>
      <c r="K31" s="57"/>
      <c r="L31" s="57">
        <f>L29</f>
        <v>20102</v>
      </c>
      <c r="M31" s="57"/>
      <c r="N31" s="57">
        <f>N29</f>
        <v>20105</v>
      </c>
      <c r="O31" s="57"/>
      <c r="P31" s="57">
        <f>P29*P32</f>
        <v>7550.8251499999997</v>
      </c>
      <c r="Q31" s="57"/>
      <c r="R31" s="57">
        <v>6094</v>
      </c>
      <c r="S31" s="57"/>
      <c r="T31" s="57" t="s">
        <v>83</v>
      </c>
      <c r="U31" s="57"/>
      <c r="V31" s="57" t="s">
        <v>83</v>
      </c>
      <c r="W31" s="57"/>
      <c r="X31" s="57" t="s">
        <v>83</v>
      </c>
      <c r="Y31" s="57" t="s">
        <v>83</v>
      </c>
      <c r="Z31" s="57"/>
      <c r="AA31" s="49"/>
      <c r="AB31" s="56">
        <f>SUM(D31:N31)</f>
        <v>499757.78691999998</v>
      </c>
      <c r="AC31" s="51"/>
      <c r="AD31" s="22"/>
      <c r="AE31" s="235"/>
    </row>
    <row r="32" spans="1:33" s="65" customFormat="1" x14ac:dyDescent="0.3">
      <c r="A32" s="58"/>
      <c r="B32" s="166" t="s">
        <v>88</v>
      </c>
      <c r="C32" s="61"/>
      <c r="D32" s="60">
        <v>0.69028</v>
      </c>
      <c r="E32" s="60"/>
      <c r="F32" s="60">
        <v>1</v>
      </c>
      <c r="G32" s="60"/>
      <c r="H32" s="60">
        <v>1</v>
      </c>
      <c r="I32" s="60"/>
      <c r="J32" s="60">
        <v>1</v>
      </c>
      <c r="K32" s="60"/>
      <c r="L32" s="60">
        <v>1</v>
      </c>
      <c r="M32" s="60"/>
      <c r="N32" s="60">
        <v>1</v>
      </c>
      <c r="O32" s="60"/>
      <c r="P32" s="60">
        <v>0.74195</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0.75214999999999999</v>
      </c>
      <c r="E33" s="225"/>
      <c r="F33" s="225">
        <v>1</v>
      </c>
      <c r="G33" s="225"/>
      <c r="H33" s="225">
        <v>1</v>
      </c>
      <c r="I33" s="225"/>
      <c r="J33" s="225">
        <v>1</v>
      </c>
      <c r="K33" s="225"/>
      <c r="L33" s="225">
        <v>1</v>
      </c>
      <c r="M33" s="225"/>
      <c r="N33" s="225">
        <v>1</v>
      </c>
      <c r="O33" s="225"/>
      <c r="P33" s="60">
        <v>0.79095000000000004</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1.3511499999999999E-2</v>
      </c>
      <c r="E35" s="241"/>
      <c r="F35" s="241">
        <v>1.5011500000000001E-2</v>
      </c>
      <c r="G35" s="241"/>
      <c r="H35" s="241">
        <v>2.20115E-2</v>
      </c>
      <c r="I35" s="241"/>
      <c r="J35" s="241">
        <v>2.5511499999999999E-2</v>
      </c>
      <c r="K35" s="241"/>
      <c r="L35" s="241">
        <v>2.9011499999999999E-2</v>
      </c>
      <c r="M35" s="241"/>
      <c r="N35" s="241">
        <v>3.9011499999999998E-2</v>
      </c>
      <c r="O35" s="241"/>
      <c r="P35" s="241">
        <v>4.3011500000000001E-2</v>
      </c>
      <c r="Q35" s="241"/>
      <c r="R35" s="241">
        <v>4.3011500000000001E-2</v>
      </c>
      <c r="S35" s="68"/>
      <c r="T35" s="68" t="s">
        <v>83</v>
      </c>
      <c r="U35" s="68"/>
      <c r="V35" s="68" t="s">
        <v>83</v>
      </c>
      <c r="W35" s="68"/>
      <c r="X35" s="68" t="s">
        <v>83</v>
      </c>
      <c r="Y35" s="68" t="s">
        <v>83</v>
      </c>
      <c r="Z35" s="68"/>
      <c r="AA35" s="40"/>
      <c r="AB35" s="67">
        <f>SUMPRODUCT(D35:N35,D30:N30)/AB30</f>
        <v>1.6347357996055453E-2</v>
      </c>
      <c r="AC35" s="43"/>
      <c r="AD35" s="22"/>
    </row>
    <row r="36" spans="1:30" s="23" customFormat="1" x14ac:dyDescent="0.3">
      <c r="A36" s="47"/>
      <c r="B36" s="40" t="s">
        <v>10</v>
      </c>
      <c r="C36" s="69"/>
      <c r="D36" s="241">
        <v>1.7612599999999999E-2</v>
      </c>
      <c r="E36" s="241"/>
      <c r="F36" s="241">
        <v>1.91126E-2</v>
      </c>
      <c r="G36" s="241"/>
      <c r="H36" s="241">
        <v>2.61126E-2</v>
      </c>
      <c r="I36" s="241"/>
      <c r="J36" s="241">
        <v>2.9612599999999999E-2</v>
      </c>
      <c r="K36" s="241"/>
      <c r="L36" s="241">
        <v>3.3112599999999999E-2</v>
      </c>
      <c r="M36" s="241"/>
      <c r="N36" s="241">
        <v>4.3112600000000001E-2</v>
      </c>
      <c r="O36" s="241"/>
      <c r="P36" s="241">
        <v>4.7112599999999998E-2</v>
      </c>
      <c r="Q36" s="241"/>
      <c r="R36" s="241">
        <v>4.7112599999999998E-2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0.20060550082286127</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43966</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94</v>
      </c>
      <c r="Y48" s="40"/>
      <c r="Z48" s="76">
        <v>43784</v>
      </c>
      <c r="AA48" s="77"/>
      <c r="AB48" s="76">
        <v>43877</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88</v>
      </c>
      <c r="Y49" s="40"/>
      <c r="Z49" s="76">
        <v>43878</v>
      </c>
      <c r="AA49" s="77"/>
      <c r="AB49" s="76">
        <v>43965</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43965</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312</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523101</v>
      </c>
      <c r="S58" s="238"/>
      <c r="T58" s="237">
        <f>231+156</f>
        <v>387</v>
      </c>
      <c r="U58" s="238"/>
      <c r="V58" s="238">
        <v>23150</v>
      </c>
      <c r="W58" s="238"/>
      <c r="X58" s="238">
        <v>0</v>
      </c>
      <c r="Y58" s="238"/>
      <c r="Z58" s="238">
        <v>0</v>
      </c>
      <c r="AA58" s="238"/>
      <c r="AB58" s="237">
        <f>R58-T58-V58+X58-Z58</f>
        <v>499564</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523101</v>
      </c>
      <c r="S61" s="238"/>
      <c r="T61" s="238">
        <f>T58+T59</f>
        <v>387</v>
      </c>
      <c r="U61" s="238"/>
      <c r="V61" s="238">
        <f>SUM(V58:V60)</f>
        <v>23150</v>
      </c>
      <c r="W61" s="238"/>
      <c r="X61" s="238">
        <f>SUM(X58:X60)</f>
        <v>0</v>
      </c>
      <c r="Y61" s="238"/>
      <c r="Z61" s="238">
        <f>SUM(Z58:Z60)</f>
        <v>0</v>
      </c>
      <c r="AA61" s="238"/>
      <c r="AB61" s="238">
        <f>SUM(AB58:AB60)</f>
        <v>499564</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0</v>
      </c>
      <c r="S64" s="238"/>
      <c r="T64" s="238">
        <v>0</v>
      </c>
      <c r="U64" s="238"/>
      <c r="V64" s="238">
        <v>2</v>
      </c>
      <c r="W64" s="238"/>
      <c r="X64" s="238"/>
      <c r="Y64" s="238"/>
      <c r="Z64" s="238"/>
      <c r="AA64" s="238"/>
      <c r="AB64" s="238">
        <f>R64+V64</f>
        <v>2</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383</v>
      </c>
      <c r="S65" s="238"/>
      <c r="T65" s="238"/>
      <c r="U65" s="238"/>
      <c r="V65" s="238"/>
      <c r="W65" s="238"/>
      <c r="X65" s="238">
        <v>-191</v>
      </c>
      <c r="Y65" s="238"/>
      <c r="Z65" s="238"/>
      <c r="AA65" s="238"/>
      <c r="AB65" s="238">
        <f>+R65+X65</f>
        <v>192</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523484</v>
      </c>
      <c r="S67" s="238"/>
      <c r="T67" s="238"/>
      <c r="U67" s="238"/>
      <c r="V67" s="238"/>
      <c r="W67" s="238"/>
      <c r="X67" s="238"/>
      <c r="Y67" s="238"/>
      <c r="Z67" s="238"/>
      <c r="AA67" s="238"/>
      <c r="AB67" s="238">
        <f>SUM(AB61:AB66)</f>
        <v>499758</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43951</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v>0</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191</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f>
        <v>23537</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3974+2143-497-775-266</f>
        <v>4579</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131+45</f>
        <v>176</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33</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498</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349</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23728</v>
      </c>
      <c r="AA84" s="40"/>
      <c r="AB84" s="97">
        <f>SUM(AB71:AB83)</f>
        <v>5635</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23728</v>
      </c>
      <c r="AA87" s="40"/>
      <c r="AB87" s="97">
        <f>AB84+AB85+AB86</f>
        <v>5635</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-258-16-7</f>
        <v>-281</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-417</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-939</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-549</v>
      </c>
      <c r="AC94" s="114"/>
      <c r="AD94" s="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-131</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-114</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-140</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0</v>
      </c>
      <c r="AA101" s="112"/>
      <c r="AB101" s="98">
        <v>0</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-750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-17</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-189</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-83</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-498</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-78</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-1447</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0"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0</v>
      </c>
      <c r="AC113" s="114"/>
      <c r="AD113" s="5"/>
    </row>
    <row r="114" spans="1:30"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0</v>
      </c>
      <c r="AC114" s="114"/>
      <c r="AD114" s="5"/>
    </row>
    <row r="115" spans="1:30"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0</v>
      </c>
      <c r="AC115" s="114"/>
      <c r="AD115" s="5"/>
    </row>
    <row r="116" spans="1:30"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0"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0"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0"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0"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-23726</v>
      </c>
      <c r="AA123" s="97"/>
      <c r="AB123" s="98"/>
      <c r="AC123" s="43"/>
      <c r="AD123" s="22"/>
    </row>
    <row r="124" spans="1:30"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0"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-23726</v>
      </c>
      <c r="AA130" s="97"/>
      <c r="AB130" s="97">
        <f>SUM(AB88:AB128)</f>
        <v>-5635</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2</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APRIL 2020</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+'January 20'!AB146</f>
        <v>7469.5499999999993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0"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-498</v>
      </c>
      <c r="AC145" s="43"/>
      <c r="AD145" s="22"/>
    </row>
    <row r="146" spans="1:30"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6971.5499999999993</v>
      </c>
      <c r="AC146" s="43"/>
      <c r="AD146" s="22"/>
    </row>
    <row r="147" spans="1:30"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0"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0"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0"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+'January 20'!AB159</f>
        <v>579.85500000000002</v>
      </c>
      <c r="AC150" s="43"/>
      <c r="AD150" s="22"/>
    </row>
    <row r="151" spans="1:30"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0"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0"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0"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0"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0"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0"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0"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0"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row>
    <row r="160" spans="1:30"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+'January 20'!AB165</f>
        <v>383</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-191</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192</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+'January 20'!AB173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0</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0</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0</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+'January 20'!AB181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+'January 20'!AB190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+'January 20'!AB198</f>
        <v>1306</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798</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349</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202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1755</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+'January 20'!AB206</f>
        <v>897</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v>798</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750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AB203-AB204+AB205</f>
        <v>849</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+'January 20'!Y213</f>
        <v>0</v>
      </c>
      <c r="Z211" s="98">
        <f>+'January 20'!Z213</f>
        <v>5</v>
      </c>
      <c r="AA211" s="40"/>
      <c r="AB211" s="98">
        <f>Y211+Z211</f>
        <v>5</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259</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427723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428405</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-682</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7.0000000000000001E-3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3.316532258064516</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2.56</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26.31297709923664</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21.14</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29.087719298245613</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23.52</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22.87142857142857</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18.559999999999999</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16.201058201058203</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13.3</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APRIL 2020</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43951</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0"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2.0008281159907649E-2</v>
      </c>
      <c r="AA241" s="40"/>
      <c r="AB241" s="40"/>
      <c r="AC241" s="43"/>
      <c r="AD241" s="22"/>
    </row>
    <row r="242" spans="1:30"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0"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3.9530000000000003E-2</v>
      </c>
      <c r="AA243" s="40"/>
      <c r="AB243" s="40"/>
      <c r="AC243" s="43"/>
      <c r="AD243" s="22"/>
    </row>
    <row r="244" spans="1:30"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1.6347357996055453E-2</v>
      </c>
      <c r="AA244" s="40"/>
      <c r="AB244" s="40"/>
      <c r="AC244" s="43"/>
      <c r="AD244" s="22"/>
    </row>
    <row r="245" spans="1:30"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2.3182642003944549E-2</v>
      </c>
      <c r="AA245" s="40"/>
      <c r="AB245" s="40"/>
      <c r="AC245" s="43"/>
      <c r="AD245" s="22"/>
    </row>
    <row r="246" spans="1:30"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(+AB87+AB89)/R67</f>
        <v>1.0764416868519382E-2</v>
      </c>
      <c r="AA246" s="40"/>
      <c r="AB246" s="40"/>
      <c r="AC246" s="43"/>
      <c r="AD246" s="22"/>
    </row>
    <row r="247" spans="1:30"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0"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0"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0"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0"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0"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0"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0"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0"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17.62</v>
      </c>
      <c r="AA255" s="40" t="s">
        <v>76</v>
      </c>
      <c r="AB255" s="40"/>
      <c r="AC255" s="43"/>
      <c r="AD255" s="22"/>
    </row>
    <row r="256" spans="1:30"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4.4962214699971727E-2</v>
      </c>
      <c r="AA256" s="40"/>
      <c r="AB256" s="40"/>
      <c r="AC256" s="43"/>
      <c r="AD256" s="22"/>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0.21729999999999999</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0</v>
      </c>
      <c r="Z260" s="157">
        <v>0</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0</v>
      </c>
      <c r="Z261" s="162">
        <f>+Z313</f>
        <v>0</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+X335</f>
        <v>0</v>
      </c>
      <c r="Z262" s="162">
        <f>+Z335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0</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'January 20'!Z267+Z266</f>
        <v>0</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0</v>
      </c>
      <c r="Z273" s="162">
        <v>0</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0</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261" t="s">
        <v>167</v>
      </c>
      <c r="Q277" s="182"/>
      <c r="R277" s="182"/>
      <c r="S277" s="182"/>
      <c r="T277" s="182"/>
      <c r="U277" s="182"/>
      <c r="V277" s="182"/>
      <c r="W277" s="59"/>
      <c r="X277" s="183"/>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 t="shared" ref="X280:X287" si="1">+X292+X304+X326</f>
        <v>2848</v>
      </c>
      <c r="Y280" s="192">
        <f>X280/$X$289</f>
        <v>0.99929824561403513</v>
      </c>
      <c r="Z280" s="107">
        <f t="shared" ref="Z280:Z287" si="2">+Z292+Z304+Z326</f>
        <v>498990</v>
      </c>
      <c r="AA280" s="192">
        <f t="shared" ref="AA280:AA287" si="3">Z280/$Z$289</f>
        <v>0.9988509980703173</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 t="shared" si="1"/>
        <v>1</v>
      </c>
      <c r="Y281" s="196">
        <f t="shared" ref="Y281:Y287" si="4">X281/$X$289</f>
        <v>3.5087719298245611E-4</v>
      </c>
      <c r="Z281" s="197">
        <f t="shared" si="2"/>
        <v>295</v>
      </c>
      <c r="AA281" s="198">
        <f t="shared" si="3"/>
        <v>5.9051492901810376E-4</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1"/>
        <v>0</v>
      </c>
      <c r="Y282" s="200">
        <f t="shared" si="4"/>
        <v>0</v>
      </c>
      <c r="Z282" s="131">
        <f t="shared" si="2"/>
        <v>0</v>
      </c>
      <c r="AA282" s="198">
        <f t="shared" si="3"/>
        <v>0</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0</v>
      </c>
      <c r="Y283" s="200">
        <f t="shared" si="4"/>
        <v>0</v>
      </c>
      <c r="Z283" s="131">
        <f t="shared" si="2"/>
        <v>0</v>
      </c>
      <c r="AA283" s="198">
        <f t="shared" si="3"/>
        <v>0</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0</v>
      </c>
      <c r="Y284" s="200">
        <f t="shared" si="4"/>
        <v>0</v>
      </c>
      <c r="Z284" s="131">
        <f t="shared" si="2"/>
        <v>0</v>
      </c>
      <c r="AA284" s="198">
        <f t="shared" si="3"/>
        <v>0</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1</v>
      </c>
      <c r="Y285" s="200">
        <f t="shared" si="4"/>
        <v>3.5087719298245611E-4</v>
      </c>
      <c r="Z285" s="131">
        <f t="shared" si="2"/>
        <v>279</v>
      </c>
      <c r="AA285" s="198">
        <f t="shared" si="3"/>
        <v>5.5848700066457948E-4</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1"/>
        <v>0</v>
      </c>
      <c r="Y286" s="202">
        <f t="shared" si="4"/>
        <v>0</v>
      </c>
      <c r="Z286" s="203">
        <f t="shared" si="2"/>
        <v>0</v>
      </c>
      <c r="AA286" s="198">
        <f t="shared" si="3"/>
        <v>0</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 t="shared" si="1"/>
        <v>0</v>
      </c>
      <c r="Y287" s="198">
        <f t="shared" si="4"/>
        <v>0</v>
      </c>
      <c r="Z287" s="107">
        <f t="shared" si="2"/>
        <v>0</v>
      </c>
      <c r="AA287" s="198">
        <f t="shared" si="3"/>
        <v>0</v>
      </c>
      <c r="AB287" s="163"/>
      <c r="AC287" s="175"/>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2850</v>
      </c>
      <c r="Y289" s="198">
        <f>SUM(Y280:Y288)</f>
        <v>1</v>
      </c>
      <c r="Z289" s="98">
        <f>SUM(Z280:Z288)</f>
        <v>499564</v>
      </c>
      <c r="AA289" s="198">
        <f>SUM(AA280:AA288)</f>
        <v>1</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2848</v>
      </c>
      <c r="Y292" s="192">
        <f>X292/$X$301</f>
        <v>0.99929824561403513</v>
      </c>
      <c r="Z292" s="107">
        <v>498990</v>
      </c>
      <c r="AA292" s="192">
        <f>Z292/$Z$301</f>
        <v>0.9988509980703173</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1</v>
      </c>
      <c r="Y293" s="198">
        <f t="shared" ref="Y293:Y299" si="5">X293/$X$301</f>
        <v>3.5087719298245611E-4</v>
      </c>
      <c r="Z293" s="98">
        <v>295</v>
      </c>
      <c r="AA293" s="198">
        <f t="shared" ref="AA293:AA299" si="6">Z293/$Z$301</f>
        <v>5.9051492901810376E-4</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5"/>
        <v>0</v>
      </c>
      <c r="Z294" s="98">
        <v>0</v>
      </c>
      <c r="AA294" s="198">
        <f t="shared" si="6"/>
        <v>0</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0</v>
      </c>
      <c r="Y295" s="198">
        <f t="shared" si="5"/>
        <v>0</v>
      </c>
      <c r="Z295" s="98">
        <v>0</v>
      </c>
      <c r="AA295" s="198">
        <f t="shared" si="6"/>
        <v>0</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1</v>
      </c>
      <c r="Y297" s="198">
        <f t="shared" si="5"/>
        <v>3.5087719298245611E-4</v>
      </c>
      <c r="Z297" s="98">
        <v>279</v>
      </c>
      <c r="AA297" s="198">
        <f t="shared" si="6"/>
        <v>5.5848700066457948E-4</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0</v>
      </c>
      <c r="Y298" s="198">
        <f>X298/$X$301</f>
        <v>0</v>
      </c>
      <c r="Z298" s="98">
        <v>0</v>
      </c>
      <c r="AA298" s="198">
        <f t="shared" si="6"/>
        <v>0</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0</v>
      </c>
      <c r="Y299" s="198">
        <f t="shared" si="5"/>
        <v>0</v>
      </c>
      <c r="Z299" s="98">
        <v>0</v>
      </c>
      <c r="AA299" s="198">
        <f t="shared" si="6"/>
        <v>0</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2850</v>
      </c>
      <c r="Y301" s="198">
        <f>SUM(Y292:Y300)</f>
        <v>1</v>
      </c>
      <c r="Z301" s="98">
        <f>SUM(Z292:Z300)</f>
        <v>499564</v>
      </c>
      <c r="AA301" s="198">
        <f>SUM(AA292:AA300)</f>
        <v>1</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v>0</v>
      </c>
      <c r="Z310" s="98">
        <v>0</v>
      </c>
      <c r="AA310" s="198">
        <v>0</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0</v>
      </c>
      <c r="Y313" s="198">
        <f>SUM(Y304:Y312)</f>
        <v>0</v>
      </c>
      <c r="Z313" s="98">
        <f>SUM(Z304:Z312)</f>
        <v>0</v>
      </c>
      <c r="AA313" s="198">
        <f>SUM(AA304:AA312)</f>
        <v>0</v>
      </c>
      <c r="AB313" s="40"/>
      <c r="AC313" s="43"/>
      <c r="AD313" s="22"/>
    </row>
    <row r="314" spans="1:30" s="23" customFormat="1" x14ac:dyDescent="0.3">
      <c r="A314" s="47"/>
      <c r="B314" s="40"/>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c r="Y314" s="198"/>
      <c r="Z314" s="98"/>
      <c r="AA314" s="198"/>
      <c r="AB314" s="40"/>
      <c r="AC314" s="43"/>
      <c r="AD314" s="22"/>
    </row>
    <row r="315" spans="1:30" s="23" customFormat="1" x14ac:dyDescent="0.3">
      <c r="A315" s="242"/>
      <c r="B315" s="243" t="s">
        <v>330</v>
      </c>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62" t="s">
        <v>69</v>
      </c>
      <c r="Y315" s="263" t="s">
        <v>70</v>
      </c>
      <c r="Z315" s="262" t="s">
        <v>75</v>
      </c>
      <c r="AA315" s="263" t="s">
        <v>70</v>
      </c>
      <c r="AB315" s="243"/>
      <c r="AC315" s="243"/>
      <c r="AD315" s="22"/>
    </row>
    <row r="316" spans="1:30" s="23" customFormat="1" x14ac:dyDescent="0.3">
      <c r="A316" s="273"/>
      <c r="B316" s="274" t="s">
        <v>326</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6">
        <v>0</v>
      </c>
      <c r="Y316" s="277">
        <v>0</v>
      </c>
      <c r="Z316" s="278">
        <v>0</v>
      </c>
      <c r="AA316" s="277">
        <v>0</v>
      </c>
      <c r="AB316" s="40"/>
      <c r="AC316" s="43"/>
      <c r="AD316" s="22"/>
    </row>
    <row r="317" spans="1:30" s="23" customFormat="1" x14ac:dyDescent="0.3">
      <c r="A317" s="273"/>
      <c r="B317" s="274" t="s">
        <v>327</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6">
        <v>0</v>
      </c>
      <c r="Y317" s="277">
        <v>0</v>
      </c>
      <c r="Z317" s="278">
        <v>0</v>
      </c>
      <c r="AA317" s="277">
        <v>0</v>
      </c>
      <c r="AB317" s="40"/>
      <c r="AC317" s="43"/>
      <c r="AD317" s="22"/>
    </row>
    <row r="318" spans="1:30" s="23" customFormat="1" x14ac:dyDescent="0.3">
      <c r="A318" s="273"/>
      <c r="B318" s="274" t="s">
        <v>328</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6">
        <v>0</v>
      </c>
      <c r="Y318" s="277">
        <v>0</v>
      </c>
      <c r="Z318" s="278">
        <v>0</v>
      </c>
      <c r="AA318" s="277">
        <v>0</v>
      </c>
      <c r="AB318" s="40"/>
      <c r="AC318" s="43"/>
      <c r="AD318" s="22"/>
    </row>
    <row r="319" spans="1:30" s="23" customFormat="1" x14ac:dyDescent="0.3">
      <c r="A319" s="273"/>
      <c r="B319" s="274" t="s">
        <v>329</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6">
        <v>0</v>
      </c>
      <c r="Y319" s="277">
        <v>0</v>
      </c>
      <c r="Z319" s="278">
        <v>0</v>
      </c>
      <c r="AA319" s="277">
        <v>0</v>
      </c>
      <c r="AB319" s="40"/>
      <c r="AC319" s="43"/>
      <c r="AD319" s="22"/>
    </row>
    <row r="320" spans="1:30" s="23" customFormat="1" x14ac:dyDescent="0.3">
      <c r="A320" s="273"/>
      <c r="B320" s="274" t="s">
        <v>334</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6">
        <v>0</v>
      </c>
      <c r="Y320" s="277">
        <v>0</v>
      </c>
      <c r="Z320" s="278">
        <v>0</v>
      </c>
      <c r="AA320" s="277">
        <v>0</v>
      </c>
      <c r="AB320" s="40"/>
      <c r="AC320" s="43"/>
      <c r="AD320" s="22"/>
    </row>
    <row r="321" spans="1:30" s="23" customFormat="1" x14ac:dyDescent="0.3">
      <c r="A321" s="273"/>
      <c r="B321" s="275" t="s">
        <v>331</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276">
        <v>0</v>
      </c>
      <c r="Y321" s="277">
        <v>0</v>
      </c>
      <c r="Z321" s="278">
        <v>0</v>
      </c>
      <c r="AA321" s="277">
        <v>0</v>
      </c>
      <c r="AB321" s="40"/>
      <c r="AC321" s="43"/>
      <c r="AD321" s="22"/>
    </row>
    <row r="322" spans="1:30" s="23" customFormat="1" x14ac:dyDescent="0.3">
      <c r="A322" s="273"/>
      <c r="B322" s="274"/>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276"/>
      <c r="Y322" s="277"/>
      <c r="Z322" s="278"/>
      <c r="AA322" s="277"/>
      <c r="AB322" s="40"/>
      <c r="AC322" s="43"/>
      <c r="AD322" s="22"/>
    </row>
    <row r="323" spans="1:30" s="23" customFormat="1" x14ac:dyDescent="0.3">
      <c r="A323" s="273"/>
      <c r="B323" s="274" t="s">
        <v>80</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f>SUM(X316:X322)</f>
        <v>0</v>
      </c>
      <c r="Y323" s="277">
        <f>SUM(Y316:Y321)</f>
        <v>0</v>
      </c>
      <c r="Z323" s="278">
        <f>SUM(Z316:Z321)</f>
        <v>0</v>
      </c>
      <c r="AA323" s="277">
        <f>SUM(AA316:AA322)</f>
        <v>0</v>
      </c>
      <c r="AB323" s="40"/>
      <c r="AC323" s="43"/>
      <c r="AD323" s="22"/>
    </row>
    <row r="324" spans="1:30" x14ac:dyDescent="0.3">
      <c r="A324" s="7"/>
      <c r="B324" s="99"/>
      <c r="C324" s="99"/>
      <c r="D324" s="205"/>
      <c r="E324" s="205"/>
      <c r="F324" s="205"/>
      <c r="G324" s="205"/>
      <c r="H324" s="205"/>
      <c r="I324" s="205"/>
      <c r="J324" s="205"/>
      <c r="K324" s="205"/>
      <c r="L324" s="205"/>
      <c r="M324" s="205"/>
      <c r="N324" s="205"/>
      <c r="O324" s="205"/>
      <c r="P324" s="205"/>
      <c r="Q324" s="205"/>
      <c r="R324" s="205"/>
      <c r="S324" s="205"/>
      <c r="T324" s="205"/>
      <c r="U324" s="205"/>
      <c r="V324" s="205"/>
      <c r="W324" s="205"/>
      <c r="X324" s="100"/>
      <c r="Y324" s="206"/>
      <c r="Z324" s="207"/>
      <c r="AA324" s="206"/>
      <c r="AB324" s="99"/>
      <c r="AC324" s="10"/>
      <c r="AD324" s="5"/>
    </row>
    <row r="325" spans="1:30" x14ac:dyDescent="0.3">
      <c r="A325" s="33"/>
      <c r="B325" s="102" t="s">
        <v>106</v>
      </c>
      <c r="C325" s="34"/>
      <c r="D325" s="208"/>
      <c r="E325" s="208"/>
      <c r="F325" s="208"/>
      <c r="G325" s="208"/>
      <c r="H325" s="208"/>
      <c r="I325" s="208"/>
      <c r="J325" s="208"/>
      <c r="K325" s="208"/>
      <c r="L325" s="208"/>
      <c r="M325" s="208"/>
      <c r="N325" s="208"/>
      <c r="O325" s="208"/>
      <c r="P325" s="208"/>
      <c r="Q325" s="208"/>
      <c r="R325" s="208"/>
      <c r="S325" s="208"/>
      <c r="T325" s="208"/>
      <c r="U325" s="208"/>
      <c r="V325" s="208"/>
      <c r="W325" s="208"/>
      <c r="X325" s="154" t="s">
        <v>69</v>
      </c>
      <c r="Y325" s="103" t="s">
        <v>70</v>
      </c>
      <c r="Z325" s="154" t="s">
        <v>75</v>
      </c>
      <c r="AA325" s="103" t="s">
        <v>70</v>
      </c>
      <c r="AB325" s="34"/>
      <c r="AC325" s="36"/>
      <c r="AD325" s="5"/>
    </row>
    <row r="326" spans="1:30" s="23" customFormat="1" x14ac:dyDescent="0.3">
      <c r="A326" s="18"/>
      <c r="B326" s="106" t="s">
        <v>59</v>
      </c>
      <c r="C326" s="37"/>
      <c r="D326" s="209"/>
      <c r="E326" s="209"/>
      <c r="F326" s="209"/>
      <c r="G326" s="209"/>
      <c r="H326" s="209"/>
      <c r="I326" s="209"/>
      <c r="J326" s="209"/>
      <c r="K326" s="209"/>
      <c r="L326" s="209"/>
      <c r="M326" s="209"/>
      <c r="N326" s="209"/>
      <c r="O326" s="209"/>
      <c r="P326" s="209"/>
      <c r="Q326" s="209"/>
      <c r="R326" s="209"/>
      <c r="S326" s="209"/>
      <c r="T326" s="209"/>
      <c r="U326" s="209"/>
      <c r="V326" s="209"/>
      <c r="W326" s="209"/>
      <c r="X326" s="106">
        <v>0</v>
      </c>
      <c r="Y326" s="192">
        <v>0</v>
      </c>
      <c r="Z326" s="107">
        <v>0</v>
      </c>
      <c r="AA326" s="192">
        <v>0</v>
      </c>
      <c r="AB326" s="37"/>
      <c r="AC326" s="21"/>
      <c r="AD326" s="22"/>
    </row>
    <row r="327" spans="1:30" s="23" customFormat="1" x14ac:dyDescent="0.3">
      <c r="A327" s="47"/>
      <c r="B327" s="97" t="s">
        <v>60</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61</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100</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101</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102</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103</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104</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c r="Y334" s="198"/>
      <c r="Z334" s="98"/>
      <c r="AA334" s="198"/>
      <c r="AB334" s="40"/>
      <c r="AC334" s="43"/>
      <c r="AD334" s="22"/>
    </row>
    <row r="335" spans="1:30" s="23" customFormat="1" x14ac:dyDescent="0.3">
      <c r="A335" s="47"/>
      <c r="B335" s="40" t="s">
        <v>80</v>
      </c>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f>SUM(X326:X333)</f>
        <v>0</v>
      </c>
      <c r="Y335" s="198">
        <f>SUM(Y326:Y333)</f>
        <v>0</v>
      </c>
      <c r="Z335" s="98">
        <f>SUM(Z326:Z333)</f>
        <v>0</v>
      </c>
      <c r="AA335" s="198">
        <f>SUM(AA326:AA333)</f>
        <v>0</v>
      </c>
      <c r="AB335" s="40"/>
      <c r="AC335" s="43"/>
      <c r="AD335" s="22"/>
    </row>
    <row r="336" spans="1:30" s="23" customFormat="1" x14ac:dyDescent="0.3">
      <c r="A336" s="47"/>
      <c r="B336" s="40"/>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c r="Y336" s="198"/>
      <c r="Z336" s="98"/>
      <c r="AA336" s="198"/>
      <c r="AB336" s="40"/>
      <c r="AC336" s="43"/>
      <c r="AD336" s="22"/>
    </row>
    <row r="337" spans="1:30" s="23" customFormat="1" x14ac:dyDescent="0.3">
      <c r="A337" s="242" t="s">
        <v>313</v>
      </c>
      <c r="B337" s="243" t="s">
        <v>314</v>
      </c>
      <c r="C337" s="244"/>
      <c r="D337" s="244"/>
      <c r="E337" s="244"/>
      <c r="F337" s="244"/>
      <c r="G337" s="244"/>
      <c r="H337" s="245"/>
      <c r="I337" s="245"/>
      <c r="J337" s="245"/>
      <c r="K337" s="245"/>
      <c r="L337" s="245"/>
      <c r="M337" s="245"/>
      <c r="N337" s="245"/>
      <c r="O337" s="245"/>
      <c r="P337" s="246"/>
      <c r="Q337" s="246"/>
      <c r="R337" s="246"/>
      <c r="S337" s="246"/>
      <c r="T337" s="246"/>
      <c r="U337" s="246"/>
      <c r="V337" s="246"/>
      <c r="W337" s="246"/>
      <c r="X337" s="262" t="s">
        <v>69</v>
      </c>
      <c r="Y337" s="263" t="s">
        <v>70</v>
      </c>
      <c r="Z337" s="262" t="s">
        <v>75</v>
      </c>
      <c r="AA337" s="263" t="s">
        <v>70</v>
      </c>
      <c r="AB337" s="34"/>
      <c r="AC337" s="36"/>
      <c r="AD337" s="22"/>
    </row>
    <row r="338" spans="1:30" s="23" customFormat="1" x14ac:dyDescent="0.3">
      <c r="A338" s="247"/>
      <c r="B338" s="248" t="s">
        <v>59</v>
      </c>
      <c r="C338" s="249"/>
      <c r="D338" s="249"/>
      <c r="E338" s="249"/>
      <c r="F338" s="249"/>
      <c r="G338" s="249"/>
      <c r="H338" s="250"/>
      <c r="I338" s="250"/>
      <c r="J338" s="250"/>
      <c r="K338" s="250"/>
      <c r="L338" s="250"/>
      <c r="M338" s="250"/>
      <c r="N338" s="250"/>
      <c r="O338" s="250"/>
      <c r="P338" s="251"/>
      <c r="Q338" s="269"/>
      <c r="R338" s="269"/>
      <c r="S338" s="269"/>
      <c r="T338" s="269"/>
      <c r="U338" s="269"/>
      <c r="V338" s="269"/>
      <c r="W338" s="269"/>
      <c r="X338" s="264">
        <v>609</v>
      </c>
      <c r="Y338" s="265">
        <f>+X338/X347</f>
        <v>0.99836065573770494</v>
      </c>
      <c r="Z338" s="215">
        <v>118154</v>
      </c>
      <c r="AA338" s="265">
        <f>+Z338/Z347</f>
        <v>0.99750947665239897</v>
      </c>
      <c r="AB338" s="40"/>
      <c r="AC338" s="43"/>
      <c r="AD338" s="22"/>
    </row>
    <row r="339" spans="1:30" s="23" customFormat="1" x14ac:dyDescent="0.3">
      <c r="A339" s="252"/>
      <c r="B339" s="253" t="s">
        <v>60</v>
      </c>
      <c r="C339" s="254"/>
      <c r="D339" s="254"/>
      <c r="E339" s="254"/>
      <c r="F339" s="254"/>
      <c r="G339" s="254"/>
      <c r="H339" s="255"/>
      <c r="I339" s="255"/>
      <c r="J339" s="255"/>
      <c r="K339" s="255"/>
      <c r="L339" s="255"/>
      <c r="M339" s="255"/>
      <c r="N339" s="255"/>
      <c r="O339" s="255"/>
      <c r="P339" s="256"/>
      <c r="Q339" s="204"/>
      <c r="R339" s="204"/>
      <c r="S339" s="204"/>
      <c r="T339" s="204"/>
      <c r="U339" s="204"/>
      <c r="V339" s="204"/>
      <c r="W339" s="204"/>
      <c r="X339" s="266">
        <v>1</v>
      </c>
      <c r="Y339" s="267">
        <f>+X339/X347</f>
        <v>1.639344262295082E-3</v>
      </c>
      <c r="Z339" s="98">
        <v>295</v>
      </c>
      <c r="AA339" s="268">
        <f>+Z339/Z347</f>
        <v>2.4905233476010774E-3</v>
      </c>
      <c r="AB339" s="40"/>
      <c r="AC339" s="43"/>
      <c r="AD339" s="22"/>
    </row>
    <row r="340" spans="1:30" s="23" customFormat="1" x14ac:dyDescent="0.3">
      <c r="A340" s="252"/>
      <c r="B340" s="253" t="s">
        <v>61</v>
      </c>
      <c r="C340" s="254"/>
      <c r="D340" s="254"/>
      <c r="E340" s="254"/>
      <c r="F340" s="254"/>
      <c r="G340" s="254"/>
      <c r="H340" s="255"/>
      <c r="I340" s="255"/>
      <c r="J340" s="255"/>
      <c r="K340" s="255"/>
      <c r="L340" s="255"/>
      <c r="M340" s="255"/>
      <c r="N340" s="255"/>
      <c r="O340" s="255"/>
      <c r="P340" s="256"/>
      <c r="Q340" s="204"/>
      <c r="R340" s="204"/>
      <c r="S340" s="204"/>
      <c r="T340" s="204"/>
      <c r="U340" s="204"/>
      <c r="V340" s="204"/>
      <c r="W340" s="204"/>
      <c r="X340" s="266">
        <v>0</v>
      </c>
      <c r="Y340" s="267">
        <f>+X340/X347</f>
        <v>0</v>
      </c>
      <c r="Z340" s="98">
        <v>0</v>
      </c>
      <c r="AA340" s="268">
        <f>+Z340/Z347</f>
        <v>0</v>
      </c>
      <c r="AB340" s="40"/>
      <c r="AC340" s="43"/>
      <c r="AD340" s="22"/>
    </row>
    <row r="341" spans="1:30" s="23" customFormat="1" x14ac:dyDescent="0.3">
      <c r="A341" s="252"/>
      <c r="B341" s="253" t="s">
        <v>100</v>
      </c>
      <c r="C341" s="254"/>
      <c r="D341" s="254"/>
      <c r="E341" s="254"/>
      <c r="F341" s="254"/>
      <c r="G341" s="254"/>
      <c r="H341" s="255"/>
      <c r="I341" s="255"/>
      <c r="J341" s="255"/>
      <c r="K341" s="255"/>
      <c r="L341" s="255"/>
      <c r="M341" s="255"/>
      <c r="N341" s="255"/>
      <c r="O341" s="255"/>
      <c r="P341" s="256"/>
      <c r="Q341" s="204"/>
      <c r="R341" s="204"/>
      <c r="S341" s="204"/>
      <c r="T341" s="204"/>
      <c r="U341" s="204"/>
      <c r="V341" s="204"/>
      <c r="W341" s="204"/>
      <c r="X341" s="266">
        <v>0</v>
      </c>
      <c r="Y341" s="267">
        <f>+X341/X347</f>
        <v>0</v>
      </c>
      <c r="Z341" s="98">
        <v>0</v>
      </c>
      <c r="AA341" s="268">
        <f>+Z341/Z347</f>
        <v>0</v>
      </c>
      <c r="AB341" s="40"/>
      <c r="AC341" s="43"/>
      <c r="AD341" s="22"/>
    </row>
    <row r="342" spans="1:30" s="23" customFormat="1" x14ac:dyDescent="0.3">
      <c r="A342" s="252"/>
      <c r="B342" s="253" t="s">
        <v>101</v>
      </c>
      <c r="C342" s="254"/>
      <c r="D342" s="254"/>
      <c r="E342" s="254"/>
      <c r="F342" s="254"/>
      <c r="G342" s="254"/>
      <c r="H342" s="255"/>
      <c r="I342" s="255"/>
      <c r="J342" s="255"/>
      <c r="K342" s="255"/>
      <c r="L342" s="255"/>
      <c r="M342" s="255"/>
      <c r="N342" s="255"/>
      <c r="O342" s="255"/>
      <c r="P342" s="256"/>
      <c r="Q342" s="204"/>
      <c r="R342" s="204"/>
      <c r="S342" s="204"/>
      <c r="T342" s="204"/>
      <c r="U342" s="204"/>
      <c r="V342" s="204"/>
      <c r="W342" s="204"/>
      <c r="X342" s="266">
        <v>0</v>
      </c>
      <c r="Y342" s="267">
        <f>+X342/X347</f>
        <v>0</v>
      </c>
      <c r="Z342" s="98">
        <v>0</v>
      </c>
      <c r="AA342" s="268">
        <f>+Z342/Z347</f>
        <v>0</v>
      </c>
      <c r="AB342" s="40"/>
      <c r="AC342" s="43"/>
      <c r="AD342" s="22"/>
    </row>
    <row r="343" spans="1:30" s="23" customFormat="1" x14ac:dyDescent="0.3">
      <c r="A343" s="252"/>
      <c r="B343" s="253" t="s">
        <v>102</v>
      </c>
      <c r="C343" s="254"/>
      <c r="D343" s="254"/>
      <c r="E343" s="254"/>
      <c r="F343" s="254"/>
      <c r="G343" s="254"/>
      <c r="H343" s="255"/>
      <c r="I343" s="255"/>
      <c r="J343" s="255"/>
      <c r="K343" s="255"/>
      <c r="L343" s="255"/>
      <c r="M343" s="255"/>
      <c r="N343" s="255"/>
      <c r="O343" s="255"/>
      <c r="P343" s="256"/>
      <c r="Q343" s="204"/>
      <c r="R343" s="204"/>
      <c r="S343" s="204"/>
      <c r="T343" s="204"/>
      <c r="U343" s="204"/>
      <c r="V343" s="204"/>
      <c r="W343" s="204"/>
      <c r="X343" s="266">
        <v>0</v>
      </c>
      <c r="Y343" s="267">
        <f>+X343/X347</f>
        <v>0</v>
      </c>
      <c r="Z343" s="98">
        <v>0</v>
      </c>
      <c r="AA343" s="268">
        <f>+Z343/Z347</f>
        <v>0</v>
      </c>
      <c r="AB343" s="40"/>
      <c r="AC343" s="43"/>
      <c r="AD343" s="22"/>
    </row>
    <row r="344" spans="1:30" s="23" customFormat="1" x14ac:dyDescent="0.3">
      <c r="A344" s="252"/>
      <c r="B344" s="253" t="s">
        <v>103</v>
      </c>
      <c r="C344" s="254"/>
      <c r="D344" s="254"/>
      <c r="E344" s="254"/>
      <c r="F344" s="254"/>
      <c r="G344" s="254"/>
      <c r="H344" s="255"/>
      <c r="I344" s="255"/>
      <c r="J344" s="255"/>
      <c r="K344" s="255"/>
      <c r="L344" s="255"/>
      <c r="M344" s="255"/>
      <c r="N344" s="255"/>
      <c r="O344" s="255"/>
      <c r="P344" s="256"/>
      <c r="Q344" s="204"/>
      <c r="R344" s="204"/>
      <c r="S344" s="204"/>
      <c r="T344" s="204"/>
      <c r="U344" s="204"/>
      <c r="V344" s="204"/>
      <c r="W344" s="204"/>
      <c r="X344" s="266">
        <v>0</v>
      </c>
      <c r="Y344" s="267">
        <f>+X344/X347</f>
        <v>0</v>
      </c>
      <c r="Z344" s="98">
        <v>0</v>
      </c>
      <c r="AA344" s="268">
        <f>+Z344/Z347</f>
        <v>0</v>
      </c>
      <c r="AB344" s="40"/>
      <c r="AC344" s="43"/>
      <c r="AD344" s="22"/>
    </row>
    <row r="345" spans="1:30" s="23" customFormat="1" x14ac:dyDescent="0.3">
      <c r="A345" s="252"/>
      <c r="B345" s="253" t="s">
        <v>104</v>
      </c>
      <c r="C345" s="254"/>
      <c r="D345" s="254"/>
      <c r="E345" s="254"/>
      <c r="F345" s="254"/>
      <c r="G345" s="254"/>
      <c r="H345" s="255"/>
      <c r="I345" s="255"/>
      <c r="J345" s="255"/>
      <c r="K345" s="255"/>
      <c r="L345" s="255"/>
      <c r="M345" s="255"/>
      <c r="N345" s="255"/>
      <c r="O345" s="255"/>
      <c r="P345" s="256"/>
      <c r="Q345" s="204"/>
      <c r="R345" s="204"/>
      <c r="S345" s="204"/>
      <c r="T345" s="204"/>
      <c r="U345" s="204"/>
      <c r="V345" s="204"/>
      <c r="W345" s="204"/>
      <c r="X345" s="266">
        <v>0</v>
      </c>
      <c r="Y345" s="265">
        <f>+X345/X347</f>
        <v>0</v>
      </c>
      <c r="Z345" s="98">
        <v>0</v>
      </c>
      <c r="AA345" s="268">
        <f>+Z345/Z347</f>
        <v>0</v>
      </c>
      <c r="AB345" s="40"/>
      <c r="AC345" s="43"/>
      <c r="AD345" s="22"/>
    </row>
    <row r="346" spans="1:30" s="23" customFormat="1" x14ac:dyDescent="0.3">
      <c r="A346" s="252"/>
      <c r="B346" s="253"/>
      <c r="C346" s="254"/>
      <c r="D346" s="254"/>
      <c r="E346" s="254"/>
      <c r="F346" s="254"/>
      <c r="G346" s="254"/>
      <c r="H346" s="255"/>
      <c r="I346" s="255"/>
      <c r="J346" s="255"/>
      <c r="K346" s="255"/>
      <c r="L346" s="255"/>
      <c r="M346" s="255"/>
      <c r="N346" s="255"/>
      <c r="O346" s="255"/>
      <c r="P346" s="256"/>
      <c r="Q346" s="204"/>
      <c r="R346" s="204"/>
      <c r="S346" s="204"/>
      <c r="T346" s="204"/>
      <c r="U346" s="204"/>
      <c r="V346" s="204"/>
      <c r="W346" s="204"/>
      <c r="X346" s="266"/>
      <c r="Y346" s="268"/>
      <c r="Z346" s="98"/>
      <c r="AA346" s="268"/>
      <c r="AB346" s="40"/>
      <c r="AC346" s="43"/>
      <c r="AD346" s="22"/>
    </row>
    <row r="347" spans="1:30" s="23" customFormat="1" x14ac:dyDescent="0.3">
      <c r="A347" s="252"/>
      <c r="B347" s="254" t="s">
        <v>80</v>
      </c>
      <c r="C347" s="254"/>
      <c r="D347" s="254"/>
      <c r="E347" s="254"/>
      <c r="F347" s="254"/>
      <c r="G347" s="254"/>
      <c r="H347" s="255"/>
      <c r="I347" s="255"/>
      <c r="J347" s="255"/>
      <c r="K347" s="255"/>
      <c r="L347" s="255"/>
      <c r="M347" s="255"/>
      <c r="N347" s="255"/>
      <c r="O347" s="255"/>
      <c r="P347" s="256"/>
      <c r="Q347" s="204"/>
      <c r="R347" s="204"/>
      <c r="S347" s="204"/>
      <c r="T347" s="204"/>
      <c r="U347" s="204"/>
      <c r="V347" s="204"/>
      <c r="W347" s="204"/>
      <c r="X347" s="266">
        <f>SUM(X338:X345)</f>
        <v>610</v>
      </c>
      <c r="Y347" s="268">
        <f>SUM(Y338:Y345)</f>
        <v>1</v>
      </c>
      <c r="Z347" s="98">
        <f>SUM(Z338:Z345)</f>
        <v>118449</v>
      </c>
      <c r="AA347" s="268">
        <f>SUM(AA338:AA345)</f>
        <v>1</v>
      </c>
      <c r="AB347" s="40"/>
      <c r="AC347" s="43"/>
      <c r="AD347" s="22"/>
    </row>
    <row r="348" spans="1:30" s="23" customFormat="1" x14ac:dyDescent="0.3">
      <c r="A348" s="252"/>
      <c r="B348" s="254" t="s">
        <v>325</v>
      </c>
      <c r="C348" s="254"/>
      <c r="D348" s="254"/>
      <c r="E348" s="254"/>
      <c r="F348" s="254"/>
      <c r="G348" s="254"/>
      <c r="H348" s="255"/>
      <c r="I348" s="255"/>
      <c r="J348" s="255"/>
      <c r="K348" s="255"/>
      <c r="L348" s="255"/>
      <c r="M348" s="255"/>
      <c r="N348" s="255"/>
      <c r="O348" s="255"/>
      <c r="P348" s="256"/>
      <c r="Q348" s="204"/>
      <c r="R348" s="204"/>
      <c r="S348" s="204"/>
      <c r="T348" s="204"/>
      <c r="U348" s="204"/>
      <c r="V348" s="204"/>
      <c r="W348" s="204"/>
      <c r="X348" s="272">
        <f>X347/X350</f>
        <v>0.21403508771929824</v>
      </c>
      <c r="Y348" s="272"/>
      <c r="Z348" s="236">
        <f>Z347/Z350</f>
        <v>0.23710475534666228</v>
      </c>
      <c r="AA348" s="268"/>
      <c r="AB348" s="40"/>
      <c r="AC348" s="43"/>
      <c r="AD348" s="22"/>
    </row>
    <row r="349" spans="1:30" s="23" customFormat="1" x14ac:dyDescent="0.3">
      <c r="A349" s="252"/>
      <c r="B349" s="254"/>
      <c r="C349" s="254"/>
      <c r="D349" s="254"/>
      <c r="E349" s="254"/>
      <c r="F349" s="254"/>
      <c r="G349" s="254"/>
      <c r="H349" s="255"/>
      <c r="I349" s="255"/>
      <c r="J349" s="255"/>
      <c r="K349" s="255"/>
      <c r="L349" s="255"/>
      <c r="M349" s="255"/>
      <c r="N349" s="255"/>
      <c r="O349" s="255"/>
      <c r="P349" s="256"/>
      <c r="Q349" s="204"/>
      <c r="R349" s="204"/>
      <c r="S349" s="204"/>
      <c r="T349" s="204"/>
      <c r="U349" s="204"/>
      <c r="V349" s="204"/>
      <c r="W349" s="204"/>
      <c r="X349" s="97"/>
      <c r="Y349" s="198"/>
      <c r="Z349" s="98"/>
      <c r="AA349" s="198"/>
      <c r="AB349" s="40"/>
      <c r="AC349" s="43"/>
      <c r="AD349" s="22"/>
    </row>
    <row r="350" spans="1:30" s="23" customFormat="1" x14ac:dyDescent="0.3">
      <c r="A350" s="47"/>
      <c r="B350" s="44" t="s">
        <v>139</v>
      </c>
      <c r="C350" s="40"/>
      <c r="D350" s="204"/>
      <c r="E350" s="204"/>
      <c r="F350" s="204"/>
      <c r="G350" s="204"/>
      <c r="H350" s="204"/>
      <c r="I350" s="204"/>
      <c r="J350" s="204"/>
      <c r="K350" s="204"/>
      <c r="L350" s="204"/>
      <c r="M350" s="204"/>
      <c r="N350" s="204"/>
      <c r="O350" s="204"/>
      <c r="P350" s="204"/>
      <c r="Q350" s="204"/>
      <c r="R350" s="204"/>
      <c r="S350" s="204"/>
      <c r="T350" s="204"/>
      <c r="U350" s="204"/>
      <c r="V350" s="204"/>
      <c r="W350" s="204"/>
      <c r="X350" s="210">
        <f>X335+X313+X301</f>
        <v>2850</v>
      </c>
      <c r="Y350" s="198"/>
      <c r="Z350" s="211">
        <f>+Z335+Z313+Z301</f>
        <v>499564</v>
      </c>
      <c r="AA350" s="198"/>
      <c r="AB350" s="40"/>
      <c r="AC350" s="43"/>
      <c r="AD350" s="22"/>
    </row>
    <row r="351" spans="1:30" s="23" customFormat="1" x14ac:dyDescent="0.3">
      <c r="A351" s="47"/>
      <c r="B351" s="44" t="s">
        <v>304</v>
      </c>
      <c r="C351" s="44"/>
      <c r="D351" s="212"/>
      <c r="E351" s="212"/>
      <c r="F351" s="212"/>
      <c r="G351" s="212"/>
      <c r="H351" s="212"/>
      <c r="I351" s="212"/>
      <c r="J351" s="212"/>
      <c r="K351" s="212"/>
      <c r="L351" s="212"/>
      <c r="M351" s="212"/>
      <c r="N351" s="212"/>
      <c r="O351" s="212"/>
      <c r="P351" s="212"/>
      <c r="Q351" s="212"/>
      <c r="R351" s="212"/>
      <c r="S351" s="212"/>
      <c r="T351" s="212"/>
      <c r="U351" s="212"/>
      <c r="V351" s="212"/>
      <c r="W351" s="212"/>
      <c r="X351" s="210"/>
      <c r="Y351" s="213"/>
      <c r="Z351" s="211">
        <f>+AB65+AB64</f>
        <v>194</v>
      </c>
      <c r="AA351" s="198"/>
      <c r="AB351" s="40"/>
      <c r="AC351" s="43"/>
      <c r="AD351" s="22"/>
    </row>
    <row r="352" spans="1:30" s="23" customFormat="1" x14ac:dyDescent="0.3">
      <c r="A352" s="47"/>
      <c r="B352" s="44" t="s">
        <v>107</v>
      </c>
      <c r="C352" s="44"/>
      <c r="D352" s="212"/>
      <c r="E352" s="212"/>
      <c r="F352" s="212"/>
      <c r="G352" s="212"/>
      <c r="H352" s="212"/>
      <c r="I352" s="212"/>
      <c r="J352" s="212"/>
      <c r="K352" s="212"/>
      <c r="L352" s="212"/>
      <c r="M352" s="212"/>
      <c r="N352" s="212"/>
      <c r="O352" s="212"/>
      <c r="P352" s="212"/>
      <c r="Q352" s="212"/>
      <c r="R352" s="212"/>
      <c r="S352" s="212"/>
      <c r="T352" s="212"/>
      <c r="U352" s="212"/>
      <c r="V352" s="212"/>
      <c r="W352" s="212"/>
      <c r="X352" s="210"/>
      <c r="Y352" s="213"/>
      <c r="Z352" s="211">
        <f>+Z350+Z351</f>
        <v>499758</v>
      </c>
      <c r="AA352" s="198"/>
      <c r="AB352" s="40"/>
      <c r="AC352" s="43"/>
      <c r="AD352" s="22"/>
    </row>
    <row r="353" spans="1:30" s="23" customFormat="1" x14ac:dyDescent="0.3">
      <c r="A353" s="47"/>
      <c r="B353" s="44" t="s">
        <v>237</v>
      </c>
      <c r="C353" s="40"/>
      <c r="D353" s="204"/>
      <c r="E353" s="204"/>
      <c r="F353" s="204"/>
      <c r="G353" s="204"/>
      <c r="H353" s="204"/>
      <c r="I353" s="204"/>
      <c r="J353" s="204"/>
      <c r="K353" s="204"/>
      <c r="L353" s="204"/>
      <c r="M353" s="204"/>
      <c r="N353" s="204"/>
      <c r="O353" s="204"/>
      <c r="P353" s="204"/>
      <c r="Q353" s="204"/>
      <c r="R353" s="204"/>
      <c r="S353" s="204"/>
      <c r="T353" s="204"/>
      <c r="U353" s="204"/>
      <c r="V353" s="204"/>
      <c r="W353" s="204"/>
      <c r="X353" s="210"/>
      <c r="Y353" s="198"/>
      <c r="Z353" s="211">
        <f>+AB67</f>
        <v>499758</v>
      </c>
      <c r="AA353" s="198"/>
      <c r="AB353" s="40"/>
      <c r="AC353" s="43"/>
      <c r="AD353" s="22"/>
    </row>
    <row r="354" spans="1:30" s="23" customFormat="1" x14ac:dyDescent="0.3">
      <c r="A354" s="47"/>
      <c r="B354" s="44"/>
      <c r="C354" s="40"/>
      <c r="D354" s="204"/>
      <c r="E354" s="204"/>
      <c r="F354" s="204"/>
      <c r="G354" s="204"/>
      <c r="H354" s="204"/>
      <c r="I354" s="204"/>
      <c r="J354" s="204"/>
      <c r="K354" s="204"/>
      <c r="L354" s="204"/>
      <c r="M354" s="204"/>
      <c r="N354" s="204"/>
      <c r="O354" s="204"/>
      <c r="P354" s="204"/>
      <c r="Q354" s="204"/>
      <c r="R354" s="204"/>
      <c r="S354" s="204"/>
      <c r="T354" s="204"/>
      <c r="U354" s="204"/>
      <c r="V354" s="204"/>
      <c r="W354" s="204"/>
      <c r="X354" s="210"/>
      <c r="Y354" s="198"/>
      <c r="Z354" s="211"/>
      <c r="AA354" s="198"/>
      <c r="AB354" s="40"/>
      <c r="AC354" s="43"/>
      <c r="AD354" s="22"/>
    </row>
    <row r="355" spans="1:30" s="23" customFormat="1" x14ac:dyDescent="0.3">
      <c r="A355" s="47"/>
      <c r="B355" s="44" t="s">
        <v>305</v>
      </c>
      <c r="C355" s="40"/>
      <c r="D355" s="204"/>
      <c r="E355" s="204"/>
      <c r="F355" s="204"/>
      <c r="G355" s="204"/>
      <c r="H355" s="204"/>
      <c r="I355" s="204"/>
      <c r="J355" s="204"/>
      <c r="K355" s="204"/>
      <c r="L355" s="204"/>
      <c r="M355" s="204"/>
      <c r="N355" s="204"/>
      <c r="O355" s="204"/>
      <c r="P355" s="204"/>
      <c r="Q355" s="204"/>
      <c r="R355" s="204"/>
      <c r="S355" s="204"/>
      <c r="T355" s="204"/>
      <c r="U355" s="204"/>
      <c r="V355" s="204"/>
      <c r="W355" s="204"/>
      <c r="X355" s="210"/>
      <c r="Y355" s="198"/>
      <c r="Z355" s="236">
        <f>(D31*0.05+F31+H31+J31+L31+N31)/AB31</f>
        <v>0.49679814070759809</v>
      </c>
      <c r="AA355" s="198"/>
      <c r="AB355" s="40"/>
      <c r="AC355" s="43"/>
      <c r="AD355" s="22"/>
    </row>
    <row r="356" spans="1:30" s="23" customFormat="1" x14ac:dyDescent="0.3">
      <c r="A356" s="18"/>
      <c r="B356" s="20"/>
      <c r="C356" s="20"/>
      <c r="D356" s="214"/>
      <c r="E356" s="214"/>
      <c r="F356" s="214"/>
      <c r="G356" s="214"/>
      <c r="H356" s="214"/>
      <c r="I356" s="214"/>
      <c r="J356" s="214"/>
      <c r="K356" s="214"/>
      <c r="L356" s="214"/>
      <c r="M356" s="214"/>
      <c r="N356" s="214"/>
      <c r="O356" s="214"/>
      <c r="P356" s="214"/>
      <c r="Q356" s="214"/>
      <c r="R356" s="214"/>
      <c r="S356" s="214"/>
      <c r="T356" s="214"/>
      <c r="U356" s="214"/>
      <c r="V356" s="214"/>
      <c r="W356" s="214"/>
      <c r="X356" s="214"/>
      <c r="Y356" s="214"/>
      <c r="Z356" s="215"/>
      <c r="AA356" s="214"/>
      <c r="AB356" s="20"/>
      <c r="AC356" s="21"/>
      <c r="AD356" s="22"/>
    </row>
    <row r="357" spans="1:30" s="23" customFormat="1" x14ac:dyDescent="0.3">
      <c r="A357" s="18"/>
      <c r="B357" s="19" t="s">
        <v>62</v>
      </c>
      <c r="C357" s="20"/>
      <c r="D357" s="216" t="s">
        <v>66</v>
      </c>
      <c r="E357" s="19"/>
      <c r="F357" s="19" t="s">
        <v>67</v>
      </c>
      <c r="G357" s="20"/>
      <c r="H357" s="19"/>
      <c r="I357" s="20"/>
      <c r="J357" s="20"/>
      <c r="K357" s="20"/>
      <c r="L357" s="20"/>
      <c r="M357" s="20"/>
      <c r="N357" s="20"/>
      <c r="O357" s="20"/>
      <c r="P357" s="20"/>
      <c r="Q357" s="20"/>
      <c r="R357" s="20"/>
      <c r="S357" s="20"/>
      <c r="T357" s="20"/>
      <c r="U357" s="20"/>
      <c r="V357" s="20"/>
      <c r="W357" s="20"/>
      <c r="X357" s="20"/>
      <c r="Y357" s="20"/>
      <c r="Z357" s="20"/>
      <c r="AA357" s="20"/>
      <c r="AB357" s="20"/>
      <c r="AC357" s="21"/>
      <c r="AD357" s="22"/>
    </row>
    <row r="358" spans="1:30" s="23" customFormat="1" x14ac:dyDescent="0.3">
      <c r="A358" s="18"/>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1"/>
      <c r="AD358" s="22"/>
    </row>
    <row r="359" spans="1:30" s="23" customFormat="1" x14ac:dyDescent="0.3">
      <c r="A359" s="18"/>
      <c r="B359" s="19" t="s">
        <v>152</v>
      </c>
      <c r="C359" s="19"/>
      <c r="D359" s="217" t="s">
        <v>122</v>
      </c>
      <c r="E359" s="19"/>
      <c r="F359" s="19" t="s">
        <v>168</v>
      </c>
      <c r="G359" s="19"/>
      <c r="H359" s="19"/>
      <c r="I359" s="20"/>
      <c r="J359" s="20"/>
      <c r="K359" s="20"/>
      <c r="L359" s="20"/>
      <c r="M359" s="20"/>
      <c r="N359" s="20"/>
      <c r="O359" s="20"/>
      <c r="P359" s="20"/>
      <c r="Q359" s="20"/>
      <c r="R359" s="20"/>
      <c r="S359" s="20"/>
      <c r="T359" s="20"/>
      <c r="U359" s="20"/>
      <c r="V359" s="20"/>
      <c r="W359" s="20"/>
      <c r="X359" s="20"/>
      <c r="Y359" s="20"/>
      <c r="Z359" s="20"/>
      <c r="AA359" s="20"/>
      <c r="AB359" s="20"/>
      <c r="AC359" s="21"/>
      <c r="AD359" s="22"/>
    </row>
    <row r="360" spans="1:30" s="23" customFormat="1" x14ac:dyDescent="0.3">
      <c r="A360" s="18"/>
      <c r="B360" s="19" t="s">
        <v>153</v>
      </c>
      <c r="C360" s="19"/>
      <c r="D360" s="217" t="s">
        <v>98</v>
      </c>
      <c r="E360" s="19"/>
      <c r="F360" s="19" t="s">
        <v>169</v>
      </c>
      <c r="G360" s="19"/>
      <c r="H360" s="19"/>
      <c r="I360" s="20"/>
      <c r="J360" s="20"/>
      <c r="K360" s="20"/>
      <c r="L360" s="20"/>
      <c r="M360" s="20"/>
      <c r="N360" s="20"/>
      <c r="O360" s="20"/>
      <c r="P360" s="20"/>
      <c r="Q360" s="20"/>
      <c r="R360" s="20"/>
      <c r="S360" s="20"/>
      <c r="T360" s="20"/>
      <c r="U360" s="20"/>
      <c r="V360" s="20"/>
      <c r="W360" s="20"/>
      <c r="X360" s="20"/>
      <c r="Y360" s="20"/>
      <c r="Z360" s="20"/>
      <c r="AA360" s="20"/>
      <c r="AB360" s="20"/>
      <c r="AC360" s="21"/>
      <c r="AD360" s="22"/>
    </row>
    <row r="361" spans="1:30" s="23" customFormat="1" x14ac:dyDescent="0.3">
      <c r="A361" s="18"/>
      <c r="B361" s="19"/>
      <c r="C361" s="19"/>
      <c r="D361" s="217"/>
      <c r="E361" s="19"/>
      <c r="F361" s="19"/>
      <c r="G361" s="19"/>
      <c r="H361" s="19"/>
      <c r="I361" s="20"/>
      <c r="J361" s="20"/>
      <c r="K361" s="20"/>
      <c r="L361" s="20"/>
      <c r="M361" s="20"/>
      <c r="N361" s="20"/>
      <c r="O361" s="20"/>
      <c r="P361" s="20"/>
      <c r="Q361" s="20"/>
      <c r="R361" s="20"/>
      <c r="S361" s="20"/>
      <c r="T361" s="20"/>
      <c r="U361" s="20"/>
      <c r="V361" s="20"/>
      <c r="W361" s="20"/>
      <c r="X361" s="20"/>
      <c r="Y361" s="20"/>
      <c r="Z361" s="20"/>
      <c r="AA361" s="20"/>
      <c r="AB361" s="20"/>
      <c r="AC361" s="21"/>
      <c r="AD361" s="22"/>
    </row>
    <row r="362" spans="1:30" s="23" customFormat="1" x14ac:dyDescent="0.3">
      <c r="A362" s="18"/>
      <c r="B362" s="257" t="s">
        <v>333</v>
      </c>
      <c r="C362" s="19"/>
      <c r="D362" s="217"/>
      <c r="E362" s="19"/>
      <c r="F362" s="19"/>
      <c r="G362" s="19"/>
      <c r="H362" s="19"/>
      <c r="I362" s="20"/>
      <c r="J362" s="20"/>
      <c r="K362" s="20"/>
      <c r="L362" s="20"/>
      <c r="M362" s="20"/>
      <c r="N362" s="20"/>
      <c r="O362" s="20"/>
      <c r="P362" s="20"/>
      <c r="Q362" s="20"/>
      <c r="R362" s="20"/>
      <c r="S362" s="20"/>
      <c r="T362" s="20"/>
      <c r="U362" s="20"/>
      <c r="V362" s="20"/>
      <c r="W362" s="20"/>
      <c r="X362" s="20"/>
      <c r="Y362" s="20"/>
      <c r="Z362" s="20"/>
      <c r="AA362" s="20"/>
      <c r="AB362" s="20"/>
      <c r="AC362" s="21"/>
      <c r="AD362" s="22"/>
    </row>
    <row r="363" spans="1:30" x14ac:dyDescent="0.3">
      <c r="A363" s="218"/>
      <c r="B363" s="258"/>
      <c r="C363" s="219"/>
      <c r="D363" s="220"/>
      <c r="E363" s="220"/>
      <c r="F363" s="220"/>
      <c r="G363" s="220"/>
      <c r="H363" s="220"/>
      <c r="I363" s="220"/>
      <c r="J363" s="220"/>
      <c r="K363" s="220"/>
      <c r="L363" s="220"/>
      <c r="M363" s="220"/>
      <c r="N363" s="220"/>
      <c r="O363" s="220"/>
      <c r="P363" s="220"/>
      <c r="Q363" s="220"/>
      <c r="R363" s="220"/>
      <c r="S363" s="220"/>
      <c r="T363" s="220"/>
      <c r="U363" s="220"/>
      <c r="V363" s="220"/>
      <c r="W363" s="220"/>
      <c r="X363" s="220"/>
      <c r="Y363" s="220"/>
      <c r="Z363" s="220"/>
      <c r="AA363" s="220"/>
      <c r="AB363" s="220"/>
      <c r="AC363" s="221"/>
      <c r="AD363" s="5"/>
    </row>
    <row r="364" spans="1:30" ht="18" x14ac:dyDescent="0.35">
      <c r="A364" s="218"/>
      <c r="B364" s="259" t="s">
        <v>109</v>
      </c>
      <c r="C364" s="219"/>
      <c r="D364" s="220"/>
      <c r="E364" s="220"/>
      <c r="F364" s="220"/>
      <c r="G364" s="220"/>
      <c r="H364" s="220"/>
      <c r="I364" s="220"/>
      <c r="J364" s="220"/>
      <c r="K364" s="220"/>
      <c r="L364" s="220"/>
      <c r="M364" s="220"/>
      <c r="N364" s="220"/>
      <c r="O364" s="220"/>
      <c r="P364" s="260" t="s">
        <v>167</v>
      </c>
      <c r="Q364" s="220"/>
      <c r="R364" s="220"/>
      <c r="S364" s="220"/>
      <c r="T364" s="220"/>
      <c r="U364" s="220"/>
      <c r="V364" s="220"/>
      <c r="W364" s="220"/>
      <c r="X364" s="220"/>
      <c r="Y364" s="220"/>
      <c r="Z364" s="220"/>
      <c r="AA364" s="220"/>
      <c r="AB364" s="220"/>
      <c r="AC364" s="221"/>
      <c r="AD364" s="5"/>
    </row>
    <row r="365" spans="1:30" ht="18" x14ac:dyDescent="0.35">
      <c r="A365" s="218"/>
      <c r="B365" s="259"/>
      <c r="C365" s="219"/>
      <c r="D365" s="220"/>
      <c r="E365" s="220"/>
      <c r="F365" s="220"/>
      <c r="G365" s="220"/>
      <c r="H365" s="220"/>
      <c r="I365" s="220"/>
      <c r="J365" s="220"/>
      <c r="K365" s="220"/>
      <c r="L365" s="220"/>
      <c r="M365" s="220"/>
      <c r="N365" s="220"/>
      <c r="O365" s="220"/>
      <c r="P365" s="260"/>
      <c r="Q365" s="220"/>
      <c r="R365" s="220"/>
      <c r="S365" s="220"/>
      <c r="T365" s="220"/>
      <c r="U365" s="220"/>
      <c r="V365" s="220"/>
      <c r="W365" s="220"/>
      <c r="X365" s="220"/>
      <c r="Y365" s="220"/>
      <c r="Z365" s="220"/>
      <c r="AA365" s="220"/>
      <c r="AB365" s="220"/>
      <c r="AC365" s="221"/>
      <c r="AD365" s="5"/>
    </row>
    <row r="366" spans="1:30" ht="18.600000000000001" thickBot="1" x14ac:dyDescent="0.4">
      <c r="A366" s="218"/>
      <c r="B366" s="222" t="str">
        <f>B237</f>
        <v>PM26 INVESTOR REPORT QUARTER ENDING APRIL 2020</v>
      </c>
      <c r="C366" s="219"/>
      <c r="D366" s="220"/>
      <c r="E366" s="220"/>
      <c r="F366" s="220"/>
      <c r="G366" s="220"/>
      <c r="H366" s="220"/>
      <c r="I366" s="220"/>
      <c r="J366" s="220"/>
      <c r="K366" s="220"/>
      <c r="L366" s="220"/>
      <c r="M366" s="220"/>
      <c r="N366" s="220"/>
      <c r="O366" s="220"/>
      <c r="P366" s="220"/>
      <c r="Q366" s="220"/>
      <c r="R366" s="220"/>
      <c r="S366" s="220"/>
      <c r="T366" s="220"/>
      <c r="U366" s="220"/>
      <c r="V366" s="220"/>
      <c r="W366" s="220"/>
      <c r="X366" s="220"/>
      <c r="Y366" s="220"/>
      <c r="Z366" s="220"/>
      <c r="AA366" s="220"/>
      <c r="AB366" s="220"/>
      <c r="AC366" s="223"/>
      <c r="AD366" s="5"/>
    </row>
    <row r="367" spans="1:30" x14ac:dyDescent="0.3">
      <c r="A367" s="224"/>
      <c r="B367" s="224"/>
      <c r="C367" s="224"/>
      <c r="D367" s="224"/>
      <c r="E367" s="224"/>
      <c r="F367" s="224"/>
      <c r="G367" s="224"/>
      <c r="H367" s="224"/>
      <c r="I367" s="224"/>
      <c r="J367" s="224"/>
      <c r="K367" s="224"/>
      <c r="L367" s="224"/>
      <c r="M367" s="224"/>
      <c r="N367" s="224"/>
      <c r="O367" s="224"/>
      <c r="P367" s="224"/>
      <c r="Q367" s="224"/>
      <c r="R367" s="224"/>
      <c r="S367" s="224"/>
      <c r="T367" s="224"/>
      <c r="U367" s="224"/>
      <c r="V367" s="224"/>
      <c r="W367" s="224"/>
      <c r="X367" s="224"/>
      <c r="Y367" s="224"/>
      <c r="Z367" s="224"/>
      <c r="AA367" s="224"/>
      <c r="AB367" s="224"/>
      <c r="AC367" s="224"/>
    </row>
    <row r="368" spans="1:30" x14ac:dyDescent="0.3">
      <c r="B368" s="6" t="s">
        <v>307</v>
      </c>
    </row>
    <row r="370" spans="2:2" x14ac:dyDescent="0.3">
      <c r="B370" s="279" t="s">
        <v>315</v>
      </c>
    </row>
    <row r="371" spans="2:2" x14ac:dyDescent="0.3">
      <c r="B371" s="270" t="s">
        <v>316</v>
      </c>
    </row>
    <row r="372" spans="2:2" x14ac:dyDescent="0.3">
      <c r="B372" s="270" t="s">
        <v>317</v>
      </c>
    </row>
    <row r="373" spans="2:2" x14ac:dyDescent="0.3">
      <c r="B373" s="270" t="s">
        <v>318</v>
      </c>
    </row>
    <row r="374" spans="2:2" x14ac:dyDescent="0.3">
      <c r="B374" s="270" t="s">
        <v>319</v>
      </c>
    </row>
    <row r="375" spans="2:2" x14ac:dyDescent="0.3">
      <c r="B375" s="270" t="s">
        <v>320</v>
      </c>
    </row>
    <row r="376" spans="2:2" x14ac:dyDescent="0.3">
      <c r="B376" s="270" t="s">
        <v>321</v>
      </c>
    </row>
    <row r="377" spans="2:2" x14ac:dyDescent="0.3">
      <c r="B377" s="270" t="s">
        <v>322</v>
      </c>
    </row>
    <row r="378" spans="2:2" x14ac:dyDescent="0.3">
      <c r="B378" s="270"/>
    </row>
    <row r="379" spans="2:2" x14ac:dyDescent="0.3">
      <c r="B379" s="279" t="s">
        <v>323</v>
      </c>
    </row>
    <row r="380" spans="2:2" x14ac:dyDescent="0.3">
      <c r="B380" s="270" t="s">
        <v>324</v>
      </c>
    </row>
    <row r="381" spans="2:2" x14ac:dyDescent="0.3">
      <c r="B381" s="270" t="s">
        <v>332</v>
      </c>
    </row>
  </sheetData>
  <hyperlinks>
    <hyperlink ref="K9" r:id="rId1" display="http://www.paragon-group.co.uk" xr:uid="{9653096F-AE09-4E5E-99FA-10377205F0EA}"/>
    <hyperlink ref="P364" r:id="rId2" xr:uid="{DB066EFA-9420-4F0B-8D41-3E40C5E82DDE}"/>
    <hyperlink ref="P277" r:id="rId3" xr:uid="{2F4B0982-4266-4DD6-9FF0-5BA0D734053E}"/>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4" max="18" man="1"/>
    <brk id="134" max="18" man="1"/>
    <brk id="237" max="18" man="1"/>
  </rowBreaks>
  <colBreaks count="1" manualBreakCount="1">
    <brk id="29" max="299" man="1"/>
  </colBreak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C66BC-11EF-4F88-BD4E-3D06F0F1F380}">
  <sheetPr>
    <tabColor rgb="FF2D2926"/>
  </sheetPr>
  <dimension ref="A1:JB388"/>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0.25369999999999998</v>
      </c>
      <c r="Z17" s="29" t="s">
        <v>258</v>
      </c>
      <c r="AA17" s="29">
        <v>0.74629999999999996</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44062</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215</v>
      </c>
      <c r="I27" s="229"/>
      <c r="J27" s="229" t="s">
        <v>269</v>
      </c>
      <c r="K27" s="229"/>
      <c r="L27" s="229" t="s">
        <v>270</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264714.78691999998</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7550.8251499999997</v>
      </c>
      <c r="Q30" s="54"/>
      <c r="R30" s="54">
        <v>6094</v>
      </c>
      <c r="S30" s="54"/>
      <c r="T30" s="54" t="s">
        <v>83</v>
      </c>
      <c r="U30" s="54"/>
      <c r="V30" s="54" t="s">
        <v>83</v>
      </c>
      <c r="W30" s="54"/>
      <c r="X30" s="54" t="s">
        <v>83</v>
      </c>
      <c r="Y30" s="54" t="s">
        <v>83</v>
      </c>
      <c r="Z30" s="54"/>
      <c r="AA30" s="49"/>
      <c r="AB30" s="50">
        <f>SUM(D30:N30)</f>
        <v>499757.78691999998</v>
      </c>
      <c r="AC30" s="51"/>
      <c r="AD30" s="22"/>
    </row>
    <row r="31" spans="1:33" s="23" customFormat="1" x14ac:dyDescent="0.3">
      <c r="A31" s="47"/>
      <c r="B31" s="44" t="s">
        <v>92</v>
      </c>
      <c r="C31" s="49"/>
      <c r="D31" s="57">
        <f>D29*D32</f>
        <v>243461.82653999998</v>
      </c>
      <c r="E31" s="57"/>
      <c r="F31" s="57">
        <f>F29</f>
        <v>151540</v>
      </c>
      <c r="G31" s="57"/>
      <c r="H31" s="57">
        <f>H29</f>
        <v>24741</v>
      </c>
      <c r="I31" s="57"/>
      <c r="J31" s="57">
        <f>J29</f>
        <v>18555</v>
      </c>
      <c r="K31" s="57"/>
      <c r="L31" s="57">
        <f>L29</f>
        <v>20102</v>
      </c>
      <c r="M31" s="57"/>
      <c r="N31" s="57">
        <f>N29</f>
        <v>20105</v>
      </c>
      <c r="O31" s="57"/>
      <c r="P31" s="57">
        <f>P29*P32</f>
        <v>7194.9354600000006</v>
      </c>
      <c r="Q31" s="57"/>
      <c r="R31" s="57">
        <v>4722</v>
      </c>
      <c r="S31" s="57"/>
      <c r="T31" s="57" t="s">
        <v>83</v>
      </c>
      <c r="U31" s="57"/>
      <c r="V31" s="57" t="s">
        <v>83</v>
      </c>
      <c r="W31" s="57"/>
      <c r="X31" s="57" t="s">
        <v>83</v>
      </c>
      <c r="Y31" s="57" t="s">
        <v>83</v>
      </c>
      <c r="Z31" s="57"/>
      <c r="AA31" s="49"/>
      <c r="AB31" s="56">
        <f>SUM(D31:N31)</f>
        <v>478504.82653999998</v>
      </c>
      <c r="AC31" s="51"/>
      <c r="AD31" s="22"/>
      <c r="AE31" s="235"/>
    </row>
    <row r="32" spans="1:33" s="65" customFormat="1" x14ac:dyDescent="0.3">
      <c r="A32" s="58"/>
      <c r="B32" s="166" t="s">
        <v>88</v>
      </c>
      <c r="C32" s="61"/>
      <c r="D32" s="60">
        <v>0.63485999999999998</v>
      </c>
      <c r="E32" s="60"/>
      <c r="F32" s="60">
        <v>1</v>
      </c>
      <c r="G32" s="60"/>
      <c r="H32" s="60">
        <v>1</v>
      </c>
      <c r="I32" s="60"/>
      <c r="J32" s="60">
        <v>1</v>
      </c>
      <c r="K32" s="60"/>
      <c r="L32" s="60">
        <v>1</v>
      </c>
      <c r="M32" s="60"/>
      <c r="N32" s="60">
        <v>1</v>
      </c>
      <c r="O32" s="60"/>
      <c r="P32" s="60">
        <v>0.70698000000000005</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0.69028</v>
      </c>
      <c r="E33" s="225"/>
      <c r="F33" s="225">
        <v>1</v>
      </c>
      <c r="G33" s="225"/>
      <c r="H33" s="225">
        <v>1</v>
      </c>
      <c r="I33" s="225"/>
      <c r="J33" s="225">
        <v>1</v>
      </c>
      <c r="K33" s="225"/>
      <c r="L33" s="225">
        <v>1</v>
      </c>
      <c r="M33" s="225"/>
      <c r="N33" s="225">
        <v>1</v>
      </c>
      <c r="O33" s="225"/>
      <c r="P33" s="60">
        <v>0.74195</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1.11328E-2</v>
      </c>
      <c r="E35" s="241"/>
      <c r="F35" s="241">
        <v>1.26328E-2</v>
      </c>
      <c r="G35" s="241"/>
      <c r="H35" s="241">
        <v>1.9632799999999999E-2</v>
      </c>
      <c r="I35" s="241"/>
      <c r="J35" s="241">
        <v>2.3132799999999999E-2</v>
      </c>
      <c r="K35" s="241"/>
      <c r="L35" s="241">
        <v>2.6632800000000002E-2</v>
      </c>
      <c r="M35" s="241"/>
      <c r="N35" s="241">
        <v>3.66328E-2</v>
      </c>
      <c r="O35" s="241"/>
      <c r="P35" s="241">
        <v>4.0632799999999997E-2</v>
      </c>
      <c r="Q35" s="241"/>
      <c r="R35" s="241">
        <v>4.0632799999999997E-2</v>
      </c>
      <c r="S35" s="68"/>
      <c r="T35" s="68" t="s">
        <v>83</v>
      </c>
      <c r="U35" s="68"/>
      <c r="V35" s="68" t="s">
        <v>83</v>
      </c>
      <c r="W35" s="68"/>
      <c r="X35" s="68" t="s">
        <v>83</v>
      </c>
      <c r="Y35" s="68" t="s">
        <v>83</v>
      </c>
      <c r="Z35" s="68"/>
      <c r="AA35" s="40"/>
      <c r="AB35" s="67">
        <f>SUMPRODUCT(D35:N35,D30:N30)/AB30</f>
        <v>1.4103292984509793E-2</v>
      </c>
      <c r="AC35" s="43"/>
      <c r="AD35" s="22"/>
    </row>
    <row r="36" spans="1:30" s="23" customFormat="1" x14ac:dyDescent="0.3">
      <c r="A36" s="47"/>
      <c r="B36" s="40" t="s">
        <v>10</v>
      </c>
      <c r="C36" s="69"/>
      <c r="D36" s="241">
        <v>1.3511499999999999E-2</v>
      </c>
      <c r="E36" s="241"/>
      <c r="F36" s="241">
        <v>1.5011500000000001E-2</v>
      </c>
      <c r="G36" s="241"/>
      <c r="H36" s="241">
        <v>2.20115E-2</v>
      </c>
      <c r="I36" s="241"/>
      <c r="J36" s="241">
        <v>2.5511499999999999E-2</v>
      </c>
      <c r="K36" s="241"/>
      <c r="L36" s="241">
        <v>2.9011499999999999E-2</v>
      </c>
      <c r="M36" s="241"/>
      <c r="N36" s="241">
        <v>3.9011499999999998E-2</v>
      </c>
      <c r="O36" s="241"/>
      <c r="P36" s="241">
        <v>4.3011500000000001E-2</v>
      </c>
      <c r="Q36" s="241"/>
      <c r="R36" s="241">
        <v>4.3011500000000001E-2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0.21139902245880893</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44060</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88</v>
      </c>
      <c r="Y48" s="40"/>
      <c r="Z48" s="76">
        <v>43878</v>
      </c>
      <c r="AA48" s="77"/>
      <c r="AB48" s="76">
        <v>43965</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94</v>
      </c>
      <c r="Y49" s="40"/>
      <c r="Z49" s="76">
        <v>43966</v>
      </c>
      <c r="AA49" s="77"/>
      <c r="AB49" s="76">
        <v>44059</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44059</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335</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499564</v>
      </c>
      <c r="S58" s="238"/>
      <c r="T58" s="237">
        <f>135+186</f>
        <v>321</v>
      </c>
      <c r="U58" s="238"/>
      <c r="V58" s="238">
        <v>20741</v>
      </c>
      <c r="W58" s="238"/>
      <c r="X58" s="238">
        <v>0</v>
      </c>
      <c r="Y58" s="238"/>
      <c r="Z58" s="238">
        <v>0</v>
      </c>
      <c r="AA58" s="238"/>
      <c r="AB58" s="237">
        <f>R58-T58-V58+X58-Z58</f>
        <v>478502</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499564</v>
      </c>
      <c r="S61" s="238"/>
      <c r="T61" s="238">
        <f>T58+T59</f>
        <v>321</v>
      </c>
      <c r="U61" s="238"/>
      <c r="V61" s="238">
        <f>SUM(V58:V60)</f>
        <v>20741</v>
      </c>
      <c r="W61" s="238"/>
      <c r="X61" s="238">
        <f>SUM(X58:X60)</f>
        <v>0</v>
      </c>
      <c r="Y61" s="238"/>
      <c r="Z61" s="238">
        <f>SUM(Z58:Z60)</f>
        <v>0</v>
      </c>
      <c r="AA61" s="238"/>
      <c r="AB61" s="238">
        <f>SUM(AB58:AB60)</f>
        <v>478502</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2</v>
      </c>
      <c r="S64" s="238"/>
      <c r="T64" s="238">
        <v>0</v>
      </c>
      <c r="U64" s="238"/>
      <c r="V64" s="238">
        <v>1</v>
      </c>
      <c r="W64" s="238"/>
      <c r="X64" s="238"/>
      <c r="Y64" s="238"/>
      <c r="Z64" s="238"/>
      <c r="AA64" s="238"/>
      <c r="AB64" s="238">
        <f>R64+V64</f>
        <v>3</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192</v>
      </c>
      <c r="S65" s="238"/>
      <c r="T65" s="238"/>
      <c r="U65" s="238"/>
      <c r="V65" s="238"/>
      <c r="W65" s="238"/>
      <c r="X65" s="238">
        <v>-192</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499758</v>
      </c>
      <c r="S67" s="238"/>
      <c r="T67" s="238"/>
      <c r="U67" s="238"/>
      <c r="V67" s="238"/>
      <c r="W67" s="238"/>
      <c r="X67" s="238"/>
      <c r="Y67" s="238"/>
      <c r="Z67" s="238"/>
      <c r="AA67" s="238"/>
      <c r="AB67" s="238">
        <f>SUM(AB61:AB66)</f>
        <v>478505</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44043</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2</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192</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+T58+V58+Z58-5</f>
        <v>21057</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3522+1431-726-347</f>
        <v>3880</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107+15</f>
        <v>122</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14</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356</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579</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21251</v>
      </c>
      <c r="AA84" s="40"/>
      <c r="AB84" s="97">
        <f>SUM(AB71:AB83)</f>
        <v>4951</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21251</v>
      </c>
      <c r="AA87" s="40"/>
      <c r="AB87" s="97">
        <f>AB84+AB85+AB86</f>
        <v>4951</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-252-15-7</f>
        <v>-274</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-617</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-759</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-493</v>
      </c>
      <c r="AC94" s="114"/>
      <c r="AD94" s="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-125</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-111</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-138</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5</v>
      </c>
      <c r="AA101" s="112"/>
      <c r="AB101" s="98">
        <v>-5</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-350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-16</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-190</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-79</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-356</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-64</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-1372</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0"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0</v>
      </c>
      <c r="AC113" s="114"/>
      <c r="AD113" s="5"/>
    </row>
    <row r="114" spans="1:30"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0</v>
      </c>
      <c r="AC114" s="114"/>
      <c r="AD114" s="5"/>
    </row>
    <row r="115" spans="1:30"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0</v>
      </c>
      <c r="AC115" s="114"/>
      <c r="AD115" s="5"/>
    </row>
    <row r="116" spans="1:30"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0"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0"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0"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0"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-21253</v>
      </c>
      <c r="AA123" s="97"/>
      <c r="AB123" s="98"/>
      <c r="AC123" s="43"/>
      <c r="AD123" s="22"/>
    </row>
    <row r="124" spans="1:30"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0"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-21253</v>
      </c>
      <c r="AA130" s="97"/>
      <c r="AB130" s="97">
        <f>SUM(AB88:AB128)</f>
        <v>-4951</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3</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JULY 2020</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+'April 20'!AB146</f>
        <v>6971.5499999999993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-356</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6615.5499999999993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+'April 20'!AB159</f>
        <v>579.85500000000002</v>
      </c>
      <c r="AC150" s="43"/>
      <c r="AD150" s="22"/>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+'April 20'!AB165</f>
        <v>192</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-192</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+'April 20'!AB173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5</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5</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-5</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+'April 20'!AB181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+'April 20'!AB190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+'April 20'!AB198</f>
        <v>1755</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273</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579</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202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1449</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+'April 20'!AB206</f>
        <v>849</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v>273</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350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AB203-AB204+AB205</f>
        <v>926</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+'April 20'!Y213</f>
        <v>0</v>
      </c>
      <c r="Z211" s="98">
        <f>+'April 20'!Z213</f>
        <v>5</v>
      </c>
      <c r="AA211" s="40"/>
      <c r="AB211" s="98">
        <f>Y211+Z211</f>
        <v>5</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259</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411263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402190</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9073</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6.4999999999999997E-3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3.2412140575079871</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2.66</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22.448</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21.39</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24.153153153153152</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23.65</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18.623188405797102</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18.57</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12.8</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13.19</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JULY 2020</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44043</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1"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2.0008281159907649E-2</v>
      </c>
      <c r="AA241" s="40"/>
      <c r="AB241" s="40"/>
      <c r="AC241" s="43"/>
      <c r="AD241" s="22"/>
    </row>
    <row r="242" spans="1:31"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1"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3.8710000000000001E-2</v>
      </c>
      <c r="AA243" s="40"/>
      <c r="AB243" s="40"/>
      <c r="AC243" s="43"/>
      <c r="AD243" s="22"/>
    </row>
    <row r="244" spans="1:31"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1.4103292984509793E-2</v>
      </c>
      <c r="AA244" s="40"/>
      <c r="AB244" s="40"/>
      <c r="AC244" s="43"/>
      <c r="AD244" s="22"/>
    </row>
    <row r="245" spans="1:31"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2.4606707015490208E-2</v>
      </c>
      <c r="AA245" s="40"/>
      <c r="AB245" s="40"/>
      <c r="AC245" s="43"/>
      <c r="AD245" s="22"/>
    </row>
    <row r="246" spans="1:31"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(+AB87+AB89)/R67</f>
        <v>9.906794888726143E-3</v>
      </c>
      <c r="AA246" s="40"/>
      <c r="AB246" s="40"/>
      <c r="AC246" s="43"/>
      <c r="AD246" s="22"/>
    </row>
    <row r="247" spans="1:31"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1"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1"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1"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1"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1"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1"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1"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1"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17.41</v>
      </c>
      <c r="AA255" s="40" t="s">
        <v>76</v>
      </c>
      <c r="AB255" s="40"/>
      <c r="AC255" s="43"/>
      <c r="AD255" s="22"/>
    </row>
    <row r="256" spans="1:31"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4.2144397888578072E-2</v>
      </c>
      <c r="AA256" s="40"/>
      <c r="AB256" s="40"/>
      <c r="AC256" s="43"/>
      <c r="AD256" s="22"/>
      <c r="AE256" s="271"/>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0.20449999999999999</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0</v>
      </c>
      <c r="Z260" s="157">
        <v>0</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0</v>
      </c>
      <c r="Z261" s="162">
        <f>+Z313</f>
        <v>0</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+X335</f>
        <v>0</v>
      </c>
      <c r="Z262" s="162">
        <f>+Z335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5</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'April 20'!Z266+Z266</f>
        <v>5</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0</v>
      </c>
      <c r="Z273" s="162">
        <v>0</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0</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261" t="s">
        <v>167</v>
      </c>
      <c r="Q277" s="182"/>
      <c r="R277" s="182"/>
      <c r="S277" s="182"/>
      <c r="T277" s="182"/>
      <c r="U277" s="182"/>
      <c r="V277" s="182"/>
      <c r="W277" s="59"/>
      <c r="X277" s="183"/>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 t="shared" ref="X280:X287" si="1">+X292+X304+X326</f>
        <v>2706</v>
      </c>
      <c r="Y280" s="192">
        <f>X280/$X$289</f>
        <v>0.99889258028792915</v>
      </c>
      <c r="Z280" s="107">
        <f t="shared" ref="Z280:Z287" si="2">+Z292+Z304+Z326</f>
        <v>477985</v>
      </c>
      <c r="AA280" s="192">
        <f t="shared" ref="AA280:AA287" si="3">Z280/$Z$289</f>
        <v>0.99891954474589451</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 t="shared" si="1"/>
        <v>2</v>
      </c>
      <c r="Y281" s="196">
        <f t="shared" ref="Y281:Y287" si="4">X281/$X$289</f>
        <v>7.3827980804724988E-4</v>
      </c>
      <c r="Z281" s="197">
        <f t="shared" si="2"/>
        <v>238</v>
      </c>
      <c r="AA281" s="198">
        <f t="shared" si="3"/>
        <v>4.9738559086482401E-4</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1"/>
        <v>0</v>
      </c>
      <c r="Y282" s="200">
        <f t="shared" si="4"/>
        <v>0</v>
      </c>
      <c r="Z282" s="131">
        <f t="shared" si="2"/>
        <v>0</v>
      </c>
      <c r="AA282" s="198">
        <f t="shared" si="3"/>
        <v>0</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0</v>
      </c>
      <c r="Y283" s="200">
        <f t="shared" si="4"/>
        <v>0</v>
      </c>
      <c r="Z283" s="131">
        <f t="shared" si="2"/>
        <v>0</v>
      </c>
      <c r="AA283" s="198">
        <f t="shared" si="3"/>
        <v>0</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0</v>
      </c>
      <c r="Y284" s="200">
        <f t="shared" si="4"/>
        <v>0</v>
      </c>
      <c r="Z284" s="131">
        <f t="shared" si="2"/>
        <v>0</v>
      </c>
      <c r="AA284" s="198">
        <f t="shared" si="3"/>
        <v>0</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0</v>
      </c>
      <c r="Y285" s="200">
        <f t="shared" si="4"/>
        <v>0</v>
      </c>
      <c r="Z285" s="131">
        <f t="shared" si="2"/>
        <v>0</v>
      </c>
      <c r="AA285" s="198">
        <f t="shared" si="3"/>
        <v>0</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1"/>
        <v>1</v>
      </c>
      <c r="Y286" s="202">
        <f t="shared" si="4"/>
        <v>3.6913990402362494E-4</v>
      </c>
      <c r="Z286" s="203">
        <f t="shared" si="2"/>
        <v>279</v>
      </c>
      <c r="AA286" s="198">
        <f t="shared" si="3"/>
        <v>5.8306966324069703E-4</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 t="shared" si="1"/>
        <v>0</v>
      </c>
      <c r="Y287" s="198">
        <f t="shared" si="4"/>
        <v>0</v>
      </c>
      <c r="Z287" s="107">
        <f t="shared" si="2"/>
        <v>0</v>
      </c>
      <c r="AA287" s="198">
        <f t="shared" si="3"/>
        <v>0</v>
      </c>
      <c r="AB287" s="163"/>
      <c r="AC287" s="175"/>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2709</v>
      </c>
      <c r="Y289" s="198">
        <f>SUM(Y280:Y288)</f>
        <v>1</v>
      </c>
      <c r="Z289" s="98">
        <f>SUM(Z280:Z288)</f>
        <v>478502</v>
      </c>
      <c r="AA289" s="198">
        <f>SUM(AA280:AA288)</f>
        <v>1</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2706</v>
      </c>
      <c r="Y292" s="192">
        <f>X292/$X$301</f>
        <v>0.99889258028792915</v>
      </c>
      <c r="Z292" s="107">
        <v>477985</v>
      </c>
      <c r="AA292" s="192">
        <f>Z292/$Z$301</f>
        <v>0.99891954474589451</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2</v>
      </c>
      <c r="Y293" s="198">
        <f t="shared" ref="Y293:Y299" si="5">X293/$X$301</f>
        <v>7.3827980804724988E-4</v>
      </c>
      <c r="Z293" s="98">
        <v>238</v>
      </c>
      <c r="AA293" s="198">
        <f t="shared" ref="AA293:AA299" si="6">Z293/$Z$301</f>
        <v>4.9738559086482401E-4</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5"/>
        <v>0</v>
      </c>
      <c r="Z294" s="98">
        <v>0</v>
      </c>
      <c r="AA294" s="198">
        <f t="shared" si="6"/>
        <v>0</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0</v>
      </c>
      <c r="Y295" s="198">
        <f t="shared" si="5"/>
        <v>0</v>
      </c>
      <c r="Z295" s="98">
        <v>0</v>
      </c>
      <c r="AA295" s="198">
        <f t="shared" si="6"/>
        <v>0</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0</v>
      </c>
      <c r="Y297" s="198">
        <f t="shared" si="5"/>
        <v>0</v>
      </c>
      <c r="Z297" s="98">
        <v>0</v>
      </c>
      <c r="AA297" s="198">
        <f t="shared" si="6"/>
        <v>0</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1</v>
      </c>
      <c r="Y298" s="198">
        <f>X298/$X$301</f>
        <v>3.6913990402362494E-4</v>
      </c>
      <c r="Z298" s="98">
        <v>279</v>
      </c>
      <c r="AA298" s="198">
        <f t="shared" si="6"/>
        <v>5.8306966324069703E-4</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0</v>
      </c>
      <c r="Y299" s="198">
        <f t="shared" si="5"/>
        <v>0</v>
      </c>
      <c r="Z299" s="98">
        <v>0</v>
      </c>
      <c r="AA299" s="198">
        <f t="shared" si="6"/>
        <v>0</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2709</v>
      </c>
      <c r="Y301" s="198">
        <f>SUM(Y292:Y300)</f>
        <v>1</v>
      </c>
      <c r="Z301" s="98">
        <f>SUM(Z292:Z300)</f>
        <v>478502</v>
      </c>
      <c r="AA301" s="198">
        <f>SUM(AA292:AA300)</f>
        <v>1</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v>0</v>
      </c>
      <c r="Z310" s="98">
        <v>0</v>
      </c>
      <c r="AA310" s="198">
        <v>0</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0</v>
      </c>
      <c r="Y313" s="198">
        <f>SUM(Y304:Y312)</f>
        <v>0</v>
      </c>
      <c r="Z313" s="98">
        <f>SUM(Z304:Z312)</f>
        <v>0</v>
      </c>
      <c r="AA313" s="198">
        <f>SUM(AA304:AA312)</f>
        <v>0</v>
      </c>
      <c r="AB313" s="40"/>
      <c r="AC313" s="43"/>
      <c r="AD313" s="22"/>
    </row>
    <row r="314" spans="1:30" s="23" customFormat="1" x14ac:dyDescent="0.3">
      <c r="A314" s="47"/>
      <c r="B314" s="40"/>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c r="Y314" s="198"/>
      <c r="Z314" s="98"/>
      <c r="AA314" s="198"/>
      <c r="AB314" s="40"/>
      <c r="AC314" s="43"/>
      <c r="AD314" s="22"/>
    </row>
    <row r="315" spans="1:30" s="23" customFormat="1" x14ac:dyDescent="0.3">
      <c r="A315" s="242"/>
      <c r="B315" s="243" t="s">
        <v>330</v>
      </c>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62" t="s">
        <v>69</v>
      </c>
      <c r="Y315" s="263" t="s">
        <v>70</v>
      </c>
      <c r="Z315" s="262" t="s">
        <v>75</v>
      </c>
      <c r="AA315" s="263" t="s">
        <v>70</v>
      </c>
      <c r="AB315" s="243"/>
      <c r="AC315" s="243"/>
      <c r="AD315" s="22"/>
    </row>
    <row r="316" spans="1:30" s="23" customFormat="1" x14ac:dyDescent="0.3">
      <c r="A316" s="273"/>
      <c r="B316" s="274" t="s">
        <v>326</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6">
        <v>0</v>
      </c>
      <c r="Y316" s="277">
        <v>0</v>
      </c>
      <c r="Z316" s="278">
        <v>0</v>
      </c>
      <c r="AA316" s="277">
        <v>0</v>
      </c>
      <c r="AB316" s="40"/>
      <c r="AC316" s="43"/>
      <c r="AD316" s="22"/>
    </row>
    <row r="317" spans="1:30" s="23" customFormat="1" x14ac:dyDescent="0.3">
      <c r="A317" s="273"/>
      <c r="B317" s="274" t="s">
        <v>327</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6">
        <v>0</v>
      </c>
      <c r="Y317" s="277">
        <v>0</v>
      </c>
      <c r="Z317" s="278">
        <v>0</v>
      </c>
      <c r="AA317" s="277">
        <v>0</v>
      </c>
      <c r="AB317" s="40"/>
      <c r="AC317" s="43"/>
      <c r="AD317" s="22"/>
    </row>
    <row r="318" spans="1:30" s="23" customFormat="1" x14ac:dyDescent="0.3">
      <c r="A318" s="273"/>
      <c r="B318" s="274" t="s">
        <v>328</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6">
        <v>0</v>
      </c>
      <c r="Y318" s="277">
        <v>0</v>
      </c>
      <c r="Z318" s="278">
        <v>0</v>
      </c>
      <c r="AA318" s="277">
        <v>0</v>
      </c>
      <c r="AB318" s="40"/>
      <c r="AC318" s="43"/>
      <c r="AD318" s="22"/>
    </row>
    <row r="319" spans="1:30" s="23" customFormat="1" x14ac:dyDescent="0.3">
      <c r="A319" s="273"/>
      <c r="B319" s="274" t="s">
        <v>329</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6">
        <v>0</v>
      </c>
      <c r="Y319" s="277">
        <v>0</v>
      </c>
      <c r="Z319" s="278">
        <v>0</v>
      </c>
      <c r="AA319" s="277">
        <v>0</v>
      </c>
      <c r="AB319" s="40"/>
      <c r="AC319" s="43"/>
      <c r="AD319" s="22"/>
    </row>
    <row r="320" spans="1:30" s="23" customFormat="1" x14ac:dyDescent="0.3">
      <c r="A320" s="273"/>
      <c r="B320" s="274" t="s">
        <v>334</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6">
        <v>0</v>
      </c>
      <c r="Y320" s="277">
        <v>0</v>
      </c>
      <c r="Z320" s="278">
        <v>0</v>
      </c>
      <c r="AA320" s="277">
        <v>0</v>
      </c>
      <c r="AB320" s="40"/>
      <c r="AC320" s="43"/>
      <c r="AD320" s="22"/>
    </row>
    <row r="321" spans="1:30" s="23" customFormat="1" x14ac:dyDescent="0.3">
      <c r="A321" s="273"/>
      <c r="B321" s="275" t="s">
        <v>331</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276">
        <v>0</v>
      </c>
      <c r="Y321" s="277">
        <v>0</v>
      </c>
      <c r="Z321" s="278">
        <v>0</v>
      </c>
      <c r="AA321" s="277">
        <v>0</v>
      </c>
      <c r="AB321" s="40"/>
      <c r="AC321" s="43"/>
      <c r="AD321" s="22"/>
    </row>
    <row r="322" spans="1:30" s="23" customFormat="1" x14ac:dyDescent="0.3">
      <c r="A322" s="273"/>
      <c r="B322" s="274"/>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276"/>
      <c r="Y322" s="277"/>
      <c r="Z322" s="278"/>
      <c r="AA322" s="277"/>
      <c r="AB322" s="40"/>
      <c r="AC322" s="43"/>
      <c r="AD322" s="22"/>
    </row>
    <row r="323" spans="1:30" s="23" customFormat="1" x14ac:dyDescent="0.3">
      <c r="A323" s="273"/>
      <c r="B323" s="274" t="s">
        <v>80</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f>SUM(X316:X322)</f>
        <v>0</v>
      </c>
      <c r="Y323" s="277">
        <f>SUM(Y316:Y321)</f>
        <v>0</v>
      </c>
      <c r="Z323" s="278">
        <f>SUM(Z316:Z321)</f>
        <v>0</v>
      </c>
      <c r="AA323" s="277">
        <f>SUM(AA316:AA322)</f>
        <v>0</v>
      </c>
      <c r="AB323" s="40"/>
      <c r="AC323" s="43"/>
      <c r="AD323" s="22"/>
    </row>
    <row r="324" spans="1:30" x14ac:dyDescent="0.3">
      <c r="A324" s="7"/>
      <c r="B324" s="99"/>
      <c r="C324" s="99"/>
      <c r="D324" s="205"/>
      <c r="E324" s="205"/>
      <c r="F324" s="205"/>
      <c r="G324" s="205"/>
      <c r="H324" s="205"/>
      <c r="I324" s="205"/>
      <c r="J324" s="205"/>
      <c r="K324" s="205"/>
      <c r="L324" s="205"/>
      <c r="M324" s="205"/>
      <c r="N324" s="205"/>
      <c r="O324" s="205"/>
      <c r="P324" s="205"/>
      <c r="Q324" s="205"/>
      <c r="R324" s="205"/>
      <c r="S324" s="205"/>
      <c r="T324" s="205"/>
      <c r="U324" s="205"/>
      <c r="V324" s="205"/>
      <c r="W324" s="205"/>
      <c r="X324" s="100"/>
      <c r="Y324" s="206"/>
      <c r="Z324" s="207"/>
      <c r="AA324" s="206"/>
      <c r="AB324" s="99"/>
      <c r="AC324" s="10"/>
      <c r="AD324" s="5"/>
    </row>
    <row r="325" spans="1:30" x14ac:dyDescent="0.3">
      <c r="A325" s="33"/>
      <c r="B325" s="102" t="s">
        <v>106</v>
      </c>
      <c r="C325" s="34"/>
      <c r="D325" s="208"/>
      <c r="E325" s="208"/>
      <c r="F325" s="208"/>
      <c r="G325" s="208"/>
      <c r="H325" s="208"/>
      <c r="I325" s="208"/>
      <c r="J325" s="208"/>
      <c r="K325" s="208"/>
      <c r="L325" s="208"/>
      <c r="M325" s="208"/>
      <c r="N325" s="208"/>
      <c r="O325" s="208"/>
      <c r="P325" s="208"/>
      <c r="Q325" s="208"/>
      <c r="R325" s="208"/>
      <c r="S325" s="208"/>
      <c r="T325" s="208"/>
      <c r="U325" s="208"/>
      <c r="V325" s="208"/>
      <c r="W325" s="208"/>
      <c r="X325" s="154" t="s">
        <v>69</v>
      </c>
      <c r="Y325" s="103" t="s">
        <v>70</v>
      </c>
      <c r="Z325" s="154" t="s">
        <v>75</v>
      </c>
      <c r="AA325" s="103" t="s">
        <v>70</v>
      </c>
      <c r="AB325" s="34"/>
      <c r="AC325" s="36"/>
      <c r="AD325" s="5"/>
    </row>
    <row r="326" spans="1:30" s="23" customFormat="1" x14ac:dyDescent="0.3">
      <c r="A326" s="18"/>
      <c r="B326" s="106" t="s">
        <v>59</v>
      </c>
      <c r="C326" s="37"/>
      <c r="D326" s="209"/>
      <c r="E326" s="209"/>
      <c r="F326" s="209"/>
      <c r="G326" s="209"/>
      <c r="H326" s="209"/>
      <c r="I326" s="209"/>
      <c r="J326" s="209"/>
      <c r="K326" s="209"/>
      <c r="L326" s="209"/>
      <c r="M326" s="209"/>
      <c r="N326" s="209"/>
      <c r="O326" s="209"/>
      <c r="P326" s="209"/>
      <c r="Q326" s="209"/>
      <c r="R326" s="209"/>
      <c r="S326" s="209"/>
      <c r="T326" s="209"/>
      <c r="U326" s="209"/>
      <c r="V326" s="209"/>
      <c r="W326" s="209"/>
      <c r="X326" s="106">
        <v>0</v>
      </c>
      <c r="Y326" s="192">
        <v>0</v>
      </c>
      <c r="Z326" s="107">
        <v>0</v>
      </c>
      <c r="AA326" s="192">
        <v>0</v>
      </c>
      <c r="AB326" s="37"/>
      <c r="AC326" s="21"/>
      <c r="AD326" s="22"/>
    </row>
    <row r="327" spans="1:30" s="23" customFormat="1" x14ac:dyDescent="0.3">
      <c r="A327" s="47"/>
      <c r="B327" s="97" t="s">
        <v>60</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61</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100</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101</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102</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103</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104</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c r="Y334" s="198"/>
      <c r="Z334" s="98"/>
      <c r="AA334" s="198"/>
      <c r="AB334" s="40"/>
      <c r="AC334" s="43"/>
      <c r="AD334" s="22"/>
    </row>
    <row r="335" spans="1:30" s="23" customFormat="1" x14ac:dyDescent="0.3">
      <c r="A335" s="47"/>
      <c r="B335" s="40" t="s">
        <v>80</v>
      </c>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f>SUM(X326:X333)</f>
        <v>0</v>
      </c>
      <c r="Y335" s="198">
        <f>SUM(Y326:Y333)</f>
        <v>0</v>
      </c>
      <c r="Z335" s="98">
        <f>SUM(Z326:Z333)</f>
        <v>0</v>
      </c>
      <c r="AA335" s="198">
        <f>SUM(AA326:AA333)</f>
        <v>0</v>
      </c>
      <c r="AB335" s="40"/>
      <c r="AC335" s="43"/>
      <c r="AD335" s="22"/>
    </row>
    <row r="336" spans="1:30" s="23" customFormat="1" x14ac:dyDescent="0.3">
      <c r="A336" s="47"/>
      <c r="B336" s="40"/>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c r="Y336" s="198"/>
      <c r="Z336" s="98"/>
      <c r="AA336" s="198"/>
      <c r="AB336" s="40"/>
      <c r="AC336" s="43"/>
      <c r="AD336" s="22"/>
    </row>
    <row r="337" spans="1:30" s="23" customFormat="1" x14ac:dyDescent="0.3">
      <c r="A337" s="242" t="s">
        <v>313</v>
      </c>
      <c r="B337" s="243" t="s">
        <v>314</v>
      </c>
      <c r="C337" s="244"/>
      <c r="D337" s="244"/>
      <c r="E337" s="244"/>
      <c r="F337" s="244"/>
      <c r="G337" s="244"/>
      <c r="H337" s="245"/>
      <c r="I337" s="245"/>
      <c r="J337" s="245"/>
      <c r="K337" s="245"/>
      <c r="L337" s="245"/>
      <c r="M337" s="245"/>
      <c r="N337" s="245"/>
      <c r="O337" s="245"/>
      <c r="P337" s="246"/>
      <c r="Q337" s="246"/>
      <c r="R337" s="246"/>
      <c r="S337" s="246"/>
      <c r="T337" s="246"/>
      <c r="U337" s="246"/>
      <c r="V337" s="246"/>
      <c r="W337" s="246"/>
      <c r="X337" s="262" t="s">
        <v>69</v>
      </c>
      <c r="Y337" s="263" t="s">
        <v>70</v>
      </c>
      <c r="Z337" s="262" t="s">
        <v>75</v>
      </c>
      <c r="AA337" s="263" t="s">
        <v>70</v>
      </c>
      <c r="AB337" s="243" t="s">
        <v>338</v>
      </c>
      <c r="AC337" s="36"/>
      <c r="AD337" s="22"/>
    </row>
    <row r="338" spans="1:30" s="23" customFormat="1" x14ac:dyDescent="0.3">
      <c r="A338" s="247"/>
      <c r="B338" s="248" t="s">
        <v>59</v>
      </c>
      <c r="C338" s="249"/>
      <c r="D338" s="249"/>
      <c r="E338" s="249"/>
      <c r="F338" s="249"/>
      <c r="G338" s="249"/>
      <c r="H338" s="250"/>
      <c r="I338" s="250"/>
      <c r="J338" s="250"/>
      <c r="K338" s="250"/>
      <c r="L338" s="250"/>
      <c r="M338" s="250"/>
      <c r="N338" s="250"/>
      <c r="O338" s="250"/>
      <c r="P338" s="251"/>
      <c r="Q338" s="269"/>
      <c r="R338" s="269"/>
      <c r="S338" s="269"/>
      <c r="T338" s="269"/>
      <c r="U338" s="269"/>
      <c r="V338" s="269"/>
      <c r="W338" s="269"/>
      <c r="X338" s="264">
        <v>168</v>
      </c>
      <c r="Y338" s="265">
        <f>+X338/X347</f>
        <v>1</v>
      </c>
      <c r="Z338" s="215">
        <v>35174</v>
      </c>
      <c r="AA338" s="265">
        <f>+Z338/Z347</f>
        <v>1</v>
      </c>
      <c r="AB338" s="40"/>
      <c r="AC338" s="43"/>
      <c r="AD338" s="22"/>
    </row>
    <row r="339" spans="1:30" s="23" customFormat="1" x14ac:dyDescent="0.3">
      <c r="A339" s="252"/>
      <c r="B339" s="253" t="s">
        <v>60</v>
      </c>
      <c r="C339" s="254"/>
      <c r="D339" s="254"/>
      <c r="E339" s="254"/>
      <c r="F339" s="254"/>
      <c r="G339" s="254"/>
      <c r="H339" s="255"/>
      <c r="I339" s="255"/>
      <c r="J339" s="255"/>
      <c r="K339" s="255"/>
      <c r="L339" s="255"/>
      <c r="M339" s="255"/>
      <c r="N339" s="255"/>
      <c r="O339" s="255"/>
      <c r="P339" s="256"/>
      <c r="Q339" s="204"/>
      <c r="R339" s="204"/>
      <c r="S339" s="204"/>
      <c r="T339" s="204"/>
      <c r="U339" s="204"/>
      <c r="V339" s="204"/>
      <c r="W339" s="204"/>
      <c r="X339" s="266">
        <v>0</v>
      </c>
      <c r="Y339" s="267">
        <f>+X339/X347</f>
        <v>0</v>
      </c>
      <c r="Z339" s="98">
        <v>0</v>
      </c>
      <c r="AA339" s="268">
        <f>+Z339/Z347</f>
        <v>0</v>
      </c>
      <c r="AB339" s="40"/>
      <c r="AC339" s="43"/>
      <c r="AD339" s="22"/>
    </row>
    <row r="340" spans="1:30" s="23" customFormat="1" x14ac:dyDescent="0.3">
      <c r="A340" s="252"/>
      <c r="B340" s="253" t="s">
        <v>61</v>
      </c>
      <c r="C340" s="254"/>
      <c r="D340" s="254"/>
      <c r="E340" s="254"/>
      <c r="F340" s="254"/>
      <c r="G340" s="254"/>
      <c r="H340" s="255"/>
      <c r="I340" s="255"/>
      <c r="J340" s="255"/>
      <c r="K340" s="255"/>
      <c r="L340" s="255"/>
      <c r="M340" s="255"/>
      <c r="N340" s="255"/>
      <c r="O340" s="255"/>
      <c r="P340" s="256"/>
      <c r="Q340" s="204"/>
      <c r="R340" s="204"/>
      <c r="S340" s="204"/>
      <c r="T340" s="204"/>
      <c r="U340" s="204"/>
      <c r="V340" s="204"/>
      <c r="W340" s="204"/>
      <c r="X340" s="266">
        <v>0</v>
      </c>
      <c r="Y340" s="267">
        <f>+X340/X347</f>
        <v>0</v>
      </c>
      <c r="Z340" s="98">
        <v>0</v>
      </c>
      <c r="AA340" s="268">
        <f>+Z340/Z347</f>
        <v>0</v>
      </c>
      <c r="AB340" s="40"/>
      <c r="AC340" s="43"/>
      <c r="AD340" s="22"/>
    </row>
    <row r="341" spans="1:30" s="23" customFormat="1" x14ac:dyDescent="0.3">
      <c r="A341" s="252"/>
      <c r="B341" s="253" t="s">
        <v>100</v>
      </c>
      <c r="C341" s="254"/>
      <c r="D341" s="254"/>
      <c r="E341" s="254"/>
      <c r="F341" s="254"/>
      <c r="G341" s="254"/>
      <c r="H341" s="255"/>
      <c r="I341" s="255"/>
      <c r="J341" s="255"/>
      <c r="K341" s="255"/>
      <c r="L341" s="255"/>
      <c r="M341" s="255"/>
      <c r="N341" s="255"/>
      <c r="O341" s="255"/>
      <c r="P341" s="256"/>
      <c r="Q341" s="204"/>
      <c r="R341" s="204"/>
      <c r="S341" s="204"/>
      <c r="T341" s="204"/>
      <c r="U341" s="204"/>
      <c r="V341" s="204"/>
      <c r="W341" s="204"/>
      <c r="X341" s="266">
        <v>0</v>
      </c>
      <c r="Y341" s="267">
        <f>+X341/X347</f>
        <v>0</v>
      </c>
      <c r="Z341" s="98">
        <v>0</v>
      </c>
      <c r="AA341" s="268">
        <f>+Z341/Z347</f>
        <v>0</v>
      </c>
      <c r="AB341" s="40"/>
      <c r="AC341" s="43"/>
      <c r="AD341" s="22"/>
    </row>
    <row r="342" spans="1:30" s="23" customFormat="1" x14ac:dyDescent="0.3">
      <c r="A342" s="252"/>
      <c r="B342" s="253" t="s">
        <v>101</v>
      </c>
      <c r="C342" s="254"/>
      <c r="D342" s="254"/>
      <c r="E342" s="254"/>
      <c r="F342" s="254"/>
      <c r="G342" s="254"/>
      <c r="H342" s="255"/>
      <c r="I342" s="255"/>
      <c r="J342" s="255"/>
      <c r="K342" s="255"/>
      <c r="L342" s="255"/>
      <c r="M342" s="255"/>
      <c r="N342" s="255"/>
      <c r="O342" s="255"/>
      <c r="P342" s="256"/>
      <c r="Q342" s="204"/>
      <c r="R342" s="204"/>
      <c r="S342" s="204"/>
      <c r="T342" s="204"/>
      <c r="U342" s="204"/>
      <c r="V342" s="204"/>
      <c r="W342" s="204"/>
      <c r="X342" s="266">
        <v>0</v>
      </c>
      <c r="Y342" s="267">
        <f>+X342/X347</f>
        <v>0</v>
      </c>
      <c r="Z342" s="98">
        <v>0</v>
      </c>
      <c r="AA342" s="268">
        <f>+Z342/Z347</f>
        <v>0</v>
      </c>
      <c r="AB342" s="40"/>
      <c r="AC342" s="43"/>
      <c r="AD342" s="22"/>
    </row>
    <row r="343" spans="1:30" s="23" customFormat="1" x14ac:dyDescent="0.3">
      <c r="A343" s="252"/>
      <c r="B343" s="253" t="s">
        <v>102</v>
      </c>
      <c r="C343" s="254"/>
      <c r="D343" s="254"/>
      <c r="E343" s="254"/>
      <c r="F343" s="254"/>
      <c r="G343" s="254"/>
      <c r="H343" s="255"/>
      <c r="I343" s="255"/>
      <c r="J343" s="255"/>
      <c r="K343" s="255"/>
      <c r="L343" s="255"/>
      <c r="M343" s="255"/>
      <c r="N343" s="255"/>
      <c r="O343" s="255"/>
      <c r="P343" s="256"/>
      <c r="Q343" s="204"/>
      <c r="R343" s="204"/>
      <c r="S343" s="204"/>
      <c r="T343" s="204"/>
      <c r="U343" s="204"/>
      <c r="V343" s="204"/>
      <c r="W343" s="204"/>
      <c r="X343" s="266">
        <v>0</v>
      </c>
      <c r="Y343" s="267">
        <f>+X343/X347</f>
        <v>0</v>
      </c>
      <c r="Z343" s="98">
        <v>0</v>
      </c>
      <c r="AA343" s="268">
        <f>+Z343/Z347</f>
        <v>0</v>
      </c>
      <c r="AB343" s="40"/>
      <c r="AC343" s="43"/>
      <c r="AD343" s="22"/>
    </row>
    <row r="344" spans="1:30" s="23" customFormat="1" x14ac:dyDescent="0.3">
      <c r="A344" s="252"/>
      <c r="B344" s="253" t="s">
        <v>103</v>
      </c>
      <c r="C344" s="254"/>
      <c r="D344" s="254"/>
      <c r="E344" s="254"/>
      <c r="F344" s="254"/>
      <c r="G344" s="254"/>
      <c r="H344" s="255"/>
      <c r="I344" s="255"/>
      <c r="J344" s="255"/>
      <c r="K344" s="255"/>
      <c r="L344" s="255"/>
      <c r="M344" s="255"/>
      <c r="N344" s="255"/>
      <c r="O344" s="255"/>
      <c r="P344" s="256"/>
      <c r="Q344" s="204"/>
      <c r="R344" s="204"/>
      <c r="S344" s="204"/>
      <c r="T344" s="204"/>
      <c r="U344" s="204"/>
      <c r="V344" s="204"/>
      <c r="W344" s="204"/>
      <c r="X344" s="266">
        <v>0</v>
      </c>
      <c r="Y344" s="267">
        <f>+X344/X347</f>
        <v>0</v>
      </c>
      <c r="Z344" s="98">
        <v>0</v>
      </c>
      <c r="AA344" s="268">
        <f>+Z344/Z347</f>
        <v>0</v>
      </c>
      <c r="AB344" s="40"/>
      <c r="AC344" s="43"/>
      <c r="AD344" s="22"/>
    </row>
    <row r="345" spans="1:30" s="23" customFormat="1" x14ac:dyDescent="0.3">
      <c r="A345" s="252"/>
      <c r="B345" s="253" t="s">
        <v>104</v>
      </c>
      <c r="C345" s="254"/>
      <c r="D345" s="254"/>
      <c r="E345" s="254"/>
      <c r="F345" s="254"/>
      <c r="G345" s="254"/>
      <c r="H345" s="255"/>
      <c r="I345" s="255"/>
      <c r="J345" s="255"/>
      <c r="K345" s="255"/>
      <c r="L345" s="255"/>
      <c r="M345" s="255"/>
      <c r="N345" s="255"/>
      <c r="O345" s="255"/>
      <c r="P345" s="256"/>
      <c r="Q345" s="204"/>
      <c r="R345" s="204"/>
      <c r="S345" s="204"/>
      <c r="T345" s="204"/>
      <c r="U345" s="204"/>
      <c r="V345" s="204"/>
      <c r="W345" s="204"/>
      <c r="X345" s="266">
        <v>0</v>
      </c>
      <c r="Y345" s="265">
        <f>+X345/X347</f>
        <v>0</v>
      </c>
      <c r="Z345" s="98">
        <v>0</v>
      </c>
      <c r="AA345" s="268">
        <f>+Z345/Z347</f>
        <v>0</v>
      </c>
      <c r="AB345" s="40"/>
      <c r="AC345" s="43"/>
      <c r="AD345" s="22"/>
    </row>
    <row r="346" spans="1:30" s="23" customFormat="1" x14ac:dyDescent="0.3">
      <c r="A346" s="252"/>
      <c r="B346" s="253"/>
      <c r="C346" s="254"/>
      <c r="D346" s="254"/>
      <c r="E346" s="254"/>
      <c r="F346" s="254"/>
      <c r="G346" s="254"/>
      <c r="H346" s="255"/>
      <c r="I346" s="255"/>
      <c r="J346" s="255"/>
      <c r="K346" s="255"/>
      <c r="L346" s="255"/>
      <c r="M346" s="255"/>
      <c r="N346" s="255"/>
      <c r="O346" s="255"/>
      <c r="P346" s="256"/>
      <c r="Q346" s="204"/>
      <c r="R346" s="204"/>
      <c r="S346" s="204"/>
      <c r="T346" s="204"/>
      <c r="U346" s="204"/>
      <c r="V346" s="204"/>
      <c r="W346" s="204"/>
      <c r="X346" s="280"/>
      <c r="Y346" s="281"/>
      <c r="Z346" s="282"/>
      <c r="AA346" s="281"/>
      <c r="AB346" s="283"/>
      <c r="AC346" s="43"/>
      <c r="AD346" s="22"/>
    </row>
    <row r="347" spans="1:30" s="23" customFormat="1" x14ac:dyDescent="0.3">
      <c r="A347" s="252"/>
      <c r="B347" s="254" t="s">
        <v>80</v>
      </c>
      <c r="C347" s="254"/>
      <c r="D347" s="254"/>
      <c r="E347" s="254"/>
      <c r="F347" s="254"/>
      <c r="G347" s="254"/>
      <c r="H347" s="255"/>
      <c r="I347" s="255"/>
      <c r="J347" s="255"/>
      <c r="K347" s="255"/>
      <c r="L347" s="255"/>
      <c r="M347" s="255"/>
      <c r="N347" s="255"/>
      <c r="O347" s="255"/>
      <c r="P347" s="256"/>
      <c r="Q347" s="204"/>
      <c r="R347" s="204"/>
      <c r="S347" s="204"/>
      <c r="T347" s="204"/>
      <c r="U347" s="204"/>
      <c r="V347" s="204"/>
      <c r="W347" s="204"/>
      <c r="X347" s="266">
        <f>SUM(X338:X345)</f>
        <v>168</v>
      </c>
      <c r="Y347" s="268">
        <f>SUM(Y338:Y345)</f>
        <v>1</v>
      </c>
      <c r="Z347" s="98">
        <f>SUM(Z338:Z345)</f>
        <v>35174</v>
      </c>
      <c r="AA347" s="268">
        <f>SUM(AA338:AA345)</f>
        <v>1</v>
      </c>
      <c r="AB347" s="40"/>
      <c r="AC347" s="43"/>
      <c r="AD347" s="22"/>
    </row>
    <row r="348" spans="1:30" s="23" customFormat="1" ht="16.2" thickBot="1" x14ac:dyDescent="0.35">
      <c r="A348" s="252"/>
      <c r="B348" s="254" t="s">
        <v>325</v>
      </c>
      <c r="C348" s="254"/>
      <c r="D348" s="254"/>
      <c r="E348" s="254"/>
      <c r="F348" s="254"/>
      <c r="G348" s="254"/>
      <c r="H348" s="255"/>
      <c r="I348" s="255"/>
      <c r="J348" s="255"/>
      <c r="K348" s="255"/>
      <c r="L348" s="255"/>
      <c r="M348" s="255"/>
      <c r="N348" s="255"/>
      <c r="O348" s="255"/>
      <c r="P348" s="256"/>
      <c r="Q348" s="204"/>
      <c r="R348" s="204"/>
      <c r="S348" s="204"/>
      <c r="T348" s="204"/>
      <c r="U348" s="204"/>
      <c r="V348" s="204"/>
      <c r="W348" s="204"/>
      <c r="X348" s="297"/>
      <c r="Y348" s="297">
        <f>X347/X352</f>
        <v>6.2015503875968991E-2</v>
      </c>
      <c r="Z348" s="298"/>
      <c r="AA348" s="297">
        <f>Z347/Z352</f>
        <v>7.3508574676803856E-2</v>
      </c>
      <c r="AB348" s="299"/>
      <c r="AC348" s="43"/>
      <c r="AD348" s="22"/>
    </row>
    <row r="349" spans="1:30" s="23" customFormat="1" ht="16.2" thickTop="1" x14ac:dyDescent="0.3">
      <c r="A349" s="252"/>
      <c r="B349" s="254" t="s">
        <v>336</v>
      </c>
      <c r="C349" s="254"/>
      <c r="D349" s="254"/>
      <c r="E349" s="254"/>
      <c r="F349" s="254"/>
      <c r="G349" s="254"/>
      <c r="H349" s="255"/>
      <c r="I349" s="255"/>
      <c r="J349" s="255"/>
      <c r="K349" s="255"/>
      <c r="L349" s="255"/>
      <c r="M349" s="255"/>
      <c r="N349" s="255"/>
      <c r="O349" s="255"/>
      <c r="P349" s="256"/>
      <c r="Q349" s="204"/>
      <c r="R349" s="204"/>
      <c r="S349" s="204"/>
      <c r="T349" s="204"/>
      <c r="U349" s="204"/>
      <c r="V349" s="204"/>
      <c r="W349" s="204"/>
      <c r="X349" s="293">
        <v>52</v>
      </c>
      <c r="Y349" s="294">
        <f>X349/X347</f>
        <v>0.30952380952380953</v>
      </c>
      <c r="Z349" s="295">
        <v>11303</v>
      </c>
      <c r="AA349" s="294">
        <f>Z349/Z347</f>
        <v>0.32134531187809179</v>
      </c>
      <c r="AB349" s="296">
        <v>0.35666463785757757</v>
      </c>
      <c r="AC349" s="43"/>
      <c r="AD349" s="22"/>
    </row>
    <row r="350" spans="1:30" s="23" customFormat="1" ht="16.2" thickBot="1" x14ac:dyDescent="0.35">
      <c r="A350" s="252"/>
      <c r="B350" s="254" t="s">
        <v>337</v>
      </c>
      <c r="C350" s="254"/>
      <c r="D350" s="254"/>
      <c r="E350" s="254"/>
      <c r="F350" s="254"/>
      <c r="G350" s="254"/>
      <c r="H350" s="255"/>
      <c r="I350" s="255"/>
      <c r="J350" s="255"/>
      <c r="K350" s="255"/>
      <c r="L350" s="255"/>
      <c r="M350" s="255"/>
      <c r="N350" s="255"/>
      <c r="O350" s="255"/>
      <c r="P350" s="256"/>
      <c r="Q350" s="204"/>
      <c r="R350" s="204"/>
      <c r="S350" s="204"/>
      <c r="T350" s="204"/>
      <c r="U350" s="204"/>
      <c r="V350" s="204"/>
      <c r="W350" s="204"/>
      <c r="X350" s="288">
        <v>116</v>
      </c>
      <c r="Y350" s="289">
        <f>X350/X347</f>
        <v>0.69047619047619047</v>
      </c>
      <c r="Z350" s="290">
        <v>23871</v>
      </c>
      <c r="AA350" s="291">
        <f>Z350/Z347</f>
        <v>0.67865468812190821</v>
      </c>
      <c r="AB350" s="292">
        <v>1.6265294771968852</v>
      </c>
      <c r="AC350" s="43"/>
      <c r="AD350" s="22"/>
    </row>
    <row r="351" spans="1:30" s="23" customFormat="1" ht="16.2" thickTop="1" x14ac:dyDescent="0.3">
      <c r="A351" s="252"/>
      <c r="B351" s="254"/>
      <c r="C351" s="254"/>
      <c r="D351" s="254"/>
      <c r="E351" s="254"/>
      <c r="F351" s="254"/>
      <c r="G351" s="254"/>
      <c r="H351" s="255"/>
      <c r="I351" s="255"/>
      <c r="J351" s="255"/>
      <c r="K351" s="255"/>
      <c r="L351" s="255"/>
      <c r="M351" s="255"/>
      <c r="N351" s="255"/>
      <c r="O351" s="255"/>
      <c r="P351" s="256"/>
      <c r="Q351" s="204"/>
      <c r="R351" s="204"/>
      <c r="S351" s="204"/>
      <c r="T351" s="204"/>
      <c r="U351" s="204"/>
      <c r="V351" s="204"/>
      <c r="W351" s="204"/>
      <c r="X351" s="284"/>
      <c r="Y351" s="202"/>
      <c r="Z351" s="285"/>
      <c r="AA351" s="202"/>
      <c r="AB351" s="286"/>
      <c r="AC351" s="43"/>
      <c r="AD351" s="22"/>
    </row>
    <row r="352" spans="1:30" s="23" customFormat="1" x14ac:dyDescent="0.3">
      <c r="A352" s="47"/>
      <c r="B352" s="44" t="s">
        <v>139</v>
      </c>
      <c r="C352" s="40"/>
      <c r="D352" s="204"/>
      <c r="E352" s="204"/>
      <c r="F352" s="204"/>
      <c r="G352" s="204"/>
      <c r="H352" s="204"/>
      <c r="I352" s="204"/>
      <c r="J352" s="204"/>
      <c r="K352" s="204"/>
      <c r="L352" s="204"/>
      <c r="M352" s="204"/>
      <c r="N352" s="204"/>
      <c r="O352" s="204"/>
      <c r="P352" s="204"/>
      <c r="Q352" s="204"/>
      <c r="R352" s="204"/>
      <c r="S352" s="204"/>
      <c r="T352" s="204"/>
      <c r="U352" s="204"/>
      <c r="V352" s="204"/>
      <c r="W352" s="204"/>
      <c r="X352" s="210">
        <f>X335+X313+X301</f>
        <v>2709</v>
      </c>
      <c r="Y352" s="198"/>
      <c r="Z352" s="211">
        <f>+Z335+Z313+Z301</f>
        <v>478502</v>
      </c>
      <c r="AA352" s="198"/>
      <c r="AB352" s="40"/>
      <c r="AC352" s="43"/>
      <c r="AD352" s="22"/>
    </row>
    <row r="353" spans="1:30" s="23" customFormat="1" x14ac:dyDescent="0.3">
      <c r="A353" s="47"/>
      <c r="B353" s="44" t="s">
        <v>304</v>
      </c>
      <c r="C353" s="44"/>
      <c r="D353" s="212"/>
      <c r="E353" s="212"/>
      <c r="F353" s="212"/>
      <c r="G353" s="212"/>
      <c r="H353" s="212"/>
      <c r="I353" s="212"/>
      <c r="J353" s="212"/>
      <c r="K353" s="212"/>
      <c r="L353" s="212"/>
      <c r="M353" s="212"/>
      <c r="N353" s="212"/>
      <c r="O353" s="212"/>
      <c r="P353" s="212"/>
      <c r="Q353" s="212"/>
      <c r="R353" s="212"/>
      <c r="S353" s="212"/>
      <c r="T353" s="212"/>
      <c r="U353" s="212"/>
      <c r="V353" s="212"/>
      <c r="W353" s="212"/>
      <c r="X353" s="210"/>
      <c r="Y353" s="213"/>
      <c r="Z353" s="211">
        <f>+AB65+AB64</f>
        <v>3</v>
      </c>
      <c r="AA353" s="198"/>
      <c r="AB353" s="40"/>
      <c r="AC353" s="43"/>
      <c r="AD353" s="22"/>
    </row>
    <row r="354" spans="1:30" s="23" customFormat="1" x14ac:dyDescent="0.3">
      <c r="A354" s="47"/>
      <c r="B354" s="44" t="s">
        <v>107</v>
      </c>
      <c r="C354" s="44"/>
      <c r="D354" s="212"/>
      <c r="E354" s="212"/>
      <c r="F354" s="212"/>
      <c r="G354" s="212"/>
      <c r="H354" s="212"/>
      <c r="I354" s="212"/>
      <c r="J354" s="212"/>
      <c r="K354" s="212"/>
      <c r="L354" s="212"/>
      <c r="M354" s="212"/>
      <c r="N354" s="212"/>
      <c r="O354" s="212"/>
      <c r="P354" s="212"/>
      <c r="Q354" s="212"/>
      <c r="R354" s="212"/>
      <c r="S354" s="212"/>
      <c r="T354" s="212"/>
      <c r="U354" s="212"/>
      <c r="V354" s="212"/>
      <c r="W354" s="212"/>
      <c r="X354" s="210"/>
      <c r="Y354" s="213"/>
      <c r="Z354" s="211">
        <f>+Z352+Z353</f>
        <v>478505</v>
      </c>
      <c r="AA354" s="198"/>
      <c r="AB354" s="40"/>
      <c r="AC354" s="43"/>
      <c r="AD354" s="22"/>
    </row>
    <row r="355" spans="1:30" s="23" customFormat="1" x14ac:dyDescent="0.3">
      <c r="A355" s="47"/>
      <c r="B355" s="44" t="s">
        <v>237</v>
      </c>
      <c r="C355" s="40"/>
      <c r="D355" s="204"/>
      <c r="E355" s="204"/>
      <c r="F355" s="204"/>
      <c r="G355" s="204"/>
      <c r="H355" s="204"/>
      <c r="I355" s="204"/>
      <c r="J355" s="204"/>
      <c r="K355" s="204"/>
      <c r="L355" s="204"/>
      <c r="M355" s="204"/>
      <c r="N355" s="204"/>
      <c r="O355" s="204"/>
      <c r="P355" s="204"/>
      <c r="Q355" s="204"/>
      <c r="R355" s="204"/>
      <c r="S355" s="204"/>
      <c r="T355" s="204"/>
      <c r="U355" s="204"/>
      <c r="V355" s="204"/>
      <c r="W355" s="204"/>
      <c r="X355" s="210"/>
      <c r="Y355" s="198"/>
      <c r="Z355" s="211">
        <f>+AB67</f>
        <v>478505</v>
      </c>
      <c r="AA355" s="198"/>
      <c r="AB355" s="40"/>
      <c r="AC355" s="43"/>
      <c r="AD355" s="22"/>
    </row>
    <row r="356" spans="1:30" s="23" customFormat="1" x14ac:dyDescent="0.3">
      <c r="A356" s="47"/>
      <c r="B356" s="44"/>
      <c r="C356" s="40"/>
      <c r="D356" s="204"/>
      <c r="E356" s="204"/>
      <c r="F356" s="204"/>
      <c r="G356" s="204"/>
      <c r="H356" s="204"/>
      <c r="I356" s="204"/>
      <c r="J356" s="204"/>
      <c r="K356" s="204"/>
      <c r="L356" s="204"/>
      <c r="M356" s="204"/>
      <c r="N356" s="204"/>
      <c r="O356" s="204"/>
      <c r="P356" s="204"/>
      <c r="Q356" s="204"/>
      <c r="R356" s="204"/>
      <c r="S356" s="204"/>
      <c r="T356" s="204"/>
      <c r="U356" s="204"/>
      <c r="V356" s="204"/>
      <c r="W356" s="204"/>
      <c r="X356" s="210"/>
      <c r="Y356" s="198"/>
      <c r="Z356" s="211"/>
      <c r="AA356" s="198"/>
      <c r="AB356" s="40"/>
      <c r="AC356" s="43"/>
      <c r="AD356" s="22"/>
    </row>
    <row r="357" spans="1:30" s="23" customFormat="1" x14ac:dyDescent="0.3">
      <c r="A357" s="47"/>
      <c r="B357" s="44" t="s">
        <v>305</v>
      </c>
      <c r="C357" s="40"/>
      <c r="D357" s="204"/>
      <c r="E357" s="204"/>
      <c r="F357" s="204"/>
      <c r="G357" s="204"/>
      <c r="H357" s="204"/>
      <c r="I357" s="204"/>
      <c r="J357" s="204"/>
      <c r="K357" s="204"/>
      <c r="L357" s="204"/>
      <c r="M357" s="204"/>
      <c r="N357" s="204"/>
      <c r="O357" s="204"/>
      <c r="P357" s="204"/>
      <c r="Q357" s="204"/>
      <c r="R357" s="204"/>
      <c r="S357" s="204"/>
      <c r="T357" s="204"/>
      <c r="U357" s="204"/>
      <c r="V357" s="204"/>
      <c r="W357" s="204"/>
      <c r="X357" s="210"/>
      <c r="Y357" s="198"/>
      <c r="Z357" s="236">
        <f>(D31*0.05+F31+H31+J31+L31+N31)/AB31</f>
        <v>0.51664283747059403</v>
      </c>
      <c r="AA357" s="198"/>
      <c r="AB357" s="40"/>
      <c r="AC357" s="43"/>
      <c r="AD357" s="22"/>
    </row>
    <row r="358" spans="1:30" s="23" customFormat="1" x14ac:dyDescent="0.3">
      <c r="A358" s="18"/>
      <c r="B358" s="20"/>
      <c r="C358" s="20"/>
      <c r="D358" s="214"/>
      <c r="E358" s="214"/>
      <c r="F358" s="214"/>
      <c r="G358" s="214"/>
      <c r="H358" s="214"/>
      <c r="I358" s="214"/>
      <c r="J358" s="214"/>
      <c r="K358" s="214"/>
      <c r="L358" s="214"/>
      <c r="M358" s="214"/>
      <c r="N358" s="214"/>
      <c r="O358" s="214"/>
      <c r="P358" s="214"/>
      <c r="Q358" s="214"/>
      <c r="R358" s="214"/>
      <c r="S358" s="214"/>
      <c r="T358" s="214"/>
      <c r="U358" s="214"/>
      <c r="V358" s="214"/>
      <c r="W358" s="214"/>
      <c r="X358" s="214"/>
      <c r="Y358" s="214"/>
      <c r="Z358" s="215"/>
      <c r="AA358" s="214"/>
      <c r="AB358" s="20"/>
      <c r="AC358" s="21"/>
      <c r="AD358" s="22"/>
    </row>
    <row r="359" spans="1:30" s="23" customFormat="1" x14ac:dyDescent="0.3">
      <c r="A359" s="18"/>
      <c r="B359" s="19" t="s">
        <v>62</v>
      </c>
      <c r="C359" s="20"/>
      <c r="D359" s="216" t="s">
        <v>66</v>
      </c>
      <c r="E359" s="19"/>
      <c r="F359" s="19" t="s">
        <v>67</v>
      </c>
      <c r="G359" s="20"/>
      <c r="H359" s="19"/>
      <c r="I359" s="20"/>
      <c r="J359" s="20"/>
      <c r="K359" s="20"/>
      <c r="L359" s="20"/>
      <c r="M359" s="20"/>
      <c r="N359" s="20"/>
      <c r="O359" s="20"/>
      <c r="P359" s="20"/>
      <c r="Q359" s="20"/>
      <c r="R359" s="20"/>
      <c r="S359" s="20"/>
      <c r="T359" s="20"/>
      <c r="U359" s="20"/>
      <c r="V359" s="20"/>
      <c r="W359" s="20"/>
      <c r="X359" s="20"/>
      <c r="Y359" s="20"/>
      <c r="Z359" s="20"/>
      <c r="AA359" s="20"/>
      <c r="AB359" s="20"/>
      <c r="AC359" s="21"/>
      <c r="AD359" s="22"/>
    </row>
    <row r="360" spans="1:30" s="23" customFormat="1" x14ac:dyDescent="0.3">
      <c r="A360" s="18"/>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1"/>
      <c r="AD360" s="22"/>
    </row>
    <row r="361" spans="1:30" s="23" customFormat="1" x14ac:dyDescent="0.3">
      <c r="A361" s="18"/>
      <c r="B361" s="19" t="s">
        <v>152</v>
      </c>
      <c r="C361" s="19"/>
      <c r="D361" s="217" t="s">
        <v>122</v>
      </c>
      <c r="E361" s="19"/>
      <c r="F361" s="19" t="s">
        <v>168</v>
      </c>
      <c r="G361" s="19"/>
      <c r="H361" s="19"/>
      <c r="I361" s="20"/>
      <c r="J361" s="20"/>
      <c r="K361" s="20"/>
      <c r="L361" s="20"/>
      <c r="M361" s="20"/>
      <c r="N361" s="20"/>
      <c r="O361" s="20"/>
      <c r="P361" s="20"/>
      <c r="Q361" s="20"/>
      <c r="R361" s="20"/>
      <c r="S361" s="20"/>
      <c r="T361" s="20"/>
      <c r="U361" s="20"/>
      <c r="V361" s="20"/>
      <c r="W361" s="20"/>
      <c r="X361" s="20"/>
      <c r="Y361" s="20"/>
      <c r="Z361" s="20"/>
      <c r="AA361" s="20"/>
      <c r="AB361" s="20"/>
      <c r="AC361" s="21"/>
      <c r="AD361" s="22"/>
    </row>
    <row r="362" spans="1:30" s="23" customFormat="1" x14ac:dyDescent="0.3">
      <c r="A362" s="18"/>
      <c r="B362" s="19" t="s">
        <v>153</v>
      </c>
      <c r="C362" s="19"/>
      <c r="D362" s="217" t="s">
        <v>98</v>
      </c>
      <c r="E362" s="19"/>
      <c r="F362" s="19" t="s">
        <v>169</v>
      </c>
      <c r="G362" s="19"/>
      <c r="H362" s="19"/>
      <c r="I362" s="20"/>
      <c r="J362" s="20"/>
      <c r="K362" s="20"/>
      <c r="L362" s="20"/>
      <c r="M362" s="20"/>
      <c r="N362" s="20"/>
      <c r="O362" s="20"/>
      <c r="P362" s="20"/>
      <c r="Q362" s="20"/>
      <c r="R362" s="20"/>
      <c r="S362" s="20"/>
      <c r="T362" s="20"/>
      <c r="U362" s="20"/>
      <c r="V362" s="20"/>
      <c r="W362" s="20"/>
      <c r="X362" s="20"/>
      <c r="Y362" s="20"/>
      <c r="Z362" s="20"/>
      <c r="AA362" s="20"/>
      <c r="AB362" s="20"/>
      <c r="AC362" s="21"/>
      <c r="AD362" s="22"/>
    </row>
    <row r="363" spans="1:30" s="23" customFormat="1" x14ac:dyDescent="0.3">
      <c r="A363" s="18"/>
      <c r="B363" s="19"/>
      <c r="C363" s="19"/>
      <c r="D363" s="217"/>
      <c r="E363" s="19"/>
      <c r="F363" s="19"/>
      <c r="G363" s="19"/>
      <c r="H363" s="19"/>
      <c r="I363" s="20"/>
      <c r="J363" s="20"/>
      <c r="K363" s="20"/>
      <c r="L363" s="20"/>
      <c r="M363" s="20"/>
      <c r="N363" s="20"/>
      <c r="O363" s="20"/>
      <c r="P363" s="20"/>
      <c r="Q363" s="20"/>
      <c r="R363" s="20"/>
      <c r="S363" s="20"/>
      <c r="T363" s="20"/>
      <c r="U363" s="20"/>
      <c r="V363" s="20"/>
      <c r="W363" s="20"/>
      <c r="X363" s="20"/>
      <c r="Y363" s="20"/>
      <c r="Z363" s="20"/>
      <c r="AA363" s="20"/>
      <c r="AB363" s="20"/>
      <c r="AC363" s="21"/>
      <c r="AD363" s="22"/>
    </row>
    <row r="364" spans="1:30" s="23" customFormat="1" x14ac:dyDescent="0.3">
      <c r="A364" s="18"/>
      <c r="B364" s="257" t="s">
        <v>333</v>
      </c>
      <c r="C364" s="19"/>
      <c r="D364" s="217"/>
      <c r="E364" s="19"/>
      <c r="F364" s="19"/>
      <c r="G364" s="19"/>
      <c r="H364" s="19"/>
      <c r="I364" s="20"/>
      <c r="J364" s="20"/>
      <c r="K364" s="20"/>
      <c r="L364" s="20"/>
      <c r="M364" s="20"/>
      <c r="N364" s="20"/>
      <c r="O364" s="20"/>
      <c r="P364" s="20"/>
      <c r="Q364" s="20"/>
      <c r="R364" s="20"/>
      <c r="S364" s="20"/>
      <c r="T364" s="20"/>
      <c r="U364" s="20"/>
      <c r="V364" s="20"/>
      <c r="W364" s="20"/>
      <c r="X364" s="20"/>
      <c r="Y364" s="20"/>
      <c r="Z364" s="20"/>
      <c r="AA364" s="20"/>
      <c r="AB364" s="20"/>
      <c r="AC364" s="21"/>
      <c r="AD364" s="22"/>
    </row>
    <row r="365" spans="1:30" x14ac:dyDescent="0.3">
      <c r="A365" s="218"/>
      <c r="B365" s="258"/>
      <c r="C365" s="219"/>
      <c r="D365" s="220"/>
      <c r="E365" s="220"/>
      <c r="F365" s="220"/>
      <c r="G365" s="220"/>
      <c r="H365" s="220"/>
      <c r="I365" s="220"/>
      <c r="J365" s="220"/>
      <c r="K365" s="220"/>
      <c r="L365" s="220"/>
      <c r="M365" s="220"/>
      <c r="N365" s="220"/>
      <c r="O365" s="220"/>
      <c r="P365" s="220"/>
      <c r="Q365" s="220"/>
      <c r="R365" s="220"/>
      <c r="S365" s="220"/>
      <c r="T365" s="220"/>
      <c r="U365" s="220"/>
      <c r="V365" s="220"/>
      <c r="W365" s="220"/>
      <c r="X365" s="220"/>
      <c r="Y365" s="220"/>
      <c r="Z365" s="220"/>
      <c r="AA365" s="220"/>
      <c r="AB365" s="220"/>
      <c r="AC365" s="221"/>
      <c r="AD365" s="5"/>
    </row>
    <row r="366" spans="1:30" ht="18" x14ac:dyDescent="0.35">
      <c r="A366" s="218"/>
      <c r="B366" s="259" t="s">
        <v>109</v>
      </c>
      <c r="C366" s="219"/>
      <c r="D366" s="220"/>
      <c r="E366" s="220"/>
      <c r="F366" s="220"/>
      <c r="G366" s="220"/>
      <c r="H366" s="220"/>
      <c r="I366" s="220"/>
      <c r="J366" s="220"/>
      <c r="K366" s="220"/>
      <c r="L366" s="220"/>
      <c r="M366" s="220"/>
      <c r="N366" s="220"/>
      <c r="O366" s="220"/>
      <c r="P366" s="260" t="s">
        <v>167</v>
      </c>
      <c r="Q366" s="220"/>
      <c r="R366" s="220"/>
      <c r="S366" s="220"/>
      <c r="T366" s="220"/>
      <c r="U366" s="220"/>
      <c r="V366" s="220"/>
      <c r="W366" s="220"/>
      <c r="X366" s="220"/>
      <c r="Y366" s="220"/>
      <c r="Z366" s="220"/>
      <c r="AA366" s="220"/>
      <c r="AB366" s="220"/>
      <c r="AC366" s="221"/>
      <c r="AD366" s="5"/>
    </row>
    <row r="367" spans="1:30" ht="18" x14ac:dyDescent="0.35">
      <c r="A367" s="218"/>
      <c r="B367" s="259"/>
      <c r="C367" s="219"/>
      <c r="D367" s="220"/>
      <c r="E367" s="220"/>
      <c r="F367" s="220"/>
      <c r="G367" s="220"/>
      <c r="H367" s="220"/>
      <c r="I367" s="220"/>
      <c r="J367" s="220"/>
      <c r="K367" s="220"/>
      <c r="L367" s="220"/>
      <c r="M367" s="220"/>
      <c r="N367" s="220"/>
      <c r="O367" s="220"/>
      <c r="P367" s="260"/>
      <c r="Q367" s="220"/>
      <c r="R367" s="220"/>
      <c r="S367" s="220"/>
      <c r="T367" s="220"/>
      <c r="U367" s="220"/>
      <c r="V367" s="220"/>
      <c r="W367" s="220"/>
      <c r="X367" s="220"/>
      <c r="Y367" s="220"/>
      <c r="Z367" s="220"/>
      <c r="AA367" s="220"/>
      <c r="AB367" s="220"/>
      <c r="AC367" s="221"/>
      <c r="AD367" s="5"/>
    </row>
    <row r="368" spans="1:30" ht="18.600000000000001" thickBot="1" x14ac:dyDescent="0.4">
      <c r="A368" s="218"/>
      <c r="B368" s="222" t="str">
        <f>B237</f>
        <v>PM26 INVESTOR REPORT QUARTER ENDING JULY 2020</v>
      </c>
      <c r="C368" s="219"/>
      <c r="D368" s="220"/>
      <c r="E368" s="220"/>
      <c r="F368" s="220"/>
      <c r="G368" s="220"/>
      <c r="H368" s="220"/>
      <c r="I368" s="220"/>
      <c r="J368" s="220"/>
      <c r="K368" s="220"/>
      <c r="L368" s="220"/>
      <c r="M368" s="220"/>
      <c r="N368" s="220"/>
      <c r="O368" s="220"/>
      <c r="P368" s="220"/>
      <c r="Q368" s="220"/>
      <c r="R368" s="220"/>
      <c r="S368" s="220"/>
      <c r="T368" s="220"/>
      <c r="U368" s="220"/>
      <c r="V368" s="220"/>
      <c r="W368" s="220"/>
      <c r="X368" s="220"/>
      <c r="Y368" s="220"/>
      <c r="Z368" s="220"/>
      <c r="AA368" s="220"/>
      <c r="AB368" s="220"/>
      <c r="AC368" s="223"/>
      <c r="AD368" s="5"/>
    </row>
    <row r="369" spans="1:29" x14ac:dyDescent="0.3">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c r="W369" s="224"/>
      <c r="X369" s="224"/>
      <c r="Y369" s="224"/>
      <c r="Z369" s="224"/>
      <c r="AA369" s="224"/>
      <c r="AB369" s="224"/>
      <c r="AC369" s="224"/>
    </row>
    <row r="370" spans="1:29" x14ac:dyDescent="0.3">
      <c r="B370" s="6" t="s">
        <v>307</v>
      </c>
    </row>
    <row r="372" spans="1:29" x14ac:dyDescent="0.3">
      <c r="B372" s="279" t="s">
        <v>315</v>
      </c>
    </row>
    <row r="373" spans="1:29" x14ac:dyDescent="0.3">
      <c r="B373" s="270" t="s">
        <v>316</v>
      </c>
    </row>
    <row r="374" spans="1:29" x14ac:dyDescent="0.3">
      <c r="B374" s="270" t="s">
        <v>317</v>
      </c>
    </row>
    <row r="375" spans="1:29" x14ac:dyDescent="0.3">
      <c r="B375" s="270" t="s">
        <v>318</v>
      </c>
    </row>
    <row r="376" spans="1:29" x14ac:dyDescent="0.3">
      <c r="B376" s="270" t="s">
        <v>319</v>
      </c>
    </row>
    <row r="377" spans="1:29" x14ac:dyDescent="0.3">
      <c r="B377" s="270" t="s">
        <v>320</v>
      </c>
    </row>
    <row r="378" spans="1:29" x14ac:dyDescent="0.3">
      <c r="B378" s="270" t="s">
        <v>321</v>
      </c>
    </row>
    <row r="379" spans="1:29" x14ac:dyDescent="0.3">
      <c r="B379" s="270" t="s">
        <v>322</v>
      </c>
    </row>
    <row r="380" spans="1:29" x14ac:dyDescent="0.3">
      <c r="B380" s="270"/>
    </row>
    <row r="381" spans="1:29" s="270" customFormat="1" x14ac:dyDescent="0.3">
      <c r="B381" s="279" t="s">
        <v>339</v>
      </c>
    </row>
    <row r="382" spans="1:29" s="270" customFormat="1" x14ac:dyDescent="0.3">
      <c r="B382" s="270" t="s">
        <v>340</v>
      </c>
    </row>
    <row r="383" spans="1:29" s="270" customFormat="1" x14ac:dyDescent="0.3">
      <c r="B383" s="270" t="s">
        <v>341</v>
      </c>
    </row>
    <row r="384" spans="1:29" s="270" customFormat="1" x14ac:dyDescent="0.3">
      <c r="B384" s="270" t="s">
        <v>342</v>
      </c>
    </row>
    <row r="385" spans="2:2" x14ac:dyDescent="0.3">
      <c r="B385" s="270"/>
    </row>
    <row r="386" spans="2:2" x14ac:dyDescent="0.3">
      <c r="B386" s="279" t="s">
        <v>323</v>
      </c>
    </row>
    <row r="387" spans="2:2" x14ac:dyDescent="0.3">
      <c r="B387" s="270" t="s">
        <v>324</v>
      </c>
    </row>
    <row r="388" spans="2:2" x14ac:dyDescent="0.3">
      <c r="B388" s="270" t="s">
        <v>332</v>
      </c>
    </row>
  </sheetData>
  <hyperlinks>
    <hyperlink ref="K9" r:id="rId1" display="http://www.paragon-group.co.uk" xr:uid="{64542981-41DB-435D-98EE-68EA017F74A1}"/>
    <hyperlink ref="P366" r:id="rId2" xr:uid="{847642A2-C4E6-4BA7-814A-3679C4935DEA}"/>
    <hyperlink ref="P277" r:id="rId3" xr:uid="{3842E5FC-11A7-4D70-A1E2-238AC1B10B34}"/>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4" max="18" man="1"/>
    <brk id="134" max="18" man="1"/>
    <brk id="237" max="18" man="1"/>
  </rowBreaks>
  <colBreaks count="1" manualBreakCount="1">
    <brk id="29" max="299" man="1"/>
  </col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DD0B5-19CB-4CE9-BCE1-D14D52EE7E83}">
  <sheetPr>
    <tabColor rgb="FF89CB31"/>
  </sheetPr>
  <dimension ref="A1:JB387"/>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0.25530000000000003</v>
      </c>
      <c r="Z17" s="29" t="s">
        <v>258</v>
      </c>
      <c r="AA17" s="29">
        <v>0.74470000000000003</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44158</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215</v>
      </c>
      <c r="I27" s="229"/>
      <c r="J27" s="229" t="s">
        <v>269</v>
      </c>
      <c r="K27" s="229"/>
      <c r="L27" s="229" t="s">
        <v>270</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243461.82653999998</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7194.9354600000006</v>
      </c>
      <c r="Q30" s="54"/>
      <c r="R30" s="54">
        <v>4722</v>
      </c>
      <c r="S30" s="54"/>
      <c r="T30" s="54" t="s">
        <v>83</v>
      </c>
      <c r="U30" s="54"/>
      <c r="V30" s="54" t="s">
        <v>83</v>
      </c>
      <c r="W30" s="54"/>
      <c r="X30" s="54" t="s">
        <v>83</v>
      </c>
      <c r="Y30" s="54" t="s">
        <v>83</v>
      </c>
      <c r="Z30" s="54"/>
      <c r="AA30" s="49"/>
      <c r="AB30" s="50">
        <f>SUM(D30:N30)</f>
        <v>478504.82653999998</v>
      </c>
      <c r="AC30" s="51"/>
      <c r="AD30" s="22"/>
    </row>
    <row r="31" spans="1:33" s="23" customFormat="1" x14ac:dyDescent="0.3">
      <c r="A31" s="47"/>
      <c r="B31" s="44" t="s">
        <v>92</v>
      </c>
      <c r="C31" s="49"/>
      <c r="D31" s="57">
        <f>D29*D32</f>
        <v>225656.43226999999</v>
      </c>
      <c r="E31" s="57"/>
      <c r="F31" s="57">
        <f>F29</f>
        <v>151540</v>
      </c>
      <c r="G31" s="57"/>
      <c r="H31" s="57">
        <f>H29</f>
        <v>24741</v>
      </c>
      <c r="I31" s="57"/>
      <c r="J31" s="57">
        <f>J29</f>
        <v>18555</v>
      </c>
      <c r="K31" s="57"/>
      <c r="L31" s="57">
        <f>L29</f>
        <v>20102</v>
      </c>
      <c r="M31" s="57"/>
      <c r="N31" s="57">
        <f>N29</f>
        <v>20105</v>
      </c>
      <c r="O31" s="57"/>
      <c r="P31" s="57">
        <f>P29*P32</f>
        <v>6876.19182</v>
      </c>
      <c r="Q31" s="57"/>
      <c r="R31" s="57">
        <v>2703</v>
      </c>
      <c r="S31" s="57"/>
      <c r="T31" s="57" t="s">
        <v>83</v>
      </c>
      <c r="U31" s="57"/>
      <c r="V31" s="57" t="s">
        <v>83</v>
      </c>
      <c r="W31" s="57"/>
      <c r="X31" s="57" t="s">
        <v>83</v>
      </c>
      <c r="Y31" s="57" t="s">
        <v>83</v>
      </c>
      <c r="Z31" s="57"/>
      <c r="AA31" s="49"/>
      <c r="AB31" s="56">
        <f>SUM(D31:N31)</f>
        <v>460699.43226999999</v>
      </c>
      <c r="AC31" s="51"/>
      <c r="AD31" s="22"/>
      <c r="AE31" s="235"/>
    </row>
    <row r="32" spans="1:33" s="65" customFormat="1" x14ac:dyDescent="0.3">
      <c r="A32" s="58"/>
      <c r="B32" s="166" t="s">
        <v>88</v>
      </c>
      <c r="C32" s="61"/>
      <c r="D32" s="60">
        <v>0.58843000000000001</v>
      </c>
      <c r="E32" s="60"/>
      <c r="F32" s="60">
        <v>1</v>
      </c>
      <c r="G32" s="60"/>
      <c r="H32" s="60">
        <v>1</v>
      </c>
      <c r="I32" s="60"/>
      <c r="J32" s="60">
        <v>1</v>
      </c>
      <c r="K32" s="60"/>
      <c r="L32" s="60">
        <v>1</v>
      </c>
      <c r="M32" s="60"/>
      <c r="N32" s="60">
        <v>1</v>
      </c>
      <c r="O32" s="60"/>
      <c r="P32" s="60">
        <v>0.67566000000000004</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0.63485999999999998</v>
      </c>
      <c r="E33" s="60"/>
      <c r="F33" s="60">
        <v>1</v>
      </c>
      <c r="G33" s="60"/>
      <c r="H33" s="60">
        <v>1</v>
      </c>
      <c r="I33" s="60"/>
      <c r="J33" s="60">
        <v>1</v>
      </c>
      <c r="K33" s="60"/>
      <c r="L33" s="60">
        <v>1</v>
      </c>
      <c r="M33" s="60"/>
      <c r="N33" s="60">
        <v>1</v>
      </c>
      <c r="O33" s="60"/>
      <c r="P33" s="60">
        <v>0.70698000000000005</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1.10466E-2</v>
      </c>
      <c r="E35" s="241"/>
      <c r="F35" s="241">
        <v>1.25466E-2</v>
      </c>
      <c r="G35" s="241"/>
      <c r="H35" s="241">
        <v>1.9546600000000001E-2</v>
      </c>
      <c r="I35" s="241"/>
      <c r="J35" s="241">
        <v>2.30466E-2</v>
      </c>
      <c r="K35" s="241"/>
      <c r="L35" s="241">
        <v>2.65466E-2</v>
      </c>
      <c r="M35" s="241"/>
      <c r="N35" s="241">
        <v>3.6546599999999999E-2</v>
      </c>
      <c r="O35" s="241"/>
      <c r="P35" s="241">
        <v>4.0546600000000002E-2</v>
      </c>
      <c r="Q35" s="241"/>
      <c r="R35" s="241">
        <v>4.0546600000000002E-2</v>
      </c>
      <c r="S35" s="68"/>
      <c r="T35" s="68" t="s">
        <v>83</v>
      </c>
      <c r="U35" s="68"/>
      <c r="V35" s="68" t="s">
        <v>83</v>
      </c>
      <c r="W35" s="68"/>
      <c r="X35" s="68" t="s">
        <v>83</v>
      </c>
      <c r="Y35" s="68" t="s">
        <v>83</v>
      </c>
      <c r="Z35" s="68"/>
      <c r="AA35" s="40"/>
      <c r="AB35" s="67">
        <f>SUMPRODUCT(D35:N35,D30:N30)/AB30</f>
        <v>1.4149028476499187E-2</v>
      </c>
      <c r="AC35" s="43"/>
      <c r="AD35" s="22"/>
    </row>
    <row r="36" spans="1:30" s="23" customFormat="1" x14ac:dyDescent="0.3">
      <c r="A36" s="47"/>
      <c r="B36" s="40" t="s">
        <v>10</v>
      </c>
      <c r="C36" s="69"/>
      <c r="D36" s="241">
        <v>1.11328E-2</v>
      </c>
      <c r="E36" s="241"/>
      <c r="F36" s="241">
        <v>1.26328E-2</v>
      </c>
      <c r="G36" s="241"/>
      <c r="H36" s="241">
        <v>1.9632799999999999E-2</v>
      </c>
      <c r="I36" s="241"/>
      <c r="J36" s="241">
        <v>2.3132799999999999E-2</v>
      </c>
      <c r="K36" s="241"/>
      <c r="L36" s="241">
        <v>2.6632800000000002E-2</v>
      </c>
      <c r="M36" s="241"/>
      <c r="N36" s="241">
        <v>3.66328E-2</v>
      </c>
      <c r="O36" s="241"/>
      <c r="P36" s="241">
        <v>4.0632799999999997E-2</v>
      </c>
      <c r="Q36" s="241"/>
      <c r="R36" s="241">
        <v>4.0632799999999997E-2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0.22137802178422497</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44151</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94</v>
      </c>
      <c r="Y48" s="40"/>
      <c r="Z48" s="76">
        <v>43966</v>
      </c>
      <c r="AA48" s="77"/>
      <c r="AB48" s="76">
        <v>44059</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91</v>
      </c>
      <c r="Y49" s="40"/>
      <c r="Z49" s="76">
        <v>44060</v>
      </c>
      <c r="AA49" s="77"/>
      <c r="AB49" s="76">
        <v>44150</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44150</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343</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478502</v>
      </c>
      <c r="S58" s="238"/>
      <c r="T58" s="237">
        <f>149+188</f>
        <v>337</v>
      </c>
      <c r="U58" s="238"/>
      <c r="V58" s="238">
        <f>17472-5</f>
        <v>17467</v>
      </c>
      <c r="W58" s="238"/>
      <c r="X58" s="238">
        <v>0</v>
      </c>
      <c r="Y58" s="238"/>
      <c r="Z58" s="238">
        <v>0</v>
      </c>
      <c r="AA58" s="238"/>
      <c r="AB58" s="237">
        <f>R58-T58-V58+X58-Z58</f>
        <v>460698</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478502</v>
      </c>
      <c r="S61" s="238"/>
      <c r="T61" s="238">
        <f>T58+T59</f>
        <v>337</v>
      </c>
      <c r="U61" s="238"/>
      <c r="V61" s="238">
        <f>SUM(V58:V60)</f>
        <v>17467</v>
      </c>
      <c r="W61" s="238"/>
      <c r="X61" s="238">
        <f>SUM(X58:X60)</f>
        <v>0</v>
      </c>
      <c r="Y61" s="238"/>
      <c r="Z61" s="238">
        <f>SUM(Z58:Z60)</f>
        <v>0</v>
      </c>
      <c r="AA61" s="238"/>
      <c r="AB61" s="238">
        <f>SUM(AB58:AB60)</f>
        <v>460698</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3</v>
      </c>
      <c r="S64" s="238"/>
      <c r="T64" s="238">
        <v>0</v>
      </c>
      <c r="U64" s="238"/>
      <c r="V64" s="238">
        <v>-2</v>
      </c>
      <c r="W64" s="238"/>
      <c r="X64" s="238"/>
      <c r="Y64" s="238"/>
      <c r="Z64" s="238"/>
      <c r="AA64" s="238"/>
      <c r="AB64" s="238">
        <f>R64+V64</f>
        <v>1</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478505</v>
      </c>
      <c r="S67" s="238"/>
      <c r="T67" s="238"/>
      <c r="U67" s="238"/>
      <c r="V67" s="238"/>
      <c r="W67" s="238"/>
      <c r="X67" s="238"/>
      <c r="Y67" s="238"/>
      <c r="Z67" s="238"/>
      <c r="AA67" s="238"/>
      <c r="AB67" s="238">
        <f>SUM(AB61:AB66)</f>
        <v>460699</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44134</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3</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+T58+V58+Z58-3</f>
        <v>17801</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3318+1905-193-567</f>
        <v>4463</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165+32</f>
        <v>197</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319</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759</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17804</v>
      </c>
      <c r="AA84" s="40"/>
      <c r="AB84" s="97">
        <f>SUM(AB71:AB83)</f>
        <v>5738</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17804</v>
      </c>
      <c r="AA87" s="40"/>
      <c r="AB87" s="97">
        <f>AB84+AB85+AB86</f>
        <v>5738</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-242-11-7</f>
        <v>-260</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-558</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-671</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-474</v>
      </c>
      <c r="AC94" s="114"/>
      <c r="AD94" s="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-121</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-107</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-133</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2</v>
      </c>
      <c r="AA101" s="112"/>
      <c r="AB101" s="98">
        <v>-2</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-750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-18</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-183</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-73</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-319</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-48</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-2019</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0"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0</v>
      </c>
      <c r="AC113" s="114"/>
      <c r="AD113" s="5"/>
    </row>
    <row r="114" spans="1:30"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0</v>
      </c>
      <c r="AC114" s="114"/>
      <c r="AD114" s="5"/>
    </row>
    <row r="115" spans="1:30"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0</v>
      </c>
      <c r="AC115" s="114"/>
      <c r="AD115" s="5"/>
    </row>
    <row r="116" spans="1:30"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0"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0"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0"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0"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-17805</v>
      </c>
      <c r="AA123" s="97"/>
      <c r="AB123" s="98"/>
      <c r="AC123" s="43"/>
      <c r="AD123" s="22"/>
    </row>
    <row r="124" spans="1:30"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0"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-17805</v>
      </c>
      <c r="AA130" s="97"/>
      <c r="AB130" s="97">
        <f>SUM(AB88:AB128)</f>
        <v>-5738</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1</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OCTOBER 2020</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+'July 20'!AB146</f>
        <v>6615.5499999999993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-319</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6296.5499999999993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+'July 20'!AB159</f>
        <v>579.85500000000002</v>
      </c>
      <c r="AC150" s="43"/>
      <c r="AD150" s="22"/>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+'July 20'!AB165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+'July 20'!AB173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2</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2</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-2</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+'July 20'!AB181</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+'July 20'!AB190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+'July 20'!AB198</f>
        <v>1449</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739</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759</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202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1429</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+'July 20'!AB206</f>
        <v>926</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v>739</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750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AB203-AB204+AB205</f>
        <v>937</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+'July 20'!Y213</f>
        <v>0</v>
      </c>
      <c r="Z211" s="98">
        <f>+'July 20'!Z213</f>
        <v>5</v>
      </c>
      <c r="AA211" s="40"/>
      <c r="AB211" s="98">
        <f>Y211+Z211</f>
        <v>5</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259</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389329</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386775</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2554</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6.3E-3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4.2951965065502185</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2.85</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31.181818181818183</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22.91</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34.13084112149533</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25.3</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26.654135338345863</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19.87</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18.644808743169399</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14.1</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OCTOBER 2020</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44134</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1"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2.0008281159907649E-2</v>
      </c>
      <c r="AA241" s="40"/>
      <c r="AB241" s="40"/>
      <c r="AC241" s="43"/>
      <c r="AD241" s="22"/>
    </row>
    <row r="242" spans="1:31"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1"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3.8490000000000003E-2</v>
      </c>
      <c r="AA243" s="40"/>
      <c r="AB243" s="40"/>
      <c r="AC243" s="43"/>
      <c r="AD243" s="22"/>
    </row>
    <row r="244" spans="1:31"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1.4149028476499187E-2</v>
      </c>
      <c r="AA244" s="40"/>
      <c r="AB244" s="40"/>
      <c r="AC244" s="43"/>
      <c r="AD244" s="22"/>
    </row>
    <row r="245" spans="1:31"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2.4340971523500815E-2</v>
      </c>
      <c r="AA245" s="40"/>
      <c r="AB245" s="40"/>
      <c r="AC245" s="43"/>
      <c r="AD245" s="22"/>
    </row>
    <row r="246" spans="1:31"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(+AB87+AB89)/R67</f>
        <v>1.1991515240175129E-2</v>
      </c>
      <c r="AA246" s="40"/>
      <c r="AB246" s="40"/>
      <c r="AC246" s="43"/>
      <c r="AD246" s="22"/>
    </row>
    <row r="247" spans="1:31"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1"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1"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1"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1"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1"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1"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1"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1"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17.21</v>
      </c>
      <c r="AA255" s="40" t="s">
        <v>76</v>
      </c>
      <c r="AB255" s="40"/>
      <c r="AC255" s="43"/>
      <c r="AD255" s="22"/>
    </row>
    <row r="256" spans="1:31"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3.7207552690149526E-2</v>
      </c>
      <c r="AA256" s="40"/>
      <c r="AB256" s="40"/>
      <c r="AC256" s="43"/>
      <c r="AD256" s="22"/>
      <c r="AE256" s="271"/>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0.19320000000000001</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0</v>
      </c>
      <c r="Z260" s="157">
        <v>0</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0</v>
      </c>
      <c r="Z261" s="162">
        <f>+Z313</f>
        <v>0</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+X335</f>
        <v>0</v>
      </c>
      <c r="Z262" s="162">
        <f>+Z335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2</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'July 20'!Z267+Z266</f>
        <v>7</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0</v>
      </c>
      <c r="Z273" s="162">
        <v>0</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0</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261" t="s">
        <v>167</v>
      </c>
      <c r="Q277" s="182"/>
      <c r="R277" s="182"/>
      <c r="S277" s="182"/>
      <c r="T277" s="182"/>
      <c r="U277" s="182"/>
      <c r="V277" s="182"/>
      <c r="W277" s="59"/>
      <c r="X277" s="183"/>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 t="shared" ref="X280:X287" si="1">+X292+X304+X326</f>
        <v>2593</v>
      </c>
      <c r="Y280" s="192">
        <f>X280/$X$289</f>
        <v>0.99769141977683728</v>
      </c>
      <c r="Z280" s="107">
        <f t="shared" ref="Z280:Z287" si="2">+Z292+Z304+Z326</f>
        <v>458932</v>
      </c>
      <c r="AA280" s="192">
        <f t="shared" ref="AA280:AA287" si="3">Z280/$Z$289</f>
        <v>0.99616668620224091</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 t="shared" si="1"/>
        <v>3</v>
      </c>
      <c r="Y281" s="196">
        <f t="shared" ref="Y281:Y287" si="4">X281/$X$289</f>
        <v>1.1542901115813775E-3</v>
      </c>
      <c r="Z281" s="197">
        <f t="shared" si="2"/>
        <v>1249</v>
      </c>
      <c r="AA281" s="198">
        <f t="shared" si="3"/>
        <v>2.7111035862973139E-3</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1"/>
        <v>2</v>
      </c>
      <c r="Y282" s="200">
        <f t="shared" si="4"/>
        <v>7.6952674105425169E-4</v>
      </c>
      <c r="Z282" s="131">
        <f t="shared" si="2"/>
        <v>238</v>
      </c>
      <c r="AA282" s="198">
        <f t="shared" si="3"/>
        <v>5.1660740875801505E-4</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0</v>
      </c>
      <c r="Y283" s="200">
        <f t="shared" si="4"/>
        <v>0</v>
      </c>
      <c r="Z283" s="131">
        <f t="shared" si="2"/>
        <v>0</v>
      </c>
      <c r="AA283" s="198">
        <f t="shared" si="3"/>
        <v>0</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0</v>
      </c>
      <c r="Y284" s="200">
        <f t="shared" si="4"/>
        <v>0</v>
      </c>
      <c r="Z284" s="131">
        <f t="shared" si="2"/>
        <v>0</v>
      </c>
      <c r="AA284" s="198">
        <f t="shared" si="3"/>
        <v>0</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0</v>
      </c>
      <c r="Y285" s="200">
        <f t="shared" si="4"/>
        <v>0</v>
      </c>
      <c r="Z285" s="131">
        <f t="shared" si="2"/>
        <v>0</v>
      </c>
      <c r="AA285" s="198">
        <f t="shared" si="3"/>
        <v>0</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1"/>
        <v>1</v>
      </c>
      <c r="Y286" s="202">
        <f t="shared" si="4"/>
        <v>3.8476337052712584E-4</v>
      </c>
      <c r="Z286" s="203">
        <f t="shared" si="2"/>
        <v>279</v>
      </c>
      <c r="AA286" s="198">
        <f t="shared" si="3"/>
        <v>6.0560280270372348E-4</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 t="shared" si="1"/>
        <v>0</v>
      </c>
      <c r="Y287" s="198">
        <f t="shared" si="4"/>
        <v>0</v>
      </c>
      <c r="Z287" s="107">
        <f t="shared" si="2"/>
        <v>0</v>
      </c>
      <c r="AA287" s="198">
        <f t="shared" si="3"/>
        <v>0</v>
      </c>
      <c r="AB287" s="163"/>
      <c r="AC287" s="175"/>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2599</v>
      </c>
      <c r="Y289" s="198">
        <f>SUM(Y280:Y288)</f>
        <v>1</v>
      </c>
      <c r="Z289" s="98">
        <f>SUM(Z280:Z288)</f>
        <v>460698</v>
      </c>
      <c r="AA289" s="198">
        <f>SUM(AA280:AA288)</f>
        <v>1</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2593</v>
      </c>
      <c r="Y292" s="192">
        <f>X292/$X$301</f>
        <v>0.99769141977683728</v>
      </c>
      <c r="Z292" s="107">
        <v>458932</v>
      </c>
      <c r="AA292" s="192">
        <f>Z292/$Z$301</f>
        <v>0.99616668620224091</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3</v>
      </c>
      <c r="Y293" s="198">
        <f t="shared" ref="Y293:Y299" si="5">X293/$X$301</f>
        <v>1.1542901115813775E-3</v>
      </c>
      <c r="Z293" s="98">
        <v>1249</v>
      </c>
      <c r="AA293" s="198">
        <f t="shared" ref="AA293:AA299" si="6">Z293/$Z$301</f>
        <v>2.7111035862973139E-3</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2</v>
      </c>
      <c r="Y294" s="198">
        <f t="shared" si="5"/>
        <v>7.6952674105425169E-4</v>
      </c>
      <c r="Z294" s="98">
        <v>238</v>
      </c>
      <c r="AA294" s="198">
        <f t="shared" si="6"/>
        <v>5.1660740875801505E-4</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0</v>
      </c>
      <c r="Y295" s="198">
        <f t="shared" si="5"/>
        <v>0</v>
      </c>
      <c r="Z295" s="98">
        <v>0</v>
      </c>
      <c r="AA295" s="198">
        <f t="shared" si="6"/>
        <v>0</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0</v>
      </c>
      <c r="Y297" s="198">
        <f t="shared" si="5"/>
        <v>0</v>
      </c>
      <c r="Z297" s="98">
        <v>0</v>
      </c>
      <c r="AA297" s="198">
        <f t="shared" si="6"/>
        <v>0</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1</v>
      </c>
      <c r="Y298" s="198">
        <f>X298/$X$301</f>
        <v>3.8476337052712584E-4</v>
      </c>
      <c r="Z298" s="98">
        <v>279</v>
      </c>
      <c r="AA298" s="198">
        <f t="shared" si="6"/>
        <v>6.0560280270372348E-4</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0</v>
      </c>
      <c r="Y299" s="198">
        <f t="shared" si="5"/>
        <v>0</v>
      </c>
      <c r="Z299" s="98">
        <v>0</v>
      </c>
      <c r="AA299" s="198">
        <f t="shared" si="6"/>
        <v>0</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2599</v>
      </c>
      <c r="Y301" s="198">
        <f>SUM(Y292:Y300)</f>
        <v>1</v>
      </c>
      <c r="Z301" s="98">
        <f>SUM(Z292:Z300)</f>
        <v>460698</v>
      </c>
      <c r="AA301" s="198">
        <f>SUM(AA292:AA300)</f>
        <v>1</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v>0</v>
      </c>
      <c r="Z310" s="98">
        <v>0</v>
      </c>
      <c r="AA310" s="198">
        <v>0</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0</v>
      </c>
      <c r="Y313" s="198">
        <f>SUM(Y304:Y312)</f>
        <v>0</v>
      </c>
      <c r="Z313" s="98">
        <f>SUM(Z304:Z312)</f>
        <v>0</v>
      </c>
      <c r="AA313" s="198">
        <f>SUM(AA304:AA312)</f>
        <v>0</v>
      </c>
      <c r="AB313" s="40"/>
      <c r="AC313" s="43"/>
      <c r="AD313" s="22"/>
    </row>
    <row r="314" spans="1:30" s="23" customFormat="1" x14ac:dyDescent="0.3">
      <c r="A314" s="47"/>
      <c r="B314" s="40"/>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c r="Y314" s="198"/>
      <c r="Z314" s="98"/>
      <c r="AA314" s="198"/>
      <c r="AB314" s="40"/>
      <c r="AC314" s="43"/>
      <c r="AD314" s="22"/>
    </row>
    <row r="315" spans="1:30" s="23" customFormat="1" x14ac:dyDescent="0.3">
      <c r="A315" s="242"/>
      <c r="B315" s="243" t="s">
        <v>330</v>
      </c>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62" t="s">
        <v>69</v>
      </c>
      <c r="Y315" s="263" t="s">
        <v>70</v>
      </c>
      <c r="Z315" s="262" t="s">
        <v>75</v>
      </c>
      <c r="AA315" s="263" t="s">
        <v>70</v>
      </c>
      <c r="AB315" s="243"/>
      <c r="AC315" s="243"/>
      <c r="AD315" s="22"/>
    </row>
    <row r="316" spans="1:30" s="23" customFormat="1" x14ac:dyDescent="0.3">
      <c r="A316" s="273"/>
      <c r="B316" s="274" t="s">
        <v>326</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6">
        <v>0</v>
      </c>
      <c r="Y316" s="277">
        <v>0</v>
      </c>
      <c r="Z316" s="278">
        <v>0</v>
      </c>
      <c r="AA316" s="277">
        <v>0</v>
      </c>
      <c r="AB316" s="40"/>
      <c r="AC316" s="43"/>
      <c r="AD316" s="22"/>
    </row>
    <row r="317" spans="1:30" s="23" customFormat="1" x14ac:dyDescent="0.3">
      <c r="A317" s="273"/>
      <c r="B317" s="274" t="s">
        <v>327</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6">
        <v>0</v>
      </c>
      <c r="Y317" s="277">
        <v>0</v>
      </c>
      <c r="Z317" s="278">
        <v>0</v>
      </c>
      <c r="AA317" s="277">
        <v>0</v>
      </c>
      <c r="AB317" s="40"/>
      <c r="AC317" s="43"/>
      <c r="AD317" s="22"/>
    </row>
    <row r="318" spans="1:30" s="23" customFormat="1" x14ac:dyDescent="0.3">
      <c r="A318" s="273"/>
      <c r="B318" s="274" t="s">
        <v>328</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6">
        <v>0</v>
      </c>
      <c r="Y318" s="277">
        <v>0</v>
      </c>
      <c r="Z318" s="278">
        <v>0</v>
      </c>
      <c r="AA318" s="277">
        <v>0</v>
      </c>
      <c r="AB318" s="40"/>
      <c r="AC318" s="43"/>
      <c r="AD318" s="22"/>
    </row>
    <row r="319" spans="1:30" s="23" customFormat="1" x14ac:dyDescent="0.3">
      <c r="A319" s="273"/>
      <c r="B319" s="274" t="s">
        <v>329</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6">
        <v>0</v>
      </c>
      <c r="Y319" s="277">
        <v>0</v>
      </c>
      <c r="Z319" s="278">
        <v>0</v>
      </c>
      <c r="AA319" s="277">
        <v>0</v>
      </c>
      <c r="AB319" s="40"/>
      <c r="AC319" s="43"/>
      <c r="AD319" s="22"/>
    </row>
    <row r="320" spans="1:30" s="23" customFormat="1" x14ac:dyDescent="0.3">
      <c r="A320" s="273"/>
      <c r="B320" s="274" t="s">
        <v>334</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6">
        <v>0</v>
      </c>
      <c r="Y320" s="277">
        <v>0</v>
      </c>
      <c r="Z320" s="278">
        <v>0</v>
      </c>
      <c r="AA320" s="277">
        <v>0</v>
      </c>
      <c r="AB320" s="40"/>
      <c r="AC320" s="43"/>
      <c r="AD320" s="22"/>
    </row>
    <row r="321" spans="1:30" s="23" customFormat="1" x14ac:dyDescent="0.3">
      <c r="A321" s="273"/>
      <c r="B321" s="275" t="s">
        <v>331</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276">
        <v>0</v>
      </c>
      <c r="Y321" s="277">
        <v>0</v>
      </c>
      <c r="Z321" s="278">
        <v>0</v>
      </c>
      <c r="AA321" s="277">
        <v>0</v>
      </c>
      <c r="AB321" s="40"/>
      <c r="AC321" s="43"/>
      <c r="AD321" s="22"/>
    </row>
    <row r="322" spans="1:30" s="23" customFormat="1" x14ac:dyDescent="0.3">
      <c r="A322" s="273"/>
      <c r="B322" s="274"/>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276"/>
      <c r="Y322" s="277"/>
      <c r="Z322" s="278"/>
      <c r="AA322" s="277"/>
      <c r="AB322" s="40"/>
      <c r="AC322" s="43"/>
      <c r="AD322" s="22"/>
    </row>
    <row r="323" spans="1:30" s="23" customFormat="1" x14ac:dyDescent="0.3">
      <c r="A323" s="273"/>
      <c r="B323" s="274" t="s">
        <v>80</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f>SUM(X316:X322)</f>
        <v>0</v>
      </c>
      <c r="Y323" s="277">
        <f>SUM(Y316:Y321)</f>
        <v>0</v>
      </c>
      <c r="Z323" s="278">
        <f>SUM(Z316:Z321)</f>
        <v>0</v>
      </c>
      <c r="AA323" s="277">
        <f>SUM(AA316:AA322)</f>
        <v>0</v>
      </c>
      <c r="AB323" s="40"/>
      <c r="AC323" s="43"/>
      <c r="AD323" s="22"/>
    </row>
    <row r="324" spans="1:30" x14ac:dyDescent="0.3">
      <c r="A324" s="7"/>
      <c r="B324" s="99"/>
      <c r="C324" s="99"/>
      <c r="D324" s="205"/>
      <c r="E324" s="205"/>
      <c r="F324" s="205"/>
      <c r="G324" s="205"/>
      <c r="H324" s="205"/>
      <c r="I324" s="205"/>
      <c r="J324" s="205"/>
      <c r="K324" s="205"/>
      <c r="L324" s="205"/>
      <c r="M324" s="205"/>
      <c r="N324" s="205"/>
      <c r="O324" s="205"/>
      <c r="P324" s="205"/>
      <c r="Q324" s="205"/>
      <c r="R324" s="205"/>
      <c r="S324" s="205"/>
      <c r="T324" s="205"/>
      <c r="U324" s="205"/>
      <c r="V324" s="205"/>
      <c r="W324" s="205"/>
      <c r="X324" s="100"/>
      <c r="Y324" s="206"/>
      <c r="Z324" s="207"/>
      <c r="AA324" s="206"/>
      <c r="AB324" s="99"/>
      <c r="AC324" s="10"/>
      <c r="AD324" s="5"/>
    </row>
    <row r="325" spans="1:30" x14ac:dyDescent="0.3">
      <c r="A325" s="33"/>
      <c r="B325" s="102" t="s">
        <v>106</v>
      </c>
      <c r="C325" s="34"/>
      <c r="D325" s="208"/>
      <c r="E325" s="208"/>
      <c r="F325" s="208"/>
      <c r="G325" s="208"/>
      <c r="H325" s="208"/>
      <c r="I325" s="208"/>
      <c r="J325" s="208"/>
      <c r="K325" s="208"/>
      <c r="L325" s="208"/>
      <c r="M325" s="208"/>
      <c r="N325" s="208"/>
      <c r="O325" s="208"/>
      <c r="P325" s="208"/>
      <c r="Q325" s="208"/>
      <c r="R325" s="208"/>
      <c r="S325" s="208"/>
      <c r="T325" s="208"/>
      <c r="U325" s="208"/>
      <c r="V325" s="208"/>
      <c r="W325" s="208"/>
      <c r="X325" s="154" t="s">
        <v>69</v>
      </c>
      <c r="Y325" s="103" t="s">
        <v>70</v>
      </c>
      <c r="Z325" s="154" t="s">
        <v>75</v>
      </c>
      <c r="AA325" s="103" t="s">
        <v>70</v>
      </c>
      <c r="AB325" s="34"/>
      <c r="AC325" s="36"/>
      <c r="AD325" s="5"/>
    </row>
    <row r="326" spans="1:30" s="23" customFormat="1" x14ac:dyDescent="0.3">
      <c r="A326" s="18"/>
      <c r="B326" s="106" t="s">
        <v>59</v>
      </c>
      <c r="C326" s="37"/>
      <c r="D326" s="209"/>
      <c r="E326" s="209"/>
      <c r="F326" s="209"/>
      <c r="G326" s="209"/>
      <c r="H326" s="209"/>
      <c r="I326" s="209"/>
      <c r="J326" s="209"/>
      <c r="K326" s="209"/>
      <c r="L326" s="209"/>
      <c r="M326" s="209"/>
      <c r="N326" s="209"/>
      <c r="O326" s="209"/>
      <c r="P326" s="209"/>
      <c r="Q326" s="209"/>
      <c r="R326" s="209"/>
      <c r="S326" s="209"/>
      <c r="T326" s="209"/>
      <c r="U326" s="209"/>
      <c r="V326" s="209"/>
      <c r="W326" s="209"/>
      <c r="X326" s="106">
        <v>0</v>
      </c>
      <c r="Y326" s="192">
        <v>0</v>
      </c>
      <c r="Z326" s="107">
        <v>0</v>
      </c>
      <c r="AA326" s="192">
        <v>0</v>
      </c>
      <c r="AB326" s="37"/>
      <c r="AC326" s="21"/>
      <c r="AD326" s="22"/>
    </row>
    <row r="327" spans="1:30" s="23" customFormat="1" x14ac:dyDescent="0.3">
      <c r="A327" s="47"/>
      <c r="B327" s="97" t="s">
        <v>60</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61</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100</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101</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102</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103</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104</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c r="Y334" s="198"/>
      <c r="Z334" s="98"/>
      <c r="AA334" s="198"/>
      <c r="AB334" s="40"/>
      <c r="AC334" s="43"/>
      <c r="AD334" s="22"/>
    </row>
    <row r="335" spans="1:30" s="23" customFormat="1" x14ac:dyDescent="0.3">
      <c r="A335" s="47"/>
      <c r="B335" s="40" t="s">
        <v>80</v>
      </c>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f>SUM(X326:X333)</f>
        <v>0</v>
      </c>
      <c r="Y335" s="198">
        <f>SUM(Y326:Y333)</f>
        <v>0</v>
      </c>
      <c r="Z335" s="98">
        <f>SUM(Z326:Z333)</f>
        <v>0</v>
      </c>
      <c r="AA335" s="198">
        <f>SUM(AA326:AA333)</f>
        <v>0</v>
      </c>
      <c r="AB335" s="40"/>
      <c r="AC335" s="43"/>
      <c r="AD335" s="22"/>
    </row>
    <row r="336" spans="1:30" s="23" customFormat="1" x14ac:dyDescent="0.3">
      <c r="A336" s="47"/>
      <c r="B336" s="40"/>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c r="Y336" s="198"/>
      <c r="Z336" s="98"/>
      <c r="AA336" s="198"/>
      <c r="AB336" s="40"/>
      <c r="AC336" s="43"/>
      <c r="AD336" s="22"/>
    </row>
    <row r="337" spans="1:30" s="23" customFormat="1" x14ac:dyDescent="0.3">
      <c r="A337" s="242" t="s">
        <v>313</v>
      </c>
      <c r="B337" s="243" t="s">
        <v>314</v>
      </c>
      <c r="C337" s="244"/>
      <c r="D337" s="244"/>
      <c r="E337" s="244"/>
      <c r="F337" s="244"/>
      <c r="G337" s="244"/>
      <c r="H337" s="245"/>
      <c r="I337" s="245"/>
      <c r="J337" s="245"/>
      <c r="K337" s="245"/>
      <c r="L337" s="245"/>
      <c r="M337" s="245"/>
      <c r="N337" s="245"/>
      <c r="O337" s="245"/>
      <c r="P337" s="246"/>
      <c r="Q337" s="246"/>
      <c r="R337" s="246"/>
      <c r="S337" s="246"/>
      <c r="T337" s="246"/>
      <c r="U337" s="246"/>
      <c r="V337" s="246"/>
      <c r="W337" s="246"/>
      <c r="X337" s="262" t="s">
        <v>69</v>
      </c>
      <c r="Y337" s="263" t="s">
        <v>70</v>
      </c>
      <c r="Z337" s="262" t="s">
        <v>75</v>
      </c>
      <c r="AA337" s="263" t="s">
        <v>70</v>
      </c>
      <c r="AB337" s="243" t="s">
        <v>338</v>
      </c>
      <c r="AC337" s="36"/>
      <c r="AD337" s="22"/>
    </row>
    <row r="338" spans="1:30" s="23" customFormat="1" x14ac:dyDescent="0.3">
      <c r="A338" s="247"/>
      <c r="B338" s="248" t="s">
        <v>59</v>
      </c>
      <c r="C338" s="249"/>
      <c r="D338" s="249"/>
      <c r="E338" s="249"/>
      <c r="F338" s="249"/>
      <c r="G338" s="249"/>
      <c r="H338" s="250"/>
      <c r="I338" s="250"/>
      <c r="J338" s="250"/>
      <c r="K338" s="250"/>
      <c r="L338" s="250"/>
      <c r="M338" s="250"/>
      <c r="N338" s="250"/>
      <c r="O338" s="250"/>
      <c r="P338" s="251"/>
      <c r="Q338" s="269"/>
      <c r="R338" s="269"/>
      <c r="S338" s="269"/>
      <c r="T338" s="269"/>
      <c r="U338" s="269"/>
      <c r="V338" s="269"/>
      <c r="W338" s="269"/>
      <c r="X338" s="264">
        <v>31</v>
      </c>
      <c r="Y338" s="265">
        <f>+X338/X347</f>
        <v>1</v>
      </c>
      <c r="Z338" s="215">
        <v>7355</v>
      </c>
      <c r="AA338" s="265">
        <f>+Z338/Z347</f>
        <v>1</v>
      </c>
      <c r="AB338" s="40"/>
      <c r="AC338" s="43"/>
      <c r="AD338" s="22"/>
    </row>
    <row r="339" spans="1:30" s="23" customFormat="1" x14ac:dyDescent="0.3">
      <c r="A339" s="252"/>
      <c r="B339" s="253" t="s">
        <v>60</v>
      </c>
      <c r="C339" s="254"/>
      <c r="D339" s="254"/>
      <c r="E339" s="254"/>
      <c r="F339" s="254"/>
      <c r="G339" s="254"/>
      <c r="H339" s="255"/>
      <c r="I339" s="255"/>
      <c r="J339" s="255"/>
      <c r="K339" s="255"/>
      <c r="L339" s="255"/>
      <c r="M339" s="255"/>
      <c r="N339" s="255"/>
      <c r="O339" s="255"/>
      <c r="P339" s="256"/>
      <c r="Q339" s="204"/>
      <c r="R339" s="204"/>
      <c r="S339" s="204"/>
      <c r="T339" s="204"/>
      <c r="U339" s="204"/>
      <c r="V339" s="204"/>
      <c r="W339" s="204"/>
      <c r="X339" s="266">
        <v>0</v>
      </c>
      <c r="Y339" s="267">
        <f>+X339/X347</f>
        <v>0</v>
      </c>
      <c r="Z339" s="98">
        <v>0</v>
      </c>
      <c r="AA339" s="268">
        <f>+Z339/Z347</f>
        <v>0</v>
      </c>
      <c r="AB339" s="40"/>
      <c r="AC339" s="43"/>
      <c r="AD339" s="22"/>
    </row>
    <row r="340" spans="1:30" s="23" customFormat="1" x14ac:dyDescent="0.3">
      <c r="A340" s="252"/>
      <c r="B340" s="253" t="s">
        <v>61</v>
      </c>
      <c r="C340" s="254"/>
      <c r="D340" s="254"/>
      <c r="E340" s="254"/>
      <c r="F340" s="254"/>
      <c r="G340" s="254"/>
      <c r="H340" s="255"/>
      <c r="I340" s="255"/>
      <c r="J340" s="255"/>
      <c r="K340" s="255"/>
      <c r="L340" s="255"/>
      <c r="M340" s="255"/>
      <c r="N340" s="255"/>
      <c r="O340" s="255"/>
      <c r="P340" s="256"/>
      <c r="Q340" s="204"/>
      <c r="R340" s="204"/>
      <c r="S340" s="204"/>
      <c r="T340" s="204"/>
      <c r="U340" s="204"/>
      <c r="V340" s="204"/>
      <c r="W340" s="204"/>
      <c r="X340" s="266">
        <v>0</v>
      </c>
      <c r="Y340" s="267">
        <f>+X340/X347</f>
        <v>0</v>
      </c>
      <c r="Z340" s="98">
        <v>0</v>
      </c>
      <c r="AA340" s="268">
        <f>+Z340/Z347</f>
        <v>0</v>
      </c>
      <c r="AB340" s="40"/>
      <c r="AC340" s="43"/>
      <c r="AD340" s="22"/>
    </row>
    <row r="341" spans="1:30" s="23" customFormat="1" x14ac:dyDescent="0.3">
      <c r="A341" s="252"/>
      <c r="B341" s="253" t="s">
        <v>100</v>
      </c>
      <c r="C341" s="254"/>
      <c r="D341" s="254"/>
      <c r="E341" s="254"/>
      <c r="F341" s="254"/>
      <c r="G341" s="254"/>
      <c r="H341" s="255"/>
      <c r="I341" s="255"/>
      <c r="J341" s="255"/>
      <c r="K341" s="255"/>
      <c r="L341" s="255"/>
      <c r="M341" s="255"/>
      <c r="N341" s="255"/>
      <c r="O341" s="255"/>
      <c r="P341" s="256"/>
      <c r="Q341" s="204"/>
      <c r="R341" s="204"/>
      <c r="S341" s="204"/>
      <c r="T341" s="204"/>
      <c r="U341" s="204"/>
      <c r="V341" s="204"/>
      <c r="W341" s="204"/>
      <c r="X341" s="266">
        <v>0</v>
      </c>
      <c r="Y341" s="267">
        <f>+X341/X347</f>
        <v>0</v>
      </c>
      <c r="Z341" s="98">
        <v>0</v>
      </c>
      <c r="AA341" s="268">
        <f>+Z341/Z347</f>
        <v>0</v>
      </c>
      <c r="AB341" s="40"/>
      <c r="AC341" s="43"/>
      <c r="AD341" s="22"/>
    </row>
    <row r="342" spans="1:30" s="23" customFormat="1" x14ac:dyDescent="0.3">
      <c r="A342" s="252"/>
      <c r="B342" s="253" t="s">
        <v>101</v>
      </c>
      <c r="C342" s="254"/>
      <c r="D342" s="254"/>
      <c r="E342" s="254"/>
      <c r="F342" s="254"/>
      <c r="G342" s="254"/>
      <c r="H342" s="255"/>
      <c r="I342" s="255"/>
      <c r="J342" s="255"/>
      <c r="K342" s="255"/>
      <c r="L342" s="255"/>
      <c r="M342" s="255"/>
      <c r="N342" s="255"/>
      <c r="O342" s="255"/>
      <c r="P342" s="256"/>
      <c r="Q342" s="204"/>
      <c r="R342" s="204"/>
      <c r="S342" s="204"/>
      <c r="T342" s="204"/>
      <c r="U342" s="204"/>
      <c r="V342" s="204"/>
      <c r="W342" s="204"/>
      <c r="X342" s="266">
        <v>0</v>
      </c>
      <c r="Y342" s="267">
        <f>+X342/X347</f>
        <v>0</v>
      </c>
      <c r="Z342" s="98">
        <v>0</v>
      </c>
      <c r="AA342" s="268">
        <f>+Z342/Z347</f>
        <v>0</v>
      </c>
      <c r="AB342" s="40"/>
      <c r="AC342" s="43"/>
      <c r="AD342" s="22"/>
    </row>
    <row r="343" spans="1:30" s="23" customFormat="1" x14ac:dyDescent="0.3">
      <c r="A343" s="252"/>
      <c r="B343" s="253" t="s">
        <v>102</v>
      </c>
      <c r="C343" s="254"/>
      <c r="D343" s="254"/>
      <c r="E343" s="254"/>
      <c r="F343" s="254"/>
      <c r="G343" s="254"/>
      <c r="H343" s="255"/>
      <c r="I343" s="255"/>
      <c r="J343" s="255"/>
      <c r="K343" s="255"/>
      <c r="L343" s="255"/>
      <c r="M343" s="255"/>
      <c r="N343" s="255"/>
      <c r="O343" s="255"/>
      <c r="P343" s="256"/>
      <c r="Q343" s="204"/>
      <c r="R343" s="204"/>
      <c r="S343" s="204"/>
      <c r="T343" s="204"/>
      <c r="U343" s="204"/>
      <c r="V343" s="204"/>
      <c r="W343" s="204"/>
      <c r="X343" s="266">
        <v>0</v>
      </c>
      <c r="Y343" s="267">
        <f>+X343/X347</f>
        <v>0</v>
      </c>
      <c r="Z343" s="98">
        <v>0</v>
      </c>
      <c r="AA343" s="268">
        <f>+Z343/Z347</f>
        <v>0</v>
      </c>
      <c r="AB343" s="40"/>
      <c r="AC343" s="43"/>
      <c r="AD343" s="22"/>
    </row>
    <row r="344" spans="1:30" s="23" customFormat="1" x14ac:dyDescent="0.3">
      <c r="A344" s="252"/>
      <c r="B344" s="253" t="s">
        <v>103</v>
      </c>
      <c r="C344" s="254"/>
      <c r="D344" s="254"/>
      <c r="E344" s="254"/>
      <c r="F344" s="254"/>
      <c r="G344" s="254"/>
      <c r="H344" s="255"/>
      <c r="I344" s="255"/>
      <c r="J344" s="255"/>
      <c r="K344" s="255"/>
      <c r="L344" s="255"/>
      <c r="M344" s="255"/>
      <c r="N344" s="255"/>
      <c r="O344" s="255"/>
      <c r="P344" s="256"/>
      <c r="Q344" s="204"/>
      <c r="R344" s="204"/>
      <c r="S344" s="204"/>
      <c r="T344" s="204"/>
      <c r="U344" s="204"/>
      <c r="V344" s="204"/>
      <c r="W344" s="204"/>
      <c r="X344" s="266">
        <v>0</v>
      </c>
      <c r="Y344" s="267">
        <f>+X344/X347</f>
        <v>0</v>
      </c>
      <c r="Z344" s="98">
        <v>0</v>
      </c>
      <c r="AA344" s="268">
        <f>+Z344/Z347</f>
        <v>0</v>
      </c>
      <c r="AB344" s="40"/>
      <c r="AC344" s="43"/>
      <c r="AD344" s="22"/>
    </row>
    <row r="345" spans="1:30" s="23" customFormat="1" x14ac:dyDescent="0.3">
      <c r="A345" s="252"/>
      <c r="B345" s="253" t="s">
        <v>104</v>
      </c>
      <c r="C345" s="254"/>
      <c r="D345" s="254"/>
      <c r="E345" s="254"/>
      <c r="F345" s="254"/>
      <c r="G345" s="254"/>
      <c r="H345" s="255"/>
      <c r="I345" s="255"/>
      <c r="J345" s="255"/>
      <c r="K345" s="255"/>
      <c r="L345" s="255"/>
      <c r="M345" s="255"/>
      <c r="N345" s="255"/>
      <c r="O345" s="255"/>
      <c r="P345" s="256"/>
      <c r="Q345" s="204"/>
      <c r="R345" s="204"/>
      <c r="S345" s="204"/>
      <c r="T345" s="204"/>
      <c r="U345" s="204"/>
      <c r="V345" s="204"/>
      <c r="W345" s="204"/>
      <c r="X345" s="266">
        <v>0</v>
      </c>
      <c r="Y345" s="265">
        <f>+X345/X347</f>
        <v>0</v>
      </c>
      <c r="Z345" s="98">
        <v>0</v>
      </c>
      <c r="AA345" s="268">
        <f>+Z345/Z347</f>
        <v>0</v>
      </c>
      <c r="AB345" s="40"/>
      <c r="AC345" s="43"/>
      <c r="AD345" s="22"/>
    </row>
    <row r="346" spans="1:30" s="23" customFormat="1" x14ac:dyDescent="0.3">
      <c r="A346" s="252"/>
      <c r="B346" s="253"/>
      <c r="C346" s="254"/>
      <c r="D346" s="254"/>
      <c r="E346" s="254"/>
      <c r="F346" s="254"/>
      <c r="G346" s="254"/>
      <c r="H346" s="255"/>
      <c r="I346" s="255"/>
      <c r="J346" s="255"/>
      <c r="K346" s="255"/>
      <c r="L346" s="255"/>
      <c r="M346" s="255"/>
      <c r="N346" s="255"/>
      <c r="O346" s="255"/>
      <c r="P346" s="256"/>
      <c r="Q346" s="204"/>
      <c r="R346" s="204"/>
      <c r="S346" s="204"/>
      <c r="T346" s="204"/>
      <c r="U346" s="204"/>
      <c r="V346" s="204"/>
      <c r="W346" s="204"/>
      <c r="X346" s="280"/>
      <c r="Y346" s="281"/>
      <c r="Z346" s="282"/>
      <c r="AA346" s="281"/>
      <c r="AB346" s="283"/>
      <c r="AC346" s="43"/>
      <c r="AD346" s="22"/>
    </row>
    <row r="347" spans="1:30" s="23" customFormat="1" x14ac:dyDescent="0.3">
      <c r="A347" s="252"/>
      <c r="B347" s="254" t="s">
        <v>80</v>
      </c>
      <c r="C347" s="254"/>
      <c r="D347" s="254"/>
      <c r="E347" s="254"/>
      <c r="F347" s="254"/>
      <c r="G347" s="254"/>
      <c r="H347" s="255"/>
      <c r="I347" s="255"/>
      <c r="J347" s="255"/>
      <c r="K347" s="255"/>
      <c r="L347" s="255"/>
      <c r="M347" s="255"/>
      <c r="N347" s="255"/>
      <c r="O347" s="255"/>
      <c r="P347" s="256"/>
      <c r="Q347" s="204"/>
      <c r="R347" s="204"/>
      <c r="S347" s="204"/>
      <c r="T347" s="204"/>
      <c r="U347" s="204"/>
      <c r="V347" s="204"/>
      <c r="W347" s="204"/>
      <c r="X347" s="266">
        <f>SUM(X338:X345)</f>
        <v>31</v>
      </c>
      <c r="Y347" s="268">
        <f>SUM(Y338:Y345)</f>
        <v>1</v>
      </c>
      <c r="Z347" s="98">
        <f>SUM(Z338:Z345)</f>
        <v>7355</v>
      </c>
      <c r="AA347" s="268">
        <f>SUM(AA338:AA345)</f>
        <v>1</v>
      </c>
      <c r="AB347" s="40"/>
      <c r="AC347" s="43"/>
      <c r="AD347" s="22"/>
    </row>
    <row r="348" spans="1:30" s="23" customFormat="1" ht="16.2" thickBot="1" x14ac:dyDescent="0.35">
      <c r="A348" s="252"/>
      <c r="B348" s="254" t="s">
        <v>325</v>
      </c>
      <c r="C348" s="254"/>
      <c r="D348" s="254"/>
      <c r="E348" s="254"/>
      <c r="F348" s="254"/>
      <c r="G348" s="254"/>
      <c r="H348" s="255"/>
      <c r="I348" s="255"/>
      <c r="J348" s="255"/>
      <c r="K348" s="255"/>
      <c r="L348" s="255"/>
      <c r="M348" s="255"/>
      <c r="N348" s="255"/>
      <c r="O348" s="255"/>
      <c r="P348" s="256"/>
      <c r="Q348" s="204"/>
      <c r="R348" s="204"/>
      <c r="S348" s="204"/>
      <c r="T348" s="204"/>
      <c r="U348" s="204"/>
      <c r="V348" s="204"/>
      <c r="W348" s="204"/>
      <c r="X348" s="297"/>
      <c r="Y348" s="297">
        <f>X347/X352</f>
        <v>1.1927664486340901E-2</v>
      </c>
      <c r="Z348" s="298"/>
      <c r="AA348" s="297">
        <f>Z347/Z352</f>
        <v>1.5964905426114288E-2</v>
      </c>
      <c r="AB348" s="299"/>
      <c r="AC348" s="43"/>
      <c r="AD348" s="22"/>
    </row>
    <row r="349" spans="1:30" s="23" customFormat="1" ht="16.2" thickTop="1" x14ac:dyDescent="0.3">
      <c r="A349" s="252"/>
      <c r="B349" s="254" t="s">
        <v>336</v>
      </c>
      <c r="C349" s="254"/>
      <c r="D349" s="254"/>
      <c r="E349" s="254"/>
      <c r="F349" s="254"/>
      <c r="G349" s="254"/>
      <c r="H349" s="255"/>
      <c r="I349" s="255"/>
      <c r="J349" s="255"/>
      <c r="K349" s="255"/>
      <c r="L349" s="255"/>
      <c r="M349" s="255"/>
      <c r="N349" s="255"/>
      <c r="O349" s="255"/>
      <c r="P349" s="256"/>
      <c r="Q349" s="204"/>
      <c r="R349" s="204"/>
      <c r="S349" s="204"/>
      <c r="T349" s="204"/>
      <c r="U349" s="204"/>
      <c r="V349" s="204"/>
      <c r="W349" s="204"/>
      <c r="X349" s="293">
        <v>4</v>
      </c>
      <c r="Y349" s="294">
        <f>X349/X347</f>
        <v>0.12903225806451613</v>
      </c>
      <c r="Z349" s="295">
        <v>804</v>
      </c>
      <c r="AA349" s="294">
        <f>Z349/Z347</f>
        <v>0.10931339225016995</v>
      </c>
      <c r="AB349" s="296">
        <v>0.9838709677419355</v>
      </c>
      <c r="AC349" s="43"/>
      <c r="AD349" s="22"/>
    </row>
    <row r="350" spans="1:30" s="23" customFormat="1" ht="16.2" thickBot="1" x14ac:dyDescent="0.35">
      <c r="A350" s="252"/>
      <c r="B350" s="254" t="s">
        <v>337</v>
      </c>
      <c r="C350" s="254"/>
      <c r="D350" s="254"/>
      <c r="E350" s="254"/>
      <c r="F350" s="254"/>
      <c r="G350" s="254"/>
      <c r="H350" s="255"/>
      <c r="I350" s="255"/>
      <c r="J350" s="255"/>
      <c r="K350" s="255"/>
      <c r="L350" s="255"/>
      <c r="M350" s="255"/>
      <c r="N350" s="255"/>
      <c r="O350" s="255"/>
      <c r="P350" s="256"/>
      <c r="Q350" s="204"/>
      <c r="R350" s="204"/>
      <c r="S350" s="204"/>
      <c r="T350" s="204"/>
      <c r="U350" s="204"/>
      <c r="V350" s="204"/>
      <c r="W350" s="204"/>
      <c r="X350" s="288">
        <v>27</v>
      </c>
      <c r="Y350" s="289">
        <f>X350/X347</f>
        <v>0.87096774193548387</v>
      </c>
      <c r="Z350" s="290">
        <v>6551</v>
      </c>
      <c r="AA350" s="291">
        <f>Z350/Z347</f>
        <v>0.89068660774982999</v>
      </c>
      <c r="AB350" s="292">
        <v>0.87096774193548387</v>
      </c>
      <c r="AC350" s="43"/>
      <c r="AD350" s="22"/>
    </row>
    <row r="351" spans="1:30" s="23" customFormat="1" ht="16.2" thickTop="1" x14ac:dyDescent="0.3">
      <c r="A351" s="252"/>
      <c r="B351" s="254"/>
      <c r="C351" s="254"/>
      <c r="D351" s="254"/>
      <c r="E351" s="254"/>
      <c r="F351" s="254"/>
      <c r="G351" s="254"/>
      <c r="H351" s="255"/>
      <c r="I351" s="255"/>
      <c r="J351" s="255"/>
      <c r="K351" s="255"/>
      <c r="L351" s="255"/>
      <c r="M351" s="255"/>
      <c r="N351" s="255"/>
      <c r="O351" s="255"/>
      <c r="P351" s="256"/>
      <c r="Q351" s="204"/>
      <c r="R351" s="204"/>
      <c r="S351" s="204"/>
      <c r="T351" s="204"/>
      <c r="U351" s="204"/>
      <c r="V351" s="204"/>
      <c r="W351" s="204"/>
      <c r="X351" s="284"/>
      <c r="Y351" s="202"/>
      <c r="Z351" s="285"/>
      <c r="AA351" s="202"/>
      <c r="AB351" s="286"/>
      <c r="AC351" s="43"/>
      <c r="AD351" s="22"/>
    </row>
    <row r="352" spans="1:30" s="23" customFormat="1" x14ac:dyDescent="0.3">
      <c r="A352" s="47"/>
      <c r="B352" s="44" t="s">
        <v>139</v>
      </c>
      <c r="C352" s="40"/>
      <c r="D352" s="204"/>
      <c r="E352" s="204"/>
      <c r="F352" s="204"/>
      <c r="G352" s="204"/>
      <c r="H352" s="204"/>
      <c r="I352" s="204"/>
      <c r="J352" s="204"/>
      <c r="K352" s="204"/>
      <c r="L352" s="204"/>
      <c r="M352" s="204"/>
      <c r="N352" s="204"/>
      <c r="O352" s="204"/>
      <c r="P352" s="204"/>
      <c r="Q352" s="204"/>
      <c r="R352" s="204"/>
      <c r="S352" s="204"/>
      <c r="T352" s="204"/>
      <c r="U352" s="204"/>
      <c r="V352" s="204"/>
      <c r="W352" s="204"/>
      <c r="X352" s="210">
        <f>X335+X313+X301</f>
        <v>2599</v>
      </c>
      <c r="Y352" s="198"/>
      <c r="Z352" s="211">
        <f>+Z335+Z313+Z301</f>
        <v>460698</v>
      </c>
      <c r="AA352" s="198"/>
      <c r="AB352" s="40"/>
      <c r="AC352" s="43"/>
      <c r="AD352" s="22"/>
    </row>
    <row r="353" spans="1:30" s="23" customFormat="1" x14ac:dyDescent="0.3">
      <c r="A353" s="47"/>
      <c r="B353" s="44" t="s">
        <v>304</v>
      </c>
      <c r="C353" s="44"/>
      <c r="D353" s="212"/>
      <c r="E353" s="212"/>
      <c r="F353" s="212"/>
      <c r="G353" s="212"/>
      <c r="H353" s="212"/>
      <c r="I353" s="212"/>
      <c r="J353" s="212"/>
      <c r="K353" s="212"/>
      <c r="L353" s="212"/>
      <c r="M353" s="212"/>
      <c r="N353" s="212"/>
      <c r="O353" s="212"/>
      <c r="P353" s="212"/>
      <c r="Q353" s="212"/>
      <c r="R353" s="212"/>
      <c r="S353" s="212"/>
      <c r="T353" s="212"/>
      <c r="U353" s="212"/>
      <c r="V353" s="212"/>
      <c r="W353" s="212"/>
      <c r="X353" s="210"/>
      <c r="Y353" s="213"/>
      <c r="Z353" s="211">
        <f>+AB65+AB64</f>
        <v>1</v>
      </c>
      <c r="AA353" s="198"/>
      <c r="AB353" s="40"/>
      <c r="AC353" s="43"/>
      <c r="AD353" s="22"/>
    </row>
    <row r="354" spans="1:30" s="23" customFormat="1" x14ac:dyDescent="0.3">
      <c r="A354" s="47"/>
      <c r="B354" s="44" t="s">
        <v>107</v>
      </c>
      <c r="C354" s="44"/>
      <c r="D354" s="212"/>
      <c r="E354" s="212"/>
      <c r="F354" s="212"/>
      <c r="G354" s="212"/>
      <c r="H354" s="212"/>
      <c r="I354" s="212"/>
      <c r="J354" s="212"/>
      <c r="K354" s="212"/>
      <c r="L354" s="212"/>
      <c r="M354" s="212"/>
      <c r="N354" s="212"/>
      <c r="O354" s="212"/>
      <c r="P354" s="212"/>
      <c r="Q354" s="212"/>
      <c r="R354" s="212"/>
      <c r="S354" s="212"/>
      <c r="T354" s="212"/>
      <c r="U354" s="212"/>
      <c r="V354" s="212"/>
      <c r="W354" s="212"/>
      <c r="X354" s="210"/>
      <c r="Y354" s="213"/>
      <c r="Z354" s="211">
        <f>+Z352+Z353</f>
        <v>460699</v>
      </c>
      <c r="AA354" s="198"/>
      <c r="AB354" s="40"/>
      <c r="AC354" s="43"/>
      <c r="AD354" s="22"/>
    </row>
    <row r="355" spans="1:30" s="23" customFormat="1" x14ac:dyDescent="0.3">
      <c r="A355" s="47"/>
      <c r="B355" s="44" t="s">
        <v>237</v>
      </c>
      <c r="C355" s="40"/>
      <c r="D355" s="204"/>
      <c r="E355" s="204"/>
      <c r="F355" s="204"/>
      <c r="G355" s="204"/>
      <c r="H355" s="204"/>
      <c r="I355" s="204"/>
      <c r="J355" s="204"/>
      <c r="K355" s="204"/>
      <c r="L355" s="204"/>
      <c r="M355" s="204"/>
      <c r="N355" s="204"/>
      <c r="O355" s="204"/>
      <c r="P355" s="204"/>
      <c r="Q355" s="204"/>
      <c r="R355" s="204"/>
      <c r="S355" s="204"/>
      <c r="T355" s="204"/>
      <c r="U355" s="204"/>
      <c r="V355" s="204"/>
      <c r="W355" s="204"/>
      <c r="X355" s="210"/>
      <c r="Y355" s="198"/>
      <c r="Z355" s="211">
        <f>+AB67</f>
        <v>460699</v>
      </c>
      <c r="AA355" s="198"/>
      <c r="AB355" s="40"/>
      <c r="AC355" s="43"/>
      <c r="AD355" s="22"/>
    </row>
    <row r="356" spans="1:30" s="23" customFormat="1" x14ac:dyDescent="0.3">
      <c r="A356" s="47"/>
      <c r="B356" s="44"/>
      <c r="C356" s="40"/>
      <c r="D356" s="204"/>
      <c r="E356" s="204"/>
      <c r="F356" s="204"/>
      <c r="G356" s="204"/>
      <c r="H356" s="204"/>
      <c r="I356" s="204"/>
      <c r="J356" s="204"/>
      <c r="K356" s="204"/>
      <c r="L356" s="204"/>
      <c r="M356" s="204"/>
      <c r="N356" s="204"/>
      <c r="O356" s="204"/>
      <c r="P356" s="204"/>
      <c r="Q356" s="204"/>
      <c r="R356" s="204"/>
      <c r="S356" s="204"/>
      <c r="T356" s="204"/>
      <c r="U356" s="204"/>
      <c r="V356" s="204"/>
      <c r="W356" s="204"/>
      <c r="X356" s="210"/>
      <c r="Y356" s="198"/>
      <c r="Z356" s="211"/>
      <c r="AA356" s="198"/>
      <c r="AB356" s="40"/>
      <c r="AC356" s="43"/>
      <c r="AD356" s="22"/>
    </row>
    <row r="357" spans="1:30" s="23" customFormat="1" x14ac:dyDescent="0.3">
      <c r="A357" s="47"/>
      <c r="B357" s="44" t="s">
        <v>305</v>
      </c>
      <c r="C357" s="40"/>
      <c r="D357" s="204"/>
      <c r="E357" s="204"/>
      <c r="F357" s="204"/>
      <c r="G357" s="204"/>
      <c r="H357" s="204"/>
      <c r="I357" s="204"/>
      <c r="J357" s="204"/>
      <c r="K357" s="204"/>
      <c r="L357" s="204"/>
      <c r="M357" s="204"/>
      <c r="N357" s="204"/>
      <c r="O357" s="204"/>
      <c r="P357" s="204"/>
      <c r="Q357" s="204"/>
      <c r="R357" s="204"/>
      <c r="S357" s="204"/>
      <c r="T357" s="204"/>
      <c r="U357" s="204"/>
      <c r="V357" s="204"/>
      <c r="W357" s="204"/>
      <c r="X357" s="210"/>
      <c r="Y357" s="198"/>
      <c r="Z357" s="236">
        <f>(D31*0.05+F31+H31+J31+L31+N31)/AB31</f>
        <v>0.53467793611071124</v>
      </c>
      <c r="AA357" s="198"/>
      <c r="AB357" s="40"/>
      <c r="AC357" s="43"/>
      <c r="AD357" s="22"/>
    </row>
    <row r="358" spans="1:30" s="23" customFormat="1" x14ac:dyDescent="0.3">
      <c r="A358" s="18"/>
      <c r="B358" s="20"/>
      <c r="C358" s="20"/>
      <c r="D358" s="214"/>
      <c r="E358" s="214"/>
      <c r="F358" s="214"/>
      <c r="G358" s="214"/>
      <c r="H358" s="214"/>
      <c r="I358" s="214"/>
      <c r="J358" s="214"/>
      <c r="K358" s="214"/>
      <c r="L358" s="214"/>
      <c r="M358" s="214"/>
      <c r="N358" s="214"/>
      <c r="O358" s="214"/>
      <c r="P358" s="214"/>
      <c r="Q358" s="214"/>
      <c r="R358" s="214"/>
      <c r="S358" s="214"/>
      <c r="T358" s="214"/>
      <c r="U358" s="214"/>
      <c r="V358" s="214"/>
      <c r="W358" s="214"/>
      <c r="X358" s="214"/>
      <c r="Y358" s="214"/>
      <c r="Z358" s="215"/>
      <c r="AA358" s="214"/>
      <c r="AB358" s="20"/>
      <c r="AC358" s="21"/>
      <c r="AD358" s="22"/>
    </row>
    <row r="359" spans="1:30" s="23" customFormat="1" x14ac:dyDescent="0.3">
      <c r="A359" s="18"/>
      <c r="B359" s="19" t="s">
        <v>62</v>
      </c>
      <c r="C359" s="20"/>
      <c r="D359" s="216" t="s">
        <v>66</v>
      </c>
      <c r="E359" s="19"/>
      <c r="F359" s="19" t="s">
        <v>67</v>
      </c>
      <c r="G359" s="20"/>
      <c r="H359" s="19"/>
      <c r="I359" s="20"/>
      <c r="J359" s="20"/>
      <c r="K359" s="20"/>
      <c r="L359" s="20"/>
      <c r="M359" s="20"/>
      <c r="N359" s="20"/>
      <c r="O359" s="20"/>
      <c r="P359" s="20"/>
      <c r="Q359" s="20"/>
      <c r="R359" s="20"/>
      <c r="S359" s="20"/>
      <c r="T359" s="20"/>
      <c r="U359" s="20"/>
      <c r="V359" s="20"/>
      <c r="W359" s="20"/>
      <c r="X359" s="20"/>
      <c r="Y359" s="20"/>
      <c r="Z359" s="20"/>
      <c r="AA359" s="20"/>
      <c r="AB359" s="20"/>
      <c r="AC359" s="21"/>
      <c r="AD359" s="22"/>
    </row>
    <row r="360" spans="1:30" s="23" customFormat="1" x14ac:dyDescent="0.3">
      <c r="A360" s="18"/>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1"/>
      <c r="AD360" s="22"/>
    </row>
    <row r="361" spans="1:30" s="23" customFormat="1" x14ac:dyDescent="0.3">
      <c r="A361" s="18"/>
      <c r="B361" s="19" t="s">
        <v>152</v>
      </c>
      <c r="C361" s="19"/>
      <c r="D361" s="217" t="s">
        <v>122</v>
      </c>
      <c r="E361" s="19"/>
      <c r="F361" s="19" t="s">
        <v>168</v>
      </c>
      <c r="G361" s="19"/>
      <c r="H361" s="19"/>
      <c r="I361" s="20"/>
      <c r="J361" s="20"/>
      <c r="K361" s="20"/>
      <c r="L361" s="20"/>
      <c r="M361" s="20"/>
      <c r="N361" s="20"/>
      <c r="O361" s="20"/>
      <c r="P361" s="20"/>
      <c r="Q361" s="20"/>
      <c r="R361" s="20"/>
      <c r="S361" s="20"/>
      <c r="T361" s="20"/>
      <c r="U361" s="20"/>
      <c r="V361" s="20"/>
      <c r="W361" s="20"/>
      <c r="X361" s="20"/>
      <c r="Y361" s="20"/>
      <c r="Z361" s="20"/>
      <c r="AA361" s="20"/>
      <c r="AB361" s="20"/>
      <c r="AC361" s="21"/>
      <c r="AD361" s="22"/>
    </row>
    <row r="362" spans="1:30" s="23" customFormat="1" x14ac:dyDescent="0.3">
      <c r="A362" s="18"/>
      <c r="B362" s="19" t="s">
        <v>153</v>
      </c>
      <c r="C362" s="19"/>
      <c r="D362" s="217" t="s">
        <v>98</v>
      </c>
      <c r="E362" s="19"/>
      <c r="F362" s="19" t="s">
        <v>169</v>
      </c>
      <c r="G362" s="19"/>
      <c r="H362" s="19"/>
      <c r="I362" s="20"/>
      <c r="J362" s="20"/>
      <c r="K362" s="20"/>
      <c r="L362" s="20"/>
      <c r="M362" s="20"/>
      <c r="N362" s="20"/>
      <c r="O362" s="20"/>
      <c r="P362" s="20"/>
      <c r="Q362" s="20"/>
      <c r="R362" s="20"/>
      <c r="S362" s="20"/>
      <c r="T362" s="20"/>
      <c r="U362" s="20"/>
      <c r="V362" s="20"/>
      <c r="W362" s="20"/>
      <c r="X362" s="20"/>
      <c r="Y362" s="20"/>
      <c r="Z362" s="20"/>
      <c r="AA362" s="20"/>
      <c r="AB362" s="20"/>
      <c r="AC362" s="21"/>
      <c r="AD362" s="22"/>
    </row>
    <row r="363" spans="1:30" s="23" customFormat="1" x14ac:dyDescent="0.3">
      <c r="A363" s="18"/>
      <c r="B363" s="19"/>
      <c r="C363" s="19"/>
      <c r="D363" s="217"/>
      <c r="E363" s="19"/>
      <c r="F363" s="19"/>
      <c r="G363" s="19"/>
      <c r="H363" s="19"/>
      <c r="I363" s="20"/>
      <c r="J363" s="20"/>
      <c r="K363" s="20"/>
      <c r="L363" s="20"/>
      <c r="M363" s="20"/>
      <c r="N363" s="20"/>
      <c r="O363" s="20"/>
      <c r="P363" s="20"/>
      <c r="Q363" s="20"/>
      <c r="R363" s="20"/>
      <c r="S363" s="20"/>
      <c r="T363" s="20"/>
      <c r="U363" s="20"/>
      <c r="V363" s="20"/>
      <c r="W363" s="20"/>
      <c r="X363" s="20"/>
      <c r="Y363" s="20"/>
      <c r="Z363" s="20"/>
      <c r="AA363" s="20"/>
      <c r="AB363" s="20"/>
      <c r="AC363" s="21"/>
      <c r="AD363" s="22"/>
    </row>
    <row r="364" spans="1:30" s="23" customFormat="1" x14ac:dyDescent="0.3">
      <c r="A364" s="18"/>
      <c r="B364" s="257" t="s">
        <v>333</v>
      </c>
      <c r="C364" s="19"/>
      <c r="D364" s="217"/>
      <c r="E364" s="19"/>
      <c r="F364" s="19"/>
      <c r="G364" s="19"/>
      <c r="H364" s="19"/>
      <c r="I364" s="20"/>
      <c r="J364" s="20"/>
      <c r="K364" s="20"/>
      <c r="L364" s="20"/>
      <c r="M364" s="20"/>
      <c r="N364" s="20"/>
      <c r="O364" s="20"/>
      <c r="P364" s="20"/>
      <c r="Q364" s="20"/>
      <c r="R364" s="20"/>
      <c r="S364" s="20"/>
      <c r="T364" s="20"/>
      <c r="U364" s="20"/>
      <c r="V364" s="20"/>
      <c r="W364" s="20"/>
      <c r="X364" s="20"/>
      <c r="Y364" s="20"/>
      <c r="Z364" s="20"/>
      <c r="AA364" s="20"/>
      <c r="AB364" s="20"/>
      <c r="AC364" s="21"/>
      <c r="AD364" s="22"/>
    </row>
    <row r="365" spans="1:30" x14ac:dyDescent="0.3">
      <c r="A365" s="218"/>
      <c r="B365" s="258"/>
      <c r="C365" s="219"/>
      <c r="D365" s="220"/>
      <c r="E365" s="220"/>
      <c r="F365" s="220"/>
      <c r="G365" s="220"/>
      <c r="H365" s="220"/>
      <c r="I365" s="220"/>
      <c r="J365" s="220"/>
      <c r="K365" s="220"/>
      <c r="L365" s="220"/>
      <c r="M365" s="220"/>
      <c r="N365" s="220"/>
      <c r="O365" s="220"/>
      <c r="P365" s="220"/>
      <c r="Q365" s="220"/>
      <c r="R365" s="220"/>
      <c r="S365" s="220"/>
      <c r="T365" s="220"/>
      <c r="U365" s="220"/>
      <c r="V365" s="220"/>
      <c r="W365" s="220"/>
      <c r="X365" s="220"/>
      <c r="Y365" s="220"/>
      <c r="Z365" s="220"/>
      <c r="AA365" s="220"/>
      <c r="AB365" s="220"/>
      <c r="AC365" s="221"/>
      <c r="AD365" s="5"/>
    </row>
    <row r="366" spans="1:30" ht="18" x14ac:dyDescent="0.35">
      <c r="A366" s="218"/>
      <c r="B366" s="259" t="s">
        <v>109</v>
      </c>
      <c r="C366" s="219"/>
      <c r="D366" s="220"/>
      <c r="E366" s="220"/>
      <c r="F366" s="220"/>
      <c r="G366" s="220"/>
      <c r="H366" s="220"/>
      <c r="I366" s="220"/>
      <c r="J366" s="220"/>
      <c r="K366" s="220"/>
      <c r="L366" s="220"/>
      <c r="M366" s="220"/>
      <c r="N366" s="220"/>
      <c r="O366" s="220"/>
      <c r="P366" s="260" t="s">
        <v>167</v>
      </c>
      <c r="Q366" s="220"/>
      <c r="R366" s="220"/>
      <c r="S366" s="220"/>
      <c r="T366" s="220"/>
      <c r="U366" s="220"/>
      <c r="V366" s="220"/>
      <c r="W366" s="220"/>
      <c r="X366" s="220"/>
      <c r="Y366" s="220"/>
      <c r="Z366" s="220"/>
      <c r="AA366" s="220"/>
      <c r="AB366" s="220"/>
      <c r="AC366" s="221"/>
      <c r="AD366" s="5"/>
    </row>
    <row r="367" spans="1:30" ht="18" x14ac:dyDescent="0.35">
      <c r="A367" s="218"/>
      <c r="B367" s="259"/>
      <c r="C367" s="219"/>
      <c r="D367" s="220"/>
      <c r="E367" s="220"/>
      <c r="F367" s="220"/>
      <c r="G367" s="220"/>
      <c r="H367" s="220"/>
      <c r="I367" s="220"/>
      <c r="J367" s="220"/>
      <c r="K367" s="220"/>
      <c r="L367" s="220"/>
      <c r="M367" s="220"/>
      <c r="N367" s="220"/>
      <c r="O367" s="220"/>
      <c r="P367" s="260"/>
      <c r="Q367" s="220"/>
      <c r="R367" s="220"/>
      <c r="S367" s="220"/>
      <c r="T367" s="220"/>
      <c r="U367" s="220"/>
      <c r="V367" s="220"/>
      <c r="W367" s="220"/>
      <c r="X367" s="220"/>
      <c r="Y367" s="220"/>
      <c r="Z367" s="220"/>
      <c r="AA367" s="220"/>
      <c r="AB367" s="220"/>
      <c r="AC367" s="221"/>
      <c r="AD367" s="5"/>
    </row>
    <row r="368" spans="1:30" ht="18.600000000000001" thickBot="1" x14ac:dyDescent="0.4">
      <c r="A368" s="218"/>
      <c r="B368" s="222" t="str">
        <f>B237</f>
        <v>PM26 INVESTOR REPORT QUARTER ENDING OCTOBER 2020</v>
      </c>
      <c r="C368" s="219"/>
      <c r="D368" s="220"/>
      <c r="E368" s="220"/>
      <c r="F368" s="220"/>
      <c r="G368" s="220"/>
      <c r="H368" s="220"/>
      <c r="I368" s="220"/>
      <c r="J368" s="220"/>
      <c r="K368" s="220"/>
      <c r="L368" s="220"/>
      <c r="M368" s="220"/>
      <c r="N368" s="220"/>
      <c r="O368" s="220"/>
      <c r="P368" s="220"/>
      <c r="Q368" s="220"/>
      <c r="R368" s="220"/>
      <c r="S368" s="220"/>
      <c r="T368" s="220"/>
      <c r="U368" s="220"/>
      <c r="V368" s="220"/>
      <c r="W368" s="220"/>
      <c r="X368" s="220"/>
      <c r="Y368" s="220"/>
      <c r="Z368" s="220"/>
      <c r="AA368" s="220"/>
      <c r="AB368" s="220"/>
      <c r="AC368" s="223"/>
      <c r="AD368" s="5"/>
    </row>
    <row r="369" spans="1:29" x14ac:dyDescent="0.3">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c r="W369" s="224"/>
      <c r="X369" s="224"/>
      <c r="Y369" s="224"/>
      <c r="Z369" s="224"/>
      <c r="AA369" s="224"/>
      <c r="AB369" s="224"/>
      <c r="AC369" s="224"/>
    </row>
    <row r="370" spans="1:29" x14ac:dyDescent="0.3">
      <c r="B370" s="6" t="s">
        <v>307</v>
      </c>
    </row>
    <row r="372" spans="1:29" x14ac:dyDescent="0.3">
      <c r="B372" s="279" t="s">
        <v>315</v>
      </c>
    </row>
    <row r="373" spans="1:29" x14ac:dyDescent="0.3">
      <c r="B373" s="270" t="s">
        <v>316</v>
      </c>
    </row>
    <row r="374" spans="1:29" x14ac:dyDescent="0.3">
      <c r="B374" s="270" t="s">
        <v>317</v>
      </c>
    </row>
    <row r="375" spans="1:29" x14ac:dyDescent="0.3">
      <c r="B375" s="270" t="s">
        <v>318</v>
      </c>
    </row>
    <row r="376" spans="1:29" x14ac:dyDescent="0.3">
      <c r="B376" s="270" t="s">
        <v>319</v>
      </c>
    </row>
    <row r="377" spans="1:29" x14ac:dyDescent="0.3">
      <c r="B377" s="270" t="s">
        <v>320</v>
      </c>
    </row>
    <row r="378" spans="1:29" x14ac:dyDescent="0.3">
      <c r="B378" s="270" t="s">
        <v>321</v>
      </c>
    </row>
    <row r="379" spans="1:29" x14ac:dyDescent="0.3">
      <c r="B379" s="270" t="s">
        <v>322</v>
      </c>
    </row>
    <row r="380" spans="1:29" x14ac:dyDescent="0.3">
      <c r="B380" s="270"/>
    </row>
    <row r="381" spans="1:29" s="270" customFormat="1" x14ac:dyDescent="0.3">
      <c r="B381" s="279" t="s">
        <v>339</v>
      </c>
    </row>
    <row r="382" spans="1:29" s="270" customFormat="1" x14ac:dyDescent="0.3">
      <c r="B382" s="270" t="s">
        <v>344</v>
      </c>
    </row>
    <row r="383" spans="1:29" s="270" customFormat="1" x14ac:dyDescent="0.3">
      <c r="B383" s="270" t="s">
        <v>358</v>
      </c>
    </row>
    <row r="384" spans="1:29" x14ac:dyDescent="0.3">
      <c r="B384" s="270"/>
    </row>
    <row r="385" spans="2:2" x14ac:dyDescent="0.3">
      <c r="B385" s="279" t="s">
        <v>323</v>
      </c>
    </row>
    <row r="386" spans="2:2" x14ac:dyDescent="0.3">
      <c r="B386" s="270" t="s">
        <v>324</v>
      </c>
    </row>
    <row r="387" spans="2:2" x14ac:dyDescent="0.3">
      <c r="B387" s="270" t="s">
        <v>332</v>
      </c>
    </row>
  </sheetData>
  <hyperlinks>
    <hyperlink ref="K9" r:id="rId1" display="http://www.paragon-group.co.uk" xr:uid="{E1523D9D-FCB5-4876-9D95-028A17EF138F}"/>
    <hyperlink ref="P366" r:id="rId2" xr:uid="{D607F9C7-7A9A-4420-9BD3-532ED768B0F6}"/>
    <hyperlink ref="P277" r:id="rId3" xr:uid="{2AD8F274-A68C-4BFD-99BF-3DDD4244AEA5}"/>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4" max="18" man="1"/>
    <brk id="134" max="18" man="1"/>
    <brk id="237" max="18" man="1"/>
  </rowBreaks>
  <colBreaks count="1" manualBreakCount="1">
    <brk id="29" max="299" man="1"/>
  </colBreaks>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2A34-10ED-49B2-84BB-7BB6BB405408}">
  <sheetPr>
    <tabColor rgb="FF2D2926"/>
  </sheetPr>
  <dimension ref="A1:JB387"/>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0.25309999999999999</v>
      </c>
      <c r="Z17" s="29" t="s">
        <v>258</v>
      </c>
      <c r="AA17" s="29">
        <v>0.74690000000000001</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44249</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215</v>
      </c>
      <c r="I27" s="229"/>
      <c r="J27" s="229" t="s">
        <v>269</v>
      </c>
      <c r="K27" s="229"/>
      <c r="L27" s="229" t="s">
        <v>270</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225656.43226999999</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6876.19182</v>
      </c>
      <c r="Q30" s="54"/>
      <c r="R30" s="54">
        <v>2703</v>
      </c>
      <c r="S30" s="54"/>
      <c r="T30" s="54" t="s">
        <v>83</v>
      </c>
      <c r="U30" s="54"/>
      <c r="V30" s="54" t="s">
        <v>83</v>
      </c>
      <c r="W30" s="54"/>
      <c r="X30" s="54" t="s">
        <v>83</v>
      </c>
      <c r="Y30" s="54" t="s">
        <v>83</v>
      </c>
      <c r="Z30" s="54"/>
      <c r="AA30" s="49"/>
      <c r="AB30" s="50">
        <f>SUM(D30:N30)</f>
        <v>460699.43226999999</v>
      </c>
      <c r="AC30" s="51"/>
      <c r="AD30" s="22"/>
    </row>
    <row r="31" spans="1:33" s="23" customFormat="1" x14ac:dyDescent="0.3">
      <c r="A31" s="47"/>
      <c r="B31" s="44" t="s">
        <v>92</v>
      </c>
      <c r="C31" s="49"/>
      <c r="D31" s="57">
        <f>D29*D32</f>
        <v>215355.91773000002</v>
      </c>
      <c r="E31" s="57"/>
      <c r="F31" s="57">
        <f>F29</f>
        <v>151540</v>
      </c>
      <c r="G31" s="57"/>
      <c r="H31" s="57">
        <f>H29</f>
        <v>24741</v>
      </c>
      <c r="I31" s="57"/>
      <c r="J31" s="57">
        <f>J29</f>
        <v>18555</v>
      </c>
      <c r="K31" s="57"/>
      <c r="L31" s="57">
        <f>L29</f>
        <v>20102</v>
      </c>
      <c r="M31" s="57"/>
      <c r="N31" s="57">
        <f>N29</f>
        <v>20105</v>
      </c>
      <c r="O31" s="57"/>
      <c r="P31" s="57">
        <f>P29*P32</f>
        <v>6609.1473399999995</v>
      </c>
      <c r="Q31" s="57"/>
      <c r="R31" s="57">
        <v>979</v>
      </c>
      <c r="S31" s="57"/>
      <c r="T31" s="57" t="s">
        <v>83</v>
      </c>
      <c r="U31" s="57"/>
      <c r="V31" s="57" t="s">
        <v>83</v>
      </c>
      <c r="W31" s="57"/>
      <c r="X31" s="57" t="s">
        <v>83</v>
      </c>
      <c r="Y31" s="57" t="s">
        <v>83</v>
      </c>
      <c r="Z31" s="57"/>
      <c r="AA31" s="49"/>
      <c r="AB31" s="56">
        <f>SUM(D31:N31)</f>
        <v>450398.91772999999</v>
      </c>
      <c r="AC31" s="51"/>
      <c r="AD31" s="22"/>
      <c r="AE31" s="235"/>
    </row>
    <row r="32" spans="1:33" s="65" customFormat="1" x14ac:dyDescent="0.3">
      <c r="A32" s="58"/>
      <c r="B32" s="166" t="s">
        <v>88</v>
      </c>
      <c r="C32" s="61"/>
      <c r="D32" s="60">
        <v>0.56157000000000001</v>
      </c>
      <c r="E32" s="60"/>
      <c r="F32" s="60">
        <v>1</v>
      </c>
      <c r="G32" s="60"/>
      <c r="H32" s="60">
        <v>1</v>
      </c>
      <c r="I32" s="60"/>
      <c r="J32" s="60">
        <v>1</v>
      </c>
      <c r="K32" s="60"/>
      <c r="L32" s="60">
        <v>1</v>
      </c>
      <c r="M32" s="60"/>
      <c r="N32" s="60">
        <v>1</v>
      </c>
      <c r="O32" s="60"/>
      <c r="P32" s="60">
        <v>0.64942</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0.58843000000000001</v>
      </c>
      <c r="E33" s="60"/>
      <c r="F33" s="60">
        <v>1</v>
      </c>
      <c r="G33" s="60"/>
      <c r="H33" s="60">
        <v>1</v>
      </c>
      <c r="I33" s="60"/>
      <c r="J33" s="60">
        <v>1</v>
      </c>
      <c r="K33" s="60"/>
      <c r="L33" s="60">
        <v>1</v>
      </c>
      <c r="M33" s="60"/>
      <c r="N33" s="60">
        <v>1</v>
      </c>
      <c r="O33" s="60"/>
      <c r="P33" s="60">
        <v>0.67566000000000004</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1.1001800000000001E-2</v>
      </c>
      <c r="E35" s="241"/>
      <c r="F35" s="241">
        <v>1.25018E-2</v>
      </c>
      <c r="G35" s="241"/>
      <c r="H35" s="241">
        <v>1.95018E-2</v>
      </c>
      <c r="I35" s="241"/>
      <c r="J35" s="241">
        <v>2.3001799999999999E-2</v>
      </c>
      <c r="K35" s="241"/>
      <c r="L35" s="241">
        <v>2.6501799999999999E-2</v>
      </c>
      <c r="M35" s="241"/>
      <c r="N35" s="241">
        <v>3.6501800000000001E-2</v>
      </c>
      <c r="O35" s="241"/>
      <c r="P35" s="241">
        <v>4.0501799999999998E-2</v>
      </c>
      <c r="Q35" s="241"/>
      <c r="R35" s="241">
        <v>4.0501799999999998E-2</v>
      </c>
      <c r="S35" s="68"/>
      <c r="T35" s="68" t="s">
        <v>83</v>
      </c>
      <c r="U35" s="68"/>
      <c r="V35" s="68" t="s">
        <v>83</v>
      </c>
      <c r="W35" s="68"/>
      <c r="X35" s="68" t="s">
        <v>83</v>
      </c>
      <c r="Y35" s="68" t="s">
        <v>83</v>
      </c>
      <c r="Z35" s="68"/>
      <c r="AA35" s="40"/>
      <c r="AB35" s="67">
        <f>SUMPRODUCT(D35:N35,D30:N30)/AB30</f>
        <v>1.4224133035413792E-2</v>
      </c>
      <c r="AC35" s="43"/>
      <c r="AD35" s="22"/>
    </row>
    <row r="36" spans="1:30" s="23" customFormat="1" x14ac:dyDescent="0.3">
      <c r="A36" s="47"/>
      <c r="B36" s="40" t="s">
        <v>10</v>
      </c>
      <c r="C36" s="69"/>
      <c r="D36" s="241">
        <v>1.10466E-2</v>
      </c>
      <c r="E36" s="241"/>
      <c r="F36" s="241">
        <v>1.25466E-2</v>
      </c>
      <c r="G36" s="241"/>
      <c r="H36" s="241">
        <v>1.9546600000000001E-2</v>
      </c>
      <c r="I36" s="241"/>
      <c r="J36" s="241">
        <v>2.30466E-2</v>
      </c>
      <c r="K36" s="241"/>
      <c r="L36" s="241">
        <v>2.65466E-2</v>
      </c>
      <c r="M36" s="241"/>
      <c r="N36" s="241">
        <v>3.6546599999999999E-2</v>
      </c>
      <c r="O36" s="241"/>
      <c r="P36" s="241">
        <v>4.0546600000000002E-2</v>
      </c>
      <c r="Q36" s="241"/>
      <c r="R36" s="241">
        <v>4.0546600000000002E-2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0.22759315643694394</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44242</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91</v>
      </c>
      <c r="Y48" s="40"/>
      <c r="Z48" s="76">
        <v>44060</v>
      </c>
      <c r="AA48" s="77"/>
      <c r="AB48" s="76">
        <v>44150</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91</v>
      </c>
      <c r="Y49" s="40"/>
      <c r="Z49" s="76">
        <v>44151</v>
      </c>
      <c r="AA49" s="77"/>
      <c r="AB49" s="76">
        <v>44241</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44241</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345</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460698</v>
      </c>
      <c r="S58" s="238"/>
      <c r="T58" s="237">
        <f>196+158</f>
        <v>354</v>
      </c>
      <c r="U58" s="238"/>
      <c r="V58" s="238">
        <v>9946</v>
      </c>
      <c r="W58" s="238"/>
      <c r="X58" s="238">
        <v>0</v>
      </c>
      <c r="Y58" s="238"/>
      <c r="Z58" s="238">
        <v>0</v>
      </c>
      <c r="AA58" s="238"/>
      <c r="AB58" s="237">
        <f>R58-T58-V58+X58-Z58</f>
        <v>450398</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460698</v>
      </c>
      <c r="S61" s="238"/>
      <c r="T61" s="238">
        <f>T58+T59</f>
        <v>354</v>
      </c>
      <c r="U61" s="238"/>
      <c r="V61" s="238">
        <f>SUM(V58:V60)</f>
        <v>9946</v>
      </c>
      <c r="W61" s="238"/>
      <c r="X61" s="238">
        <f>SUM(X58:X60)</f>
        <v>0</v>
      </c>
      <c r="Y61" s="238"/>
      <c r="Z61" s="238">
        <f>SUM(Z58:Z60)</f>
        <v>0</v>
      </c>
      <c r="AA61" s="238"/>
      <c r="AB61" s="238">
        <f>SUM(AB58:AB60)</f>
        <v>450398</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1</v>
      </c>
      <c r="S64" s="238"/>
      <c r="T64" s="238">
        <v>0</v>
      </c>
      <c r="U64" s="238"/>
      <c r="V64" s="238">
        <v>0</v>
      </c>
      <c r="W64" s="238"/>
      <c r="X64" s="238"/>
      <c r="Y64" s="238"/>
      <c r="Z64" s="238"/>
      <c r="AA64" s="238"/>
      <c r="AB64" s="238">
        <f>R64+V64</f>
        <v>1</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460699</v>
      </c>
      <c r="S67" s="238"/>
      <c r="T67" s="238"/>
      <c r="U67" s="238"/>
      <c r="V67" s="238"/>
      <c r="W67" s="238"/>
      <c r="X67" s="238"/>
      <c r="Y67" s="238"/>
      <c r="Z67" s="238"/>
      <c r="AA67" s="238"/>
      <c r="AB67" s="238">
        <f>SUM(AB61:AB66)</f>
        <v>450399</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44225</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1</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+T58+V58+Z58+4</f>
        <v>10304</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3464+1727-382-512</f>
        <v>4297</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110+17</f>
        <v>127</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267</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958</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10305</v>
      </c>
      <c r="AA84" s="40"/>
      <c r="AB84" s="97">
        <f>SUM(AB71:AB83)</f>
        <v>5649</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10305</v>
      </c>
      <c r="AA87" s="40"/>
      <c r="AB87" s="97">
        <f>AB84+AB85+AB86</f>
        <v>5649</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-233-33-7</f>
        <v>-273</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-540</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-618</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-473</v>
      </c>
      <c r="AC94" s="114"/>
      <c r="AD94" s="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-120</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-106</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-133</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-4</v>
      </c>
      <c r="AA101" s="112"/>
      <c r="AB101" s="98">
        <v>4</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-1100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-18</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-183</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-69</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-267</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-27</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-1724</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0"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0</v>
      </c>
      <c r="AC113" s="114"/>
      <c r="AD113" s="5"/>
    </row>
    <row r="114" spans="1:30"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0</v>
      </c>
      <c r="AC114" s="114"/>
      <c r="AD114" s="5"/>
    </row>
    <row r="115" spans="1:30"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0</v>
      </c>
      <c r="AC115" s="114"/>
      <c r="AD115" s="5"/>
    </row>
    <row r="116" spans="1:30"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0"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0"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0"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0"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-10300</v>
      </c>
      <c r="AA123" s="97"/>
      <c r="AB123" s="98"/>
      <c r="AC123" s="43"/>
      <c r="AD123" s="22"/>
    </row>
    <row r="124" spans="1:30"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0"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-10300</v>
      </c>
      <c r="AA130" s="97"/>
      <c r="AB130" s="97">
        <f>SUM(AB88:AB128)</f>
        <v>-5649</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1</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JANUARY 2021</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+'October 20'!AB146</f>
        <v>6296.5499999999993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-267</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6029.5499999999993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+'October 20'!AB159</f>
        <v>579.85500000000002</v>
      </c>
      <c r="AC150" s="43"/>
      <c r="AD150" s="22"/>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+'October 20'!AB165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+'October 20'!AB173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-4</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-4</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4</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+'October 20'!AB182</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+'October 20'!AB190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+'October 20'!AB198</f>
        <v>1429</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886</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958</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202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1357</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+'October 20'!AB206</f>
        <v>937</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v>886</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1100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AB203-AB204+AB205</f>
        <v>1151</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+'October 20'!Y213</f>
        <v>0</v>
      </c>
      <c r="Z211" s="98">
        <f>+'October 20'!Z213</f>
        <v>5</v>
      </c>
      <c r="AA211" s="40"/>
      <c r="AB211" s="98">
        <f>Y211+Z211</f>
        <v>5</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259</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382021</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387279</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-5258</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6.1999999999999998E-3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4.4307974335472045</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3.01</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31.191666666666666</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24.01</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34.179245283018865</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26.5</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26.443609022556391</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20.78</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18.491803278688526</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14.72</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JANUARY 2021</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44225</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1"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2.0008281159907649E-2</v>
      </c>
      <c r="AA241" s="40"/>
      <c r="AB241" s="40"/>
      <c r="AC241" s="43"/>
      <c r="AD241" s="22"/>
    </row>
    <row r="242" spans="1:31"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1"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3.8269999999999998E-2</v>
      </c>
      <c r="AA243" s="40"/>
      <c r="AB243" s="40"/>
      <c r="AC243" s="43"/>
      <c r="AD243" s="22"/>
    </row>
    <row r="244" spans="1:31"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1.4224133035413792E-2</v>
      </c>
      <c r="AA244" s="40"/>
      <c r="AB244" s="40"/>
      <c r="AC244" s="43"/>
      <c r="AD244" s="22"/>
    </row>
    <row r="245" spans="1:31"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2.4045866964586209E-2</v>
      </c>
      <c r="AA245" s="40"/>
      <c r="AB245" s="40"/>
      <c r="AC245" s="43"/>
      <c r="AD245" s="22"/>
    </row>
    <row r="246" spans="1:31"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(+AB87+AB89)/R67</f>
        <v>1.2261802174521759E-2</v>
      </c>
      <c r="AA246" s="40"/>
      <c r="AB246" s="40"/>
      <c r="AC246" s="43"/>
      <c r="AD246" s="22"/>
    </row>
    <row r="247" spans="1:31"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1"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1"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1"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1"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1"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1"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1"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1"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16.989999999999998</v>
      </c>
      <c r="AA255" s="40" t="s">
        <v>76</v>
      </c>
      <c r="AB255" s="40"/>
      <c r="AC255" s="43"/>
      <c r="AD255" s="22"/>
    </row>
    <row r="256" spans="1:31"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2.2357330925398145E-2</v>
      </c>
      <c r="AA256" s="40"/>
      <c r="AB256" s="40"/>
      <c r="AC256" s="43"/>
      <c r="AD256" s="22"/>
      <c r="AE256" s="271"/>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0.17760000000000001</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0</v>
      </c>
      <c r="Z260" s="157">
        <v>0</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0</v>
      </c>
      <c r="Z261" s="162">
        <f>+Z313</f>
        <v>0</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+X335</f>
        <v>0</v>
      </c>
      <c r="Z262" s="162">
        <f>+Z335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-4</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'October 20'!Z267+Z266</f>
        <v>3</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0</v>
      </c>
      <c r="Z273" s="162">
        <v>0</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0</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261" t="s">
        <v>167</v>
      </c>
      <c r="Q277" s="182"/>
      <c r="R277" s="182"/>
      <c r="S277" s="182"/>
      <c r="T277" s="182"/>
      <c r="U277" s="182"/>
      <c r="V277" s="182"/>
      <c r="W277" s="59"/>
      <c r="X277" s="183"/>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 t="shared" ref="X280:X287" si="1">+X292+X304+X326</f>
        <v>2522</v>
      </c>
      <c r="Y280" s="192">
        <f>X280/$X$289</f>
        <v>0.99683794466403164</v>
      </c>
      <c r="Z280" s="107">
        <f t="shared" ref="Z280:Z287" si="2">+Z292+Z304+Z326</f>
        <v>448191</v>
      </c>
      <c r="AA280" s="192">
        <f t="shared" ref="AA280:AA287" si="3">Z280/$Z$289</f>
        <v>0.99509988943112537</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 t="shared" si="1"/>
        <v>2</v>
      </c>
      <c r="Y281" s="196">
        <f t="shared" ref="Y281:Y287" si="4">X281/$X$289</f>
        <v>7.9051383399209485E-4</v>
      </c>
      <c r="Z281" s="197">
        <f t="shared" si="2"/>
        <v>441</v>
      </c>
      <c r="AA281" s="198">
        <f t="shared" si="3"/>
        <v>9.7913401036416677E-4</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1"/>
        <v>1</v>
      </c>
      <c r="Y282" s="200">
        <f t="shared" si="4"/>
        <v>3.9525691699604743E-4</v>
      </c>
      <c r="Z282" s="131">
        <f t="shared" si="2"/>
        <v>406</v>
      </c>
      <c r="AA282" s="198">
        <f t="shared" si="3"/>
        <v>9.0142496192256629E-4</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3</v>
      </c>
      <c r="Y283" s="200">
        <f t="shared" si="4"/>
        <v>1.1857707509881424E-3</v>
      </c>
      <c r="Z283" s="131">
        <f t="shared" si="2"/>
        <v>681</v>
      </c>
      <c r="AA283" s="198">
        <f t="shared" si="3"/>
        <v>1.5119960568208562E-3</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0</v>
      </c>
      <c r="Y284" s="200">
        <f t="shared" si="4"/>
        <v>0</v>
      </c>
      <c r="Z284" s="131">
        <f t="shared" si="2"/>
        <v>0</v>
      </c>
      <c r="AA284" s="198">
        <f t="shared" si="3"/>
        <v>0</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0</v>
      </c>
      <c r="Y285" s="200">
        <f t="shared" si="4"/>
        <v>0</v>
      </c>
      <c r="Z285" s="131">
        <f t="shared" si="2"/>
        <v>0</v>
      </c>
      <c r="AA285" s="198">
        <f t="shared" si="3"/>
        <v>0</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1"/>
        <v>1</v>
      </c>
      <c r="Y286" s="202">
        <f t="shared" si="4"/>
        <v>3.9525691699604743E-4</v>
      </c>
      <c r="Z286" s="203">
        <f t="shared" si="2"/>
        <v>400</v>
      </c>
      <c r="AA286" s="198">
        <f t="shared" si="3"/>
        <v>8.8810341076114906E-4</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 t="shared" si="1"/>
        <v>1</v>
      </c>
      <c r="Y287" s="198">
        <f t="shared" si="4"/>
        <v>3.9525691699604743E-4</v>
      </c>
      <c r="Z287" s="107">
        <f t="shared" si="2"/>
        <v>279</v>
      </c>
      <c r="AA287" s="198">
        <f t="shared" si="3"/>
        <v>6.1945212900590149E-4</v>
      </c>
      <c r="AB287" s="163"/>
      <c r="AC287" s="175"/>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2530</v>
      </c>
      <c r="Y289" s="198">
        <f>SUM(Y280:Y288)</f>
        <v>1</v>
      </c>
      <c r="Z289" s="98">
        <f>SUM(Z280:Z288)</f>
        <v>450398</v>
      </c>
      <c r="AA289" s="198">
        <f>SUM(AA280:AA288)</f>
        <v>1</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2522</v>
      </c>
      <c r="Y292" s="192">
        <f>X292/$X$301</f>
        <v>0.99683794466403164</v>
      </c>
      <c r="Z292" s="107">
        <v>448191</v>
      </c>
      <c r="AA292" s="192">
        <f>Z292/$Z$301</f>
        <v>0.99509988943112537</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2</v>
      </c>
      <c r="Y293" s="198">
        <f t="shared" ref="Y293:Y299" si="5">X293/$X$301</f>
        <v>7.9051383399209485E-4</v>
      </c>
      <c r="Z293" s="98">
        <v>441</v>
      </c>
      <c r="AA293" s="198">
        <f t="shared" ref="AA293:AA299" si="6">Z293/$Z$301</f>
        <v>9.7913401036416677E-4</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1</v>
      </c>
      <c r="Y294" s="198">
        <f t="shared" si="5"/>
        <v>3.9525691699604743E-4</v>
      </c>
      <c r="Z294" s="98">
        <v>406</v>
      </c>
      <c r="AA294" s="198">
        <f t="shared" si="6"/>
        <v>9.0142496192256629E-4</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3</v>
      </c>
      <c r="Y295" s="198">
        <f t="shared" si="5"/>
        <v>1.1857707509881424E-3</v>
      </c>
      <c r="Z295" s="98">
        <v>681</v>
      </c>
      <c r="AA295" s="198">
        <f t="shared" si="6"/>
        <v>1.5119960568208562E-3</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0</v>
      </c>
      <c r="Y297" s="198">
        <f t="shared" si="5"/>
        <v>0</v>
      </c>
      <c r="Z297" s="98">
        <v>0</v>
      </c>
      <c r="AA297" s="198">
        <f t="shared" si="6"/>
        <v>0</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1</v>
      </c>
      <c r="Y298" s="198">
        <f>X298/$X$301</f>
        <v>3.9525691699604743E-4</v>
      </c>
      <c r="Z298" s="98">
        <v>400</v>
      </c>
      <c r="AA298" s="198">
        <f t="shared" si="6"/>
        <v>8.8810341076114906E-4</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1</v>
      </c>
      <c r="Y299" s="198">
        <f t="shared" si="5"/>
        <v>3.9525691699604743E-4</v>
      </c>
      <c r="Z299" s="98">
        <v>279</v>
      </c>
      <c r="AA299" s="198">
        <f t="shared" si="6"/>
        <v>6.1945212900590149E-4</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2530</v>
      </c>
      <c r="Y301" s="198">
        <f>SUM(Y292:Y300)</f>
        <v>1</v>
      </c>
      <c r="Z301" s="98">
        <f>SUM(Z292:Z300)</f>
        <v>450398</v>
      </c>
      <c r="AA301" s="198">
        <f>SUM(AA292:AA300)</f>
        <v>1</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v>0</v>
      </c>
      <c r="Z310" s="98">
        <v>0</v>
      </c>
      <c r="AA310" s="198">
        <v>0</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0</v>
      </c>
      <c r="Y313" s="198">
        <f>SUM(Y304:Y312)</f>
        <v>0</v>
      </c>
      <c r="Z313" s="98">
        <f>SUM(Z304:Z312)</f>
        <v>0</v>
      </c>
      <c r="AA313" s="198">
        <f>SUM(AA304:AA312)</f>
        <v>0</v>
      </c>
      <c r="AB313" s="40"/>
      <c r="AC313" s="43"/>
      <c r="AD313" s="22"/>
    </row>
    <row r="314" spans="1:30" s="23" customFormat="1" x14ac:dyDescent="0.3">
      <c r="A314" s="47"/>
      <c r="B314" s="40"/>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c r="Y314" s="198"/>
      <c r="Z314" s="98"/>
      <c r="AA314" s="198"/>
      <c r="AB314" s="40"/>
      <c r="AC314" s="43"/>
      <c r="AD314" s="22"/>
    </row>
    <row r="315" spans="1:30" s="23" customFormat="1" x14ac:dyDescent="0.3">
      <c r="A315" s="242"/>
      <c r="B315" s="243" t="s">
        <v>330</v>
      </c>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62" t="s">
        <v>69</v>
      </c>
      <c r="Y315" s="263" t="s">
        <v>70</v>
      </c>
      <c r="Z315" s="262" t="s">
        <v>75</v>
      </c>
      <c r="AA315" s="263" t="s">
        <v>70</v>
      </c>
      <c r="AB315" s="243"/>
      <c r="AC315" s="243"/>
      <c r="AD315" s="22"/>
    </row>
    <row r="316" spans="1:30" s="23" customFormat="1" x14ac:dyDescent="0.3">
      <c r="A316" s="273"/>
      <c r="B316" s="274" t="s">
        <v>326</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6">
        <v>0</v>
      </c>
      <c r="Y316" s="277">
        <v>0</v>
      </c>
      <c r="Z316" s="278">
        <v>0</v>
      </c>
      <c r="AA316" s="277">
        <v>0</v>
      </c>
      <c r="AB316" s="40"/>
      <c r="AC316" s="43"/>
      <c r="AD316" s="22"/>
    </row>
    <row r="317" spans="1:30" s="23" customFormat="1" x14ac:dyDescent="0.3">
      <c r="A317" s="273"/>
      <c r="B317" s="274" t="s">
        <v>327</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6">
        <v>0</v>
      </c>
      <c r="Y317" s="277">
        <v>0</v>
      </c>
      <c r="Z317" s="278">
        <v>0</v>
      </c>
      <c r="AA317" s="277">
        <v>0</v>
      </c>
      <c r="AB317" s="40"/>
      <c r="AC317" s="43"/>
      <c r="AD317" s="22"/>
    </row>
    <row r="318" spans="1:30" s="23" customFormat="1" x14ac:dyDescent="0.3">
      <c r="A318" s="273"/>
      <c r="B318" s="274" t="s">
        <v>328</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6">
        <v>0</v>
      </c>
      <c r="Y318" s="277">
        <v>0</v>
      </c>
      <c r="Z318" s="278">
        <v>0</v>
      </c>
      <c r="AA318" s="277">
        <v>0</v>
      </c>
      <c r="AB318" s="40"/>
      <c r="AC318" s="43"/>
      <c r="AD318" s="22"/>
    </row>
    <row r="319" spans="1:30" s="23" customFormat="1" x14ac:dyDescent="0.3">
      <c r="A319" s="273"/>
      <c r="B319" s="274" t="s">
        <v>329</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6">
        <v>0</v>
      </c>
      <c r="Y319" s="277">
        <v>0</v>
      </c>
      <c r="Z319" s="278">
        <v>0</v>
      </c>
      <c r="AA319" s="277">
        <v>0</v>
      </c>
      <c r="AB319" s="40"/>
      <c r="AC319" s="43"/>
      <c r="AD319" s="22"/>
    </row>
    <row r="320" spans="1:30" s="23" customFormat="1" x14ac:dyDescent="0.3">
      <c r="A320" s="273"/>
      <c r="B320" s="274" t="s">
        <v>334</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6">
        <v>0</v>
      </c>
      <c r="Y320" s="277">
        <v>0</v>
      </c>
      <c r="Z320" s="278">
        <v>0</v>
      </c>
      <c r="AA320" s="277">
        <v>0</v>
      </c>
      <c r="AB320" s="40"/>
      <c r="AC320" s="43"/>
      <c r="AD320" s="22"/>
    </row>
    <row r="321" spans="1:30" s="23" customFormat="1" x14ac:dyDescent="0.3">
      <c r="A321" s="273"/>
      <c r="B321" s="275" t="s">
        <v>331</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276">
        <v>0</v>
      </c>
      <c r="Y321" s="277">
        <v>0</v>
      </c>
      <c r="Z321" s="278">
        <v>0</v>
      </c>
      <c r="AA321" s="277">
        <v>0</v>
      </c>
      <c r="AB321" s="40"/>
      <c r="AC321" s="43"/>
      <c r="AD321" s="22"/>
    </row>
    <row r="322" spans="1:30" s="23" customFormat="1" x14ac:dyDescent="0.3">
      <c r="A322" s="273"/>
      <c r="B322" s="274"/>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276"/>
      <c r="Y322" s="277"/>
      <c r="Z322" s="278"/>
      <c r="AA322" s="277"/>
      <c r="AB322" s="40"/>
      <c r="AC322" s="43"/>
      <c r="AD322" s="22"/>
    </row>
    <row r="323" spans="1:30" s="23" customFormat="1" x14ac:dyDescent="0.3">
      <c r="A323" s="273"/>
      <c r="B323" s="274" t="s">
        <v>80</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f>SUM(X316:X322)</f>
        <v>0</v>
      </c>
      <c r="Y323" s="277">
        <f>SUM(Y316:Y321)</f>
        <v>0</v>
      </c>
      <c r="Z323" s="278">
        <f>SUM(Z316:Z321)</f>
        <v>0</v>
      </c>
      <c r="AA323" s="277">
        <f>SUM(AA316:AA322)</f>
        <v>0</v>
      </c>
      <c r="AB323" s="40"/>
      <c r="AC323" s="43"/>
      <c r="AD323" s="22"/>
    </row>
    <row r="324" spans="1:30" x14ac:dyDescent="0.3">
      <c r="A324" s="7"/>
      <c r="B324" s="99"/>
      <c r="C324" s="99"/>
      <c r="D324" s="205"/>
      <c r="E324" s="205"/>
      <c r="F324" s="205"/>
      <c r="G324" s="205"/>
      <c r="H324" s="205"/>
      <c r="I324" s="205"/>
      <c r="J324" s="205"/>
      <c r="K324" s="205"/>
      <c r="L324" s="205"/>
      <c r="M324" s="205"/>
      <c r="N324" s="205"/>
      <c r="O324" s="205"/>
      <c r="P324" s="205"/>
      <c r="Q324" s="205"/>
      <c r="R324" s="205"/>
      <c r="S324" s="205"/>
      <c r="T324" s="205"/>
      <c r="U324" s="205"/>
      <c r="V324" s="205"/>
      <c r="W324" s="205"/>
      <c r="X324" s="100"/>
      <c r="Y324" s="206"/>
      <c r="Z324" s="207"/>
      <c r="AA324" s="206"/>
      <c r="AB324" s="99"/>
      <c r="AC324" s="10"/>
      <c r="AD324" s="5"/>
    </row>
    <row r="325" spans="1:30" x14ac:dyDescent="0.3">
      <c r="A325" s="33"/>
      <c r="B325" s="102" t="s">
        <v>106</v>
      </c>
      <c r="C325" s="34"/>
      <c r="D325" s="208"/>
      <c r="E325" s="208"/>
      <c r="F325" s="208"/>
      <c r="G325" s="208"/>
      <c r="H325" s="208"/>
      <c r="I325" s="208"/>
      <c r="J325" s="208"/>
      <c r="K325" s="208"/>
      <c r="L325" s="208"/>
      <c r="M325" s="208"/>
      <c r="N325" s="208"/>
      <c r="O325" s="208"/>
      <c r="P325" s="208"/>
      <c r="Q325" s="208"/>
      <c r="R325" s="208"/>
      <c r="S325" s="208"/>
      <c r="T325" s="208"/>
      <c r="U325" s="208"/>
      <c r="V325" s="208"/>
      <c r="W325" s="208"/>
      <c r="X325" s="154" t="s">
        <v>69</v>
      </c>
      <c r="Y325" s="103" t="s">
        <v>70</v>
      </c>
      <c r="Z325" s="154" t="s">
        <v>75</v>
      </c>
      <c r="AA325" s="103" t="s">
        <v>70</v>
      </c>
      <c r="AB325" s="34"/>
      <c r="AC325" s="36"/>
      <c r="AD325" s="5"/>
    </row>
    <row r="326" spans="1:30" s="23" customFormat="1" x14ac:dyDescent="0.3">
      <c r="A326" s="18"/>
      <c r="B326" s="106" t="s">
        <v>59</v>
      </c>
      <c r="C326" s="37"/>
      <c r="D326" s="209"/>
      <c r="E326" s="209"/>
      <c r="F326" s="209"/>
      <c r="G326" s="209"/>
      <c r="H326" s="209"/>
      <c r="I326" s="209"/>
      <c r="J326" s="209"/>
      <c r="K326" s="209"/>
      <c r="L326" s="209"/>
      <c r="M326" s="209"/>
      <c r="N326" s="209"/>
      <c r="O326" s="209"/>
      <c r="P326" s="209"/>
      <c r="Q326" s="209"/>
      <c r="R326" s="209"/>
      <c r="S326" s="209"/>
      <c r="T326" s="209"/>
      <c r="U326" s="209"/>
      <c r="V326" s="209"/>
      <c r="W326" s="209"/>
      <c r="X326" s="106">
        <v>0</v>
      </c>
      <c r="Y326" s="192">
        <v>0</v>
      </c>
      <c r="Z326" s="107">
        <v>0</v>
      </c>
      <c r="AA326" s="192">
        <v>0</v>
      </c>
      <c r="AB326" s="37"/>
      <c r="AC326" s="21"/>
      <c r="AD326" s="22"/>
    </row>
    <row r="327" spans="1:30" s="23" customFormat="1" x14ac:dyDescent="0.3">
      <c r="A327" s="47"/>
      <c r="B327" s="97" t="s">
        <v>60</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61</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100</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101</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102</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103</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104</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c r="Y334" s="198"/>
      <c r="Z334" s="98"/>
      <c r="AA334" s="198"/>
      <c r="AB334" s="40"/>
      <c r="AC334" s="43"/>
      <c r="AD334" s="22"/>
    </row>
    <row r="335" spans="1:30" s="23" customFormat="1" x14ac:dyDescent="0.3">
      <c r="A335" s="47"/>
      <c r="B335" s="40" t="s">
        <v>80</v>
      </c>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f>SUM(X326:X333)</f>
        <v>0</v>
      </c>
      <c r="Y335" s="198">
        <f>SUM(Y326:Y333)</f>
        <v>0</v>
      </c>
      <c r="Z335" s="98">
        <f>SUM(Z326:Z333)</f>
        <v>0</v>
      </c>
      <c r="AA335" s="198">
        <f>SUM(AA326:AA333)</f>
        <v>0</v>
      </c>
      <c r="AB335" s="40"/>
      <c r="AC335" s="43"/>
      <c r="AD335" s="22"/>
    </row>
    <row r="336" spans="1:30" s="23" customFormat="1" x14ac:dyDescent="0.3">
      <c r="A336" s="47"/>
      <c r="B336" s="40"/>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c r="Y336" s="198"/>
      <c r="Z336" s="98"/>
      <c r="AA336" s="198"/>
      <c r="AB336" s="40"/>
      <c r="AC336" s="43"/>
      <c r="AD336" s="22"/>
    </row>
    <row r="337" spans="1:30" s="23" customFormat="1" x14ac:dyDescent="0.3">
      <c r="A337" s="242" t="s">
        <v>313</v>
      </c>
      <c r="B337" s="243" t="s">
        <v>314</v>
      </c>
      <c r="C337" s="244"/>
      <c r="D337" s="244"/>
      <c r="E337" s="244"/>
      <c r="F337" s="244"/>
      <c r="G337" s="244"/>
      <c r="H337" s="245"/>
      <c r="I337" s="245"/>
      <c r="J337" s="245"/>
      <c r="K337" s="245"/>
      <c r="L337" s="245"/>
      <c r="M337" s="245"/>
      <c r="N337" s="245"/>
      <c r="O337" s="245"/>
      <c r="P337" s="246"/>
      <c r="Q337" s="246"/>
      <c r="R337" s="246"/>
      <c r="S337" s="246"/>
      <c r="T337" s="246"/>
      <c r="U337" s="246"/>
      <c r="V337" s="246"/>
      <c r="W337" s="246"/>
      <c r="X337" s="262" t="s">
        <v>69</v>
      </c>
      <c r="Y337" s="263" t="s">
        <v>70</v>
      </c>
      <c r="Z337" s="262" t="s">
        <v>75</v>
      </c>
      <c r="AA337" s="263" t="s">
        <v>70</v>
      </c>
      <c r="AB337" s="243" t="s">
        <v>338</v>
      </c>
      <c r="AC337" s="36"/>
      <c r="AD337" s="22"/>
    </row>
    <row r="338" spans="1:30" s="23" customFormat="1" x14ac:dyDescent="0.3">
      <c r="A338" s="247"/>
      <c r="B338" s="248" t="s">
        <v>59</v>
      </c>
      <c r="C338" s="249"/>
      <c r="D338" s="249"/>
      <c r="E338" s="249"/>
      <c r="F338" s="249"/>
      <c r="G338" s="249"/>
      <c r="H338" s="250"/>
      <c r="I338" s="250"/>
      <c r="J338" s="250"/>
      <c r="K338" s="250"/>
      <c r="L338" s="250"/>
      <c r="M338" s="250"/>
      <c r="N338" s="250"/>
      <c r="O338" s="250"/>
      <c r="P338" s="251"/>
      <c r="Q338" s="269"/>
      <c r="R338" s="269"/>
      <c r="S338" s="269"/>
      <c r="T338" s="269"/>
      <c r="U338" s="269"/>
      <c r="V338" s="269"/>
      <c r="W338" s="269"/>
      <c r="X338" s="264">
        <v>43</v>
      </c>
      <c r="Y338" s="265">
        <f>+X338/X347</f>
        <v>1</v>
      </c>
      <c r="Z338" s="215">
        <v>9677</v>
      </c>
      <c r="AA338" s="265">
        <f>+Z338/Z347</f>
        <v>1</v>
      </c>
      <c r="AB338" s="40"/>
      <c r="AC338" s="43"/>
      <c r="AD338" s="22"/>
    </row>
    <row r="339" spans="1:30" s="23" customFormat="1" x14ac:dyDescent="0.3">
      <c r="A339" s="252"/>
      <c r="B339" s="253" t="s">
        <v>60</v>
      </c>
      <c r="C339" s="254"/>
      <c r="D339" s="254"/>
      <c r="E339" s="254"/>
      <c r="F339" s="254"/>
      <c r="G339" s="254"/>
      <c r="H339" s="255"/>
      <c r="I339" s="255"/>
      <c r="J339" s="255"/>
      <c r="K339" s="255"/>
      <c r="L339" s="255"/>
      <c r="M339" s="255"/>
      <c r="N339" s="255"/>
      <c r="O339" s="255"/>
      <c r="P339" s="256"/>
      <c r="Q339" s="204"/>
      <c r="R339" s="204"/>
      <c r="S339" s="204"/>
      <c r="T339" s="204"/>
      <c r="U339" s="204"/>
      <c r="V339" s="204"/>
      <c r="W339" s="204"/>
      <c r="X339" s="266">
        <v>0</v>
      </c>
      <c r="Y339" s="267">
        <f>+X339/X347</f>
        <v>0</v>
      </c>
      <c r="Z339" s="98">
        <v>0</v>
      </c>
      <c r="AA339" s="268">
        <f>+Z339/Z347</f>
        <v>0</v>
      </c>
      <c r="AB339" s="40"/>
      <c r="AC339" s="43"/>
      <c r="AD339" s="22"/>
    </row>
    <row r="340" spans="1:30" s="23" customFormat="1" x14ac:dyDescent="0.3">
      <c r="A340" s="252"/>
      <c r="B340" s="253" t="s">
        <v>61</v>
      </c>
      <c r="C340" s="254"/>
      <c r="D340" s="254"/>
      <c r="E340" s="254"/>
      <c r="F340" s="254"/>
      <c r="G340" s="254"/>
      <c r="H340" s="255"/>
      <c r="I340" s="255"/>
      <c r="J340" s="255"/>
      <c r="K340" s="255"/>
      <c r="L340" s="255"/>
      <c r="M340" s="255"/>
      <c r="N340" s="255"/>
      <c r="O340" s="255"/>
      <c r="P340" s="256"/>
      <c r="Q340" s="204"/>
      <c r="R340" s="204"/>
      <c r="S340" s="204"/>
      <c r="T340" s="204"/>
      <c r="U340" s="204"/>
      <c r="V340" s="204"/>
      <c r="W340" s="204"/>
      <c r="X340" s="266">
        <v>0</v>
      </c>
      <c r="Y340" s="267">
        <f>+X340/X347</f>
        <v>0</v>
      </c>
      <c r="Z340" s="98">
        <v>0</v>
      </c>
      <c r="AA340" s="268">
        <f>+Z340/Z347</f>
        <v>0</v>
      </c>
      <c r="AB340" s="40"/>
      <c r="AC340" s="43"/>
      <c r="AD340" s="22"/>
    </row>
    <row r="341" spans="1:30" s="23" customFormat="1" x14ac:dyDescent="0.3">
      <c r="A341" s="252"/>
      <c r="B341" s="253" t="s">
        <v>100</v>
      </c>
      <c r="C341" s="254"/>
      <c r="D341" s="254"/>
      <c r="E341" s="254"/>
      <c r="F341" s="254"/>
      <c r="G341" s="254"/>
      <c r="H341" s="255"/>
      <c r="I341" s="255"/>
      <c r="J341" s="255"/>
      <c r="K341" s="255"/>
      <c r="L341" s="255"/>
      <c r="M341" s="255"/>
      <c r="N341" s="255"/>
      <c r="O341" s="255"/>
      <c r="P341" s="256"/>
      <c r="Q341" s="204"/>
      <c r="R341" s="204"/>
      <c r="S341" s="204"/>
      <c r="T341" s="204"/>
      <c r="U341" s="204"/>
      <c r="V341" s="204"/>
      <c r="W341" s="204"/>
      <c r="X341" s="266">
        <v>0</v>
      </c>
      <c r="Y341" s="267">
        <f>+X341/X347</f>
        <v>0</v>
      </c>
      <c r="Z341" s="98">
        <v>0</v>
      </c>
      <c r="AA341" s="268">
        <f>+Z341/Z347</f>
        <v>0</v>
      </c>
      <c r="AB341" s="40"/>
      <c r="AC341" s="43"/>
      <c r="AD341" s="22"/>
    </row>
    <row r="342" spans="1:30" s="23" customFormat="1" x14ac:dyDescent="0.3">
      <c r="A342" s="252"/>
      <c r="B342" s="253" t="s">
        <v>101</v>
      </c>
      <c r="C342" s="254"/>
      <c r="D342" s="254"/>
      <c r="E342" s="254"/>
      <c r="F342" s="254"/>
      <c r="G342" s="254"/>
      <c r="H342" s="255"/>
      <c r="I342" s="255"/>
      <c r="J342" s="255"/>
      <c r="K342" s="255"/>
      <c r="L342" s="255"/>
      <c r="M342" s="255"/>
      <c r="N342" s="255"/>
      <c r="O342" s="255"/>
      <c r="P342" s="256"/>
      <c r="Q342" s="204"/>
      <c r="R342" s="204"/>
      <c r="S342" s="204"/>
      <c r="T342" s="204"/>
      <c r="U342" s="204"/>
      <c r="V342" s="204"/>
      <c r="W342" s="204"/>
      <c r="X342" s="266">
        <v>0</v>
      </c>
      <c r="Y342" s="267">
        <f>+X342/X347</f>
        <v>0</v>
      </c>
      <c r="Z342" s="98">
        <v>0</v>
      </c>
      <c r="AA342" s="268">
        <f>+Z342/Z347</f>
        <v>0</v>
      </c>
      <c r="AB342" s="40"/>
      <c r="AC342" s="43"/>
      <c r="AD342" s="22"/>
    </row>
    <row r="343" spans="1:30" s="23" customFormat="1" x14ac:dyDescent="0.3">
      <c r="A343" s="252"/>
      <c r="B343" s="253" t="s">
        <v>102</v>
      </c>
      <c r="C343" s="254"/>
      <c r="D343" s="254"/>
      <c r="E343" s="254"/>
      <c r="F343" s="254"/>
      <c r="G343" s="254"/>
      <c r="H343" s="255"/>
      <c r="I343" s="255"/>
      <c r="J343" s="255"/>
      <c r="K343" s="255"/>
      <c r="L343" s="255"/>
      <c r="M343" s="255"/>
      <c r="N343" s="255"/>
      <c r="O343" s="255"/>
      <c r="P343" s="256"/>
      <c r="Q343" s="204"/>
      <c r="R343" s="204"/>
      <c r="S343" s="204"/>
      <c r="T343" s="204"/>
      <c r="U343" s="204"/>
      <c r="V343" s="204"/>
      <c r="W343" s="204"/>
      <c r="X343" s="266">
        <v>0</v>
      </c>
      <c r="Y343" s="267">
        <f>+X343/X347</f>
        <v>0</v>
      </c>
      <c r="Z343" s="98">
        <v>0</v>
      </c>
      <c r="AA343" s="268">
        <f>+Z343/Z347</f>
        <v>0</v>
      </c>
      <c r="AB343" s="40"/>
      <c r="AC343" s="43"/>
      <c r="AD343" s="22"/>
    </row>
    <row r="344" spans="1:30" s="23" customFormat="1" x14ac:dyDescent="0.3">
      <c r="A344" s="252"/>
      <c r="B344" s="253" t="s">
        <v>103</v>
      </c>
      <c r="C344" s="254"/>
      <c r="D344" s="254"/>
      <c r="E344" s="254"/>
      <c r="F344" s="254"/>
      <c r="G344" s="254"/>
      <c r="H344" s="255"/>
      <c r="I344" s="255"/>
      <c r="J344" s="255"/>
      <c r="K344" s="255"/>
      <c r="L344" s="255"/>
      <c r="M344" s="255"/>
      <c r="N344" s="255"/>
      <c r="O344" s="255"/>
      <c r="P344" s="256"/>
      <c r="Q344" s="204"/>
      <c r="R344" s="204"/>
      <c r="S344" s="204"/>
      <c r="T344" s="204"/>
      <c r="U344" s="204"/>
      <c r="V344" s="204"/>
      <c r="W344" s="204"/>
      <c r="X344" s="266">
        <v>0</v>
      </c>
      <c r="Y344" s="267">
        <f>+X344/X347</f>
        <v>0</v>
      </c>
      <c r="Z344" s="98">
        <v>0</v>
      </c>
      <c r="AA344" s="268">
        <f>+Z344/Z347</f>
        <v>0</v>
      </c>
      <c r="AB344" s="40"/>
      <c r="AC344" s="43"/>
      <c r="AD344" s="22"/>
    </row>
    <row r="345" spans="1:30" s="23" customFormat="1" x14ac:dyDescent="0.3">
      <c r="A345" s="252"/>
      <c r="B345" s="253" t="s">
        <v>104</v>
      </c>
      <c r="C345" s="254"/>
      <c r="D345" s="254"/>
      <c r="E345" s="254"/>
      <c r="F345" s="254"/>
      <c r="G345" s="254"/>
      <c r="H345" s="255"/>
      <c r="I345" s="255"/>
      <c r="J345" s="255"/>
      <c r="K345" s="255"/>
      <c r="L345" s="255"/>
      <c r="M345" s="255"/>
      <c r="N345" s="255"/>
      <c r="O345" s="255"/>
      <c r="P345" s="256"/>
      <c r="Q345" s="204"/>
      <c r="R345" s="204"/>
      <c r="S345" s="204"/>
      <c r="T345" s="204"/>
      <c r="U345" s="204"/>
      <c r="V345" s="204"/>
      <c r="W345" s="204"/>
      <c r="X345" s="266">
        <v>0</v>
      </c>
      <c r="Y345" s="265">
        <f>+X345/X347</f>
        <v>0</v>
      </c>
      <c r="Z345" s="98">
        <v>0</v>
      </c>
      <c r="AA345" s="268">
        <f>+Z345/Z347</f>
        <v>0</v>
      </c>
      <c r="AB345" s="40"/>
      <c r="AC345" s="43"/>
      <c r="AD345" s="22"/>
    </row>
    <row r="346" spans="1:30" s="23" customFormat="1" x14ac:dyDescent="0.3">
      <c r="A346" s="252"/>
      <c r="B346" s="253"/>
      <c r="C346" s="254"/>
      <c r="D346" s="254"/>
      <c r="E346" s="254"/>
      <c r="F346" s="254"/>
      <c r="G346" s="254"/>
      <c r="H346" s="255"/>
      <c r="I346" s="255"/>
      <c r="J346" s="255"/>
      <c r="K346" s="255"/>
      <c r="L346" s="255"/>
      <c r="M346" s="255"/>
      <c r="N346" s="255"/>
      <c r="O346" s="255"/>
      <c r="P346" s="256"/>
      <c r="Q346" s="204"/>
      <c r="R346" s="204"/>
      <c r="S346" s="204"/>
      <c r="T346" s="204"/>
      <c r="U346" s="204"/>
      <c r="V346" s="204"/>
      <c r="W346" s="204"/>
      <c r="X346" s="280"/>
      <c r="Y346" s="281"/>
      <c r="Z346" s="282"/>
      <c r="AA346" s="281"/>
      <c r="AB346" s="283"/>
      <c r="AC346" s="43"/>
      <c r="AD346" s="22"/>
    </row>
    <row r="347" spans="1:30" s="23" customFormat="1" x14ac:dyDescent="0.3">
      <c r="A347" s="252"/>
      <c r="B347" s="254" t="s">
        <v>80</v>
      </c>
      <c r="C347" s="254"/>
      <c r="D347" s="254"/>
      <c r="E347" s="254"/>
      <c r="F347" s="254"/>
      <c r="G347" s="254"/>
      <c r="H347" s="255"/>
      <c r="I347" s="255"/>
      <c r="J347" s="255"/>
      <c r="K347" s="255"/>
      <c r="L347" s="255"/>
      <c r="M347" s="255"/>
      <c r="N347" s="255"/>
      <c r="O347" s="255"/>
      <c r="P347" s="256"/>
      <c r="Q347" s="204"/>
      <c r="R347" s="204"/>
      <c r="S347" s="204"/>
      <c r="T347" s="204"/>
      <c r="U347" s="204"/>
      <c r="V347" s="204"/>
      <c r="W347" s="204"/>
      <c r="X347" s="266">
        <f>SUM(X338:X345)</f>
        <v>43</v>
      </c>
      <c r="Y347" s="268">
        <f>SUM(Y338:Y345)</f>
        <v>1</v>
      </c>
      <c r="Z347" s="98">
        <f>SUM(Z338:Z345)</f>
        <v>9677</v>
      </c>
      <c r="AA347" s="268">
        <f>SUM(AA338:AA345)</f>
        <v>1</v>
      </c>
      <c r="AB347" s="40"/>
      <c r="AC347" s="43"/>
      <c r="AD347" s="22"/>
    </row>
    <row r="348" spans="1:30" s="23" customFormat="1" ht="16.2" thickBot="1" x14ac:dyDescent="0.35">
      <c r="A348" s="252"/>
      <c r="B348" s="254" t="s">
        <v>325</v>
      </c>
      <c r="C348" s="254"/>
      <c r="D348" s="254"/>
      <c r="E348" s="254"/>
      <c r="F348" s="254"/>
      <c r="G348" s="254"/>
      <c r="H348" s="255"/>
      <c r="I348" s="255"/>
      <c r="J348" s="255"/>
      <c r="K348" s="255"/>
      <c r="L348" s="255"/>
      <c r="M348" s="255"/>
      <c r="N348" s="255"/>
      <c r="O348" s="255"/>
      <c r="P348" s="256"/>
      <c r="Q348" s="204"/>
      <c r="R348" s="204"/>
      <c r="S348" s="204"/>
      <c r="T348" s="204"/>
      <c r="U348" s="204"/>
      <c r="V348" s="204"/>
      <c r="W348" s="204"/>
      <c r="X348" s="297"/>
      <c r="Y348" s="297">
        <f>X347/X352</f>
        <v>1.6996047430830039E-2</v>
      </c>
      <c r="Z348" s="298"/>
      <c r="AA348" s="297">
        <f>Z347/Z352</f>
        <v>2.1485441764839099E-2</v>
      </c>
      <c r="AB348" s="299"/>
      <c r="AC348" s="43"/>
      <c r="AD348" s="22"/>
    </row>
    <row r="349" spans="1:30" s="23" customFormat="1" ht="16.2" thickTop="1" x14ac:dyDescent="0.3">
      <c r="A349" s="252"/>
      <c r="B349" s="254" t="s">
        <v>336</v>
      </c>
      <c r="C349" s="254"/>
      <c r="D349" s="254"/>
      <c r="E349" s="254"/>
      <c r="F349" s="254"/>
      <c r="G349" s="254"/>
      <c r="H349" s="255"/>
      <c r="I349" s="255"/>
      <c r="J349" s="255"/>
      <c r="K349" s="255"/>
      <c r="L349" s="255"/>
      <c r="M349" s="255"/>
      <c r="N349" s="255"/>
      <c r="O349" s="255"/>
      <c r="P349" s="256"/>
      <c r="Q349" s="204"/>
      <c r="R349" s="204"/>
      <c r="S349" s="204"/>
      <c r="T349" s="204"/>
      <c r="U349" s="204"/>
      <c r="V349" s="204"/>
      <c r="W349" s="204"/>
      <c r="X349" s="293">
        <v>7</v>
      </c>
      <c r="Y349" s="294">
        <f>X349/X347</f>
        <v>0.16279069767441862</v>
      </c>
      <c r="Z349" s="295">
        <v>1444</v>
      </c>
      <c r="AA349" s="294">
        <f>Z349/Z347</f>
        <v>0.14921979952464606</v>
      </c>
      <c r="AB349" s="296">
        <v>0.52995391705069117</v>
      </c>
      <c r="AC349" s="43"/>
      <c r="AD349" s="22"/>
    </row>
    <row r="350" spans="1:30" s="23" customFormat="1" ht="16.2" thickBot="1" x14ac:dyDescent="0.35">
      <c r="A350" s="252"/>
      <c r="B350" s="254" t="s">
        <v>337</v>
      </c>
      <c r="C350" s="254"/>
      <c r="D350" s="254"/>
      <c r="E350" s="254"/>
      <c r="F350" s="254"/>
      <c r="G350" s="254"/>
      <c r="H350" s="255"/>
      <c r="I350" s="255"/>
      <c r="J350" s="255"/>
      <c r="K350" s="255"/>
      <c r="L350" s="255"/>
      <c r="M350" s="255"/>
      <c r="N350" s="255"/>
      <c r="O350" s="255"/>
      <c r="P350" s="256"/>
      <c r="Q350" s="204"/>
      <c r="R350" s="204"/>
      <c r="S350" s="204"/>
      <c r="T350" s="204"/>
      <c r="U350" s="204"/>
      <c r="V350" s="204"/>
      <c r="W350" s="204"/>
      <c r="X350" s="288">
        <v>36</v>
      </c>
      <c r="Y350" s="289">
        <f>X350/X347</f>
        <v>0.83720930232558144</v>
      </c>
      <c r="Z350" s="290">
        <v>8233</v>
      </c>
      <c r="AA350" s="291">
        <f>Z350/Z347</f>
        <v>0.85078020047535396</v>
      </c>
      <c r="AB350" s="292">
        <v>0.85663082437275995</v>
      </c>
      <c r="AC350" s="43"/>
      <c r="AD350" s="22"/>
    </row>
    <row r="351" spans="1:30" s="23" customFormat="1" ht="16.2" thickTop="1" x14ac:dyDescent="0.3">
      <c r="A351" s="252"/>
      <c r="B351" s="254"/>
      <c r="C351" s="254"/>
      <c r="D351" s="254"/>
      <c r="E351" s="254"/>
      <c r="F351" s="254"/>
      <c r="G351" s="254"/>
      <c r="H351" s="255"/>
      <c r="I351" s="255"/>
      <c r="J351" s="255"/>
      <c r="K351" s="255"/>
      <c r="L351" s="255"/>
      <c r="M351" s="255"/>
      <c r="N351" s="255"/>
      <c r="O351" s="255"/>
      <c r="P351" s="256"/>
      <c r="Q351" s="204"/>
      <c r="R351" s="204"/>
      <c r="S351" s="204"/>
      <c r="T351" s="204"/>
      <c r="U351" s="204"/>
      <c r="V351" s="204"/>
      <c r="W351" s="204"/>
      <c r="X351" s="284"/>
      <c r="Y351" s="202"/>
      <c r="Z351" s="285"/>
      <c r="AA351" s="202"/>
      <c r="AB351" s="286"/>
      <c r="AC351" s="43"/>
      <c r="AD351" s="22"/>
    </row>
    <row r="352" spans="1:30" s="23" customFormat="1" x14ac:dyDescent="0.3">
      <c r="A352" s="47"/>
      <c r="B352" s="44" t="s">
        <v>139</v>
      </c>
      <c r="C352" s="40"/>
      <c r="D352" s="204"/>
      <c r="E352" s="204"/>
      <c r="F352" s="204"/>
      <c r="G352" s="204"/>
      <c r="H352" s="204"/>
      <c r="I352" s="204"/>
      <c r="J352" s="204"/>
      <c r="K352" s="204"/>
      <c r="L352" s="204"/>
      <c r="M352" s="204"/>
      <c r="N352" s="204"/>
      <c r="O352" s="204"/>
      <c r="P352" s="204"/>
      <c r="Q352" s="204"/>
      <c r="R352" s="204"/>
      <c r="S352" s="204"/>
      <c r="T352" s="204"/>
      <c r="U352" s="204"/>
      <c r="V352" s="204"/>
      <c r="W352" s="204"/>
      <c r="X352" s="210">
        <f>X335+X313+X301</f>
        <v>2530</v>
      </c>
      <c r="Y352" s="198"/>
      <c r="Z352" s="211">
        <f>+Z335+Z313+Z301</f>
        <v>450398</v>
      </c>
      <c r="AA352" s="198"/>
      <c r="AB352" s="40"/>
      <c r="AC352" s="43"/>
      <c r="AD352" s="22"/>
    </row>
    <row r="353" spans="1:30" s="23" customFormat="1" x14ac:dyDescent="0.3">
      <c r="A353" s="47"/>
      <c r="B353" s="44" t="s">
        <v>304</v>
      </c>
      <c r="C353" s="44"/>
      <c r="D353" s="212"/>
      <c r="E353" s="212"/>
      <c r="F353" s="212"/>
      <c r="G353" s="212"/>
      <c r="H353" s="212"/>
      <c r="I353" s="212"/>
      <c r="J353" s="212"/>
      <c r="K353" s="212"/>
      <c r="L353" s="212"/>
      <c r="M353" s="212"/>
      <c r="N353" s="212"/>
      <c r="O353" s="212"/>
      <c r="P353" s="212"/>
      <c r="Q353" s="212"/>
      <c r="R353" s="212"/>
      <c r="S353" s="212"/>
      <c r="T353" s="212"/>
      <c r="U353" s="212"/>
      <c r="V353" s="212"/>
      <c r="W353" s="212"/>
      <c r="X353" s="210"/>
      <c r="Y353" s="213"/>
      <c r="Z353" s="211">
        <f>+AB65+AB64</f>
        <v>1</v>
      </c>
      <c r="AA353" s="198"/>
      <c r="AB353" s="40"/>
      <c r="AC353" s="43"/>
      <c r="AD353" s="22"/>
    </row>
    <row r="354" spans="1:30" s="23" customFormat="1" x14ac:dyDescent="0.3">
      <c r="A354" s="47"/>
      <c r="B354" s="44" t="s">
        <v>107</v>
      </c>
      <c r="C354" s="44"/>
      <c r="D354" s="212"/>
      <c r="E354" s="212"/>
      <c r="F354" s="212"/>
      <c r="G354" s="212"/>
      <c r="H354" s="212"/>
      <c r="I354" s="212"/>
      <c r="J354" s="212"/>
      <c r="K354" s="212"/>
      <c r="L354" s="212"/>
      <c r="M354" s="212"/>
      <c r="N354" s="212"/>
      <c r="O354" s="212"/>
      <c r="P354" s="212"/>
      <c r="Q354" s="212"/>
      <c r="R354" s="212"/>
      <c r="S354" s="212"/>
      <c r="T354" s="212"/>
      <c r="U354" s="212"/>
      <c r="V354" s="212"/>
      <c r="W354" s="212"/>
      <c r="X354" s="210"/>
      <c r="Y354" s="213"/>
      <c r="Z354" s="211">
        <f>+Z352+Z353</f>
        <v>450399</v>
      </c>
      <c r="AA354" s="198"/>
      <c r="AB354" s="40"/>
      <c r="AC354" s="43"/>
      <c r="AD354" s="22"/>
    </row>
    <row r="355" spans="1:30" s="23" customFormat="1" x14ac:dyDescent="0.3">
      <c r="A355" s="47"/>
      <c r="B355" s="44" t="s">
        <v>237</v>
      </c>
      <c r="C355" s="40"/>
      <c r="D355" s="204"/>
      <c r="E355" s="204"/>
      <c r="F355" s="204"/>
      <c r="G355" s="204"/>
      <c r="H355" s="204"/>
      <c r="I355" s="204"/>
      <c r="J355" s="204"/>
      <c r="K355" s="204"/>
      <c r="L355" s="204"/>
      <c r="M355" s="204"/>
      <c r="N355" s="204"/>
      <c r="O355" s="204"/>
      <c r="P355" s="204"/>
      <c r="Q355" s="204"/>
      <c r="R355" s="204"/>
      <c r="S355" s="204"/>
      <c r="T355" s="204"/>
      <c r="U355" s="204"/>
      <c r="V355" s="204"/>
      <c r="W355" s="204"/>
      <c r="X355" s="210"/>
      <c r="Y355" s="198"/>
      <c r="Z355" s="211">
        <f>+AB67</f>
        <v>450399</v>
      </c>
      <c r="AA355" s="198"/>
      <c r="AB355" s="40"/>
      <c r="AC355" s="43"/>
      <c r="AD355" s="22"/>
    </row>
    <row r="356" spans="1:30" s="23" customFormat="1" x14ac:dyDescent="0.3">
      <c r="A356" s="47"/>
      <c r="B356" s="44"/>
      <c r="C356" s="40"/>
      <c r="D356" s="204"/>
      <c r="E356" s="204"/>
      <c r="F356" s="204"/>
      <c r="G356" s="204"/>
      <c r="H356" s="204"/>
      <c r="I356" s="204"/>
      <c r="J356" s="204"/>
      <c r="K356" s="204"/>
      <c r="L356" s="204"/>
      <c r="M356" s="204"/>
      <c r="N356" s="204"/>
      <c r="O356" s="204"/>
      <c r="P356" s="204"/>
      <c r="Q356" s="204"/>
      <c r="R356" s="204"/>
      <c r="S356" s="204"/>
      <c r="T356" s="204"/>
      <c r="U356" s="204"/>
      <c r="V356" s="204"/>
      <c r="W356" s="204"/>
      <c r="X356" s="210"/>
      <c r="Y356" s="198"/>
      <c r="Z356" s="211"/>
      <c r="AA356" s="198"/>
      <c r="AB356" s="40"/>
      <c r="AC356" s="43"/>
      <c r="AD356" s="22"/>
    </row>
    <row r="357" spans="1:30" s="23" customFormat="1" x14ac:dyDescent="0.3">
      <c r="A357" s="47"/>
      <c r="B357" s="44" t="s">
        <v>305</v>
      </c>
      <c r="C357" s="40"/>
      <c r="D357" s="204"/>
      <c r="E357" s="204"/>
      <c r="F357" s="204"/>
      <c r="G357" s="204"/>
      <c r="H357" s="204"/>
      <c r="I357" s="204"/>
      <c r="J357" s="204"/>
      <c r="K357" s="204"/>
      <c r="L357" s="204"/>
      <c r="M357" s="204"/>
      <c r="N357" s="204"/>
      <c r="O357" s="204"/>
      <c r="P357" s="204"/>
      <c r="Q357" s="204"/>
      <c r="R357" s="204"/>
      <c r="S357" s="204"/>
      <c r="T357" s="204"/>
      <c r="U357" s="204"/>
      <c r="V357" s="204"/>
      <c r="W357" s="204"/>
      <c r="X357" s="210"/>
      <c r="Y357" s="198"/>
      <c r="Z357" s="236">
        <f>(D31*0.05+F31+H31+J31+L31+N31)/AB31</f>
        <v>0.54576240352747885</v>
      </c>
      <c r="AA357" s="198"/>
      <c r="AB357" s="40"/>
      <c r="AC357" s="43"/>
      <c r="AD357" s="22"/>
    </row>
    <row r="358" spans="1:30" s="23" customFormat="1" x14ac:dyDescent="0.3">
      <c r="A358" s="18"/>
      <c r="B358" s="20"/>
      <c r="C358" s="20"/>
      <c r="D358" s="214"/>
      <c r="E358" s="214"/>
      <c r="F358" s="214"/>
      <c r="G358" s="214"/>
      <c r="H358" s="214"/>
      <c r="I358" s="214"/>
      <c r="J358" s="214"/>
      <c r="K358" s="214"/>
      <c r="L358" s="214"/>
      <c r="M358" s="214"/>
      <c r="N358" s="214"/>
      <c r="O358" s="214"/>
      <c r="P358" s="214"/>
      <c r="Q358" s="214"/>
      <c r="R358" s="214"/>
      <c r="S358" s="214"/>
      <c r="T358" s="214"/>
      <c r="U358" s="214"/>
      <c r="V358" s="214"/>
      <c r="W358" s="214"/>
      <c r="X358" s="214"/>
      <c r="Y358" s="214"/>
      <c r="Z358" s="215"/>
      <c r="AA358" s="214"/>
      <c r="AB358" s="20"/>
      <c r="AC358" s="21"/>
      <c r="AD358" s="22"/>
    </row>
    <row r="359" spans="1:30" s="23" customFormat="1" x14ac:dyDescent="0.3">
      <c r="A359" s="18"/>
      <c r="B359" s="19" t="s">
        <v>62</v>
      </c>
      <c r="C359" s="20"/>
      <c r="D359" s="216" t="s">
        <v>66</v>
      </c>
      <c r="E359" s="19"/>
      <c r="F359" s="19" t="s">
        <v>67</v>
      </c>
      <c r="G359" s="20"/>
      <c r="H359" s="19"/>
      <c r="I359" s="20"/>
      <c r="J359" s="20"/>
      <c r="K359" s="20"/>
      <c r="L359" s="20"/>
      <c r="M359" s="20"/>
      <c r="N359" s="20"/>
      <c r="O359" s="20"/>
      <c r="P359" s="20"/>
      <c r="Q359" s="20"/>
      <c r="R359" s="20"/>
      <c r="S359" s="20"/>
      <c r="T359" s="20"/>
      <c r="U359" s="20"/>
      <c r="V359" s="20"/>
      <c r="W359" s="20"/>
      <c r="X359" s="20"/>
      <c r="Y359" s="20"/>
      <c r="Z359" s="20"/>
      <c r="AA359" s="20"/>
      <c r="AB359" s="20"/>
      <c r="AC359" s="21"/>
      <c r="AD359" s="22"/>
    </row>
    <row r="360" spans="1:30" s="23" customFormat="1" x14ac:dyDescent="0.3">
      <c r="A360" s="18"/>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1"/>
      <c r="AD360" s="22"/>
    </row>
    <row r="361" spans="1:30" s="23" customFormat="1" x14ac:dyDescent="0.3">
      <c r="A361" s="18"/>
      <c r="B361" s="19" t="s">
        <v>152</v>
      </c>
      <c r="C361" s="19"/>
      <c r="D361" s="217" t="s">
        <v>122</v>
      </c>
      <c r="E361" s="19"/>
      <c r="F361" s="19" t="s">
        <v>168</v>
      </c>
      <c r="G361" s="19"/>
      <c r="H361" s="19"/>
      <c r="I361" s="20"/>
      <c r="J361" s="20"/>
      <c r="K361" s="20"/>
      <c r="L361" s="20"/>
      <c r="M361" s="20"/>
      <c r="N361" s="20"/>
      <c r="O361" s="20"/>
      <c r="P361" s="20"/>
      <c r="Q361" s="20"/>
      <c r="R361" s="20"/>
      <c r="S361" s="20"/>
      <c r="T361" s="20"/>
      <c r="U361" s="20"/>
      <c r="V361" s="20"/>
      <c r="W361" s="20"/>
      <c r="X361" s="20"/>
      <c r="Y361" s="20"/>
      <c r="Z361" s="20"/>
      <c r="AA361" s="20"/>
      <c r="AB361" s="20"/>
      <c r="AC361" s="21"/>
      <c r="AD361" s="22"/>
    </row>
    <row r="362" spans="1:30" s="23" customFormat="1" x14ac:dyDescent="0.3">
      <c r="A362" s="18"/>
      <c r="B362" s="19" t="s">
        <v>153</v>
      </c>
      <c r="C362" s="19"/>
      <c r="D362" s="217" t="s">
        <v>98</v>
      </c>
      <c r="E362" s="19"/>
      <c r="F362" s="19" t="s">
        <v>169</v>
      </c>
      <c r="G362" s="19"/>
      <c r="H362" s="19"/>
      <c r="I362" s="20"/>
      <c r="J362" s="20"/>
      <c r="K362" s="20"/>
      <c r="L362" s="20"/>
      <c r="M362" s="20"/>
      <c r="N362" s="20"/>
      <c r="O362" s="20"/>
      <c r="P362" s="20"/>
      <c r="Q362" s="20"/>
      <c r="R362" s="20"/>
      <c r="S362" s="20"/>
      <c r="T362" s="20"/>
      <c r="U362" s="20"/>
      <c r="V362" s="20"/>
      <c r="W362" s="20"/>
      <c r="X362" s="20"/>
      <c r="Y362" s="20"/>
      <c r="Z362" s="20"/>
      <c r="AA362" s="20"/>
      <c r="AB362" s="20"/>
      <c r="AC362" s="21"/>
      <c r="AD362" s="22"/>
    </row>
    <row r="363" spans="1:30" s="23" customFormat="1" x14ac:dyDescent="0.3">
      <c r="A363" s="18"/>
      <c r="B363" s="19"/>
      <c r="C363" s="19"/>
      <c r="D363" s="217"/>
      <c r="E363" s="19"/>
      <c r="F363" s="19"/>
      <c r="G363" s="19"/>
      <c r="H363" s="19"/>
      <c r="I363" s="20"/>
      <c r="J363" s="20"/>
      <c r="K363" s="20"/>
      <c r="L363" s="20"/>
      <c r="M363" s="20"/>
      <c r="N363" s="20"/>
      <c r="O363" s="20"/>
      <c r="P363" s="20"/>
      <c r="Q363" s="20"/>
      <c r="R363" s="20"/>
      <c r="S363" s="20"/>
      <c r="T363" s="20"/>
      <c r="U363" s="20"/>
      <c r="V363" s="20"/>
      <c r="W363" s="20"/>
      <c r="X363" s="20"/>
      <c r="Y363" s="20"/>
      <c r="Z363" s="20"/>
      <c r="AA363" s="20"/>
      <c r="AB363" s="20"/>
      <c r="AC363" s="21"/>
      <c r="AD363" s="22"/>
    </row>
    <row r="364" spans="1:30" s="23" customFormat="1" x14ac:dyDescent="0.3">
      <c r="A364" s="18"/>
      <c r="B364" s="257" t="s">
        <v>333</v>
      </c>
      <c r="C364" s="19"/>
      <c r="D364" s="217"/>
      <c r="E364" s="19"/>
      <c r="F364" s="19"/>
      <c r="G364" s="19"/>
      <c r="H364" s="19"/>
      <c r="I364" s="20"/>
      <c r="J364" s="20"/>
      <c r="K364" s="20"/>
      <c r="L364" s="20"/>
      <c r="M364" s="20"/>
      <c r="N364" s="20"/>
      <c r="O364" s="20"/>
      <c r="P364" s="20"/>
      <c r="Q364" s="20"/>
      <c r="R364" s="20"/>
      <c r="S364" s="20"/>
      <c r="T364" s="20"/>
      <c r="U364" s="20"/>
      <c r="V364" s="20"/>
      <c r="W364" s="20"/>
      <c r="X364" s="20"/>
      <c r="Y364" s="20"/>
      <c r="Z364" s="20"/>
      <c r="AA364" s="20"/>
      <c r="AB364" s="20"/>
      <c r="AC364" s="21"/>
      <c r="AD364" s="22"/>
    </row>
    <row r="365" spans="1:30" x14ac:dyDescent="0.3">
      <c r="A365" s="218"/>
      <c r="B365" s="258"/>
      <c r="C365" s="219"/>
      <c r="D365" s="220"/>
      <c r="E365" s="220"/>
      <c r="F365" s="220"/>
      <c r="G365" s="220"/>
      <c r="H365" s="220"/>
      <c r="I365" s="220"/>
      <c r="J365" s="220"/>
      <c r="K365" s="220"/>
      <c r="L365" s="220"/>
      <c r="M365" s="220"/>
      <c r="N365" s="220"/>
      <c r="O365" s="220"/>
      <c r="P365" s="220"/>
      <c r="Q365" s="220"/>
      <c r="R365" s="220"/>
      <c r="S365" s="220"/>
      <c r="T365" s="220"/>
      <c r="U365" s="220"/>
      <c r="V365" s="220"/>
      <c r="W365" s="220"/>
      <c r="X365" s="220"/>
      <c r="Y365" s="220"/>
      <c r="Z365" s="220"/>
      <c r="AA365" s="220"/>
      <c r="AB365" s="220"/>
      <c r="AC365" s="221"/>
      <c r="AD365" s="5"/>
    </row>
    <row r="366" spans="1:30" ht="18" x14ac:dyDescent="0.35">
      <c r="A366" s="218"/>
      <c r="B366" s="259" t="s">
        <v>109</v>
      </c>
      <c r="C366" s="219"/>
      <c r="D366" s="220"/>
      <c r="E366" s="220"/>
      <c r="F366" s="220"/>
      <c r="G366" s="220"/>
      <c r="H366" s="220"/>
      <c r="I366" s="220"/>
      <c r="J366" s="220"/>
      <c r="K366" s="220"/>
      <c r="L366" s="220"/>
      <c r="M366" s="220"/>
      <c r="N366" s="220"/>
      <c r="O366" s="220"/>
      <c r="P366" s="260" t="s">
        <v>167</v>
      </c>
      <c r="Q366" s="220"/>
      <c r="R366" s="220"/>
      <c r="S366" s="220"/>
      <c r="T366" s="220"/>
      <c r="U366" s="220"/>
      <c r="V366" s="220"/>
      <c r="W366" s="220"/>
      <c r="X366" s="220"/>
      <c r="Y366" s="220"/>
      <c r="Z366" s="220"/>
      <c r="AA366" s="220"/>
      <c r="AB366" s="220"/>
      <c r="AC366" s="221"/>
      <c r="AD366" s="5"/>
    </row>
    <row r="367" spans="1:30" ht="18" x14ac:dyDescent="0.35">
      <c r="A367" s="218"/>
      <c r="B367" s="259"/>
      <c r="C367" s="219"/>
      <c r="D367" s="220"/>
      <c r="E367" s="220"/>
      <c r="F367" s="220"/>
      <c r="G367" s="220"/>
      <c r="H367" s="220"/>
      <c r="I367" s="220"/>
      <c r="J367" s="220"/>
      <c r="K367" s="220"/>
      <c r="L367" s="220"/>
      <c r="M367" s="220"/>
      <c r="N367" s="220"/>
      <c r="O367" s="220"/>
      <c r="P367" s="260"/>
      <c r="Q367" s="220"/>
      <c r="R367" s="220"/>
      <c r="S367" s="220"/>
      <c r="T367" s="220"/>
      <c r="U367" s="220"/>
      <c r="V367" s="220"/>
      <c r="W367" s="220"/>
      <c r="X367" s="220"/>
      <c r="Y367" s="220"/>
      <c r="Z367" s="220"/>
      <c r="AA367" s="220"/>
      <c r="AB367" s="220"/>
      <c r="AC367" s="221"/>
      <c r="AD367" s="5"/>
    </row>
    <row r="368" spans="1:30" ht="18.600000000000001" thickBot="1" x14ac:dyDescent="0.4">
      <c r="A368" s="218"/>
      <c r="B368" s="222" t="str">
        <f>B237</f>
        <v>PM26 INVESTOR REPORT QUARTER ENDING JANUARY 2021</v>
      </c>
      <c r="C368" s="219"/>
      <c r="D368" s="220"/>
      <c r="E368" s="220"/>
      <c r="F368" s="220"/>
      <c r="G368" s="220"/>
      <c r="H368" s="220"/>
      <c r="I368" s="220"/>
      <c r="J368" s="220"/>
      <c r="K368" s="220"/>
      <c r="L368" s="220"/>
      <c r="M368" s="220"/>
      <c r="N368" s="220"/>
      <c r="O368" s="220"/>
      <c r="P368" s="220"/>
      <c r="Q368" s="220"/>
      <c r="R368" s="220"/>
      <c r="S368" s="220"/>
      <c r="T368" s="220"/>
      <c r="U368" s="220"/>
      <c r="V368" s="220"/>
      <c r="W368" s="220"/>
      <c r="X368" s="220"/>
      <c r="Y368" s="220"/>
      <c r="Z368" s="220"/>
      <c r="AA368" s="220"/>
      <c r="AB368" s="220"/>
      <c r="AC368" s="223"/>
      <c r="AD368" s="5"/>
    </row>
    <row r="369" spans="1:29" x14ac:dyDescent="0.3">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c r="W369" s="224"/>
      <c r="X369" s="224"/>
      <c r="Y369" s="224"/>
      <c r="Z369" s="224"/>
      <c r="AA369" s="224"/>
      <c r="AB369" s="224"/>
      <c r="AC369" s="224"/>
    </row>
    <row r="370" spans="1:29" x14ac:dyDescent="0.3">
      <c r="B370" s="6" t="s">
        <v>307</v>
      </c>
    </row>
    <row r="372" spans="1:29" x14ac:dyDescent="0.3">
      <c r="B372" s="279" t="s">
        <v>315</v>
      </c>
    </row>
    <row r="373" spans="1:29" x14ac:dyDescent="0.3">
      <c r="B373" s="270" t="s">
        <v>316</v>
      </c>
    </row>
    <row r="374" spans="1:29" x14ac:dyDescent="0.3">
      <c r="B374" s="270" t="s">
        <v>317</v>
      </c>
    </row>
    <row r="375" spans="1:29" x14ac:dyDescent="0.3">
      <c r="B375" s="270" t="s">
        <v>318</v>
      </c>
    </row>
    <row r="376" spans="1:29" x14ac:dyDescent="0.3">
      <c r="B376" s="270" t="s">
        <v>319</v>
      </c>
    </row>
    <row r="377" spans="1:29" x14ac:dyDescent="0.3">
      <c r="B377" s="270" t="s">
        <v>320</v>
      </c>
    </row>
    <row r="378" spans="1:29" x14ac:dyDescent="0.3">
      <c r="B378" s="270" t="s">
        <v>321</v>
      </c>
    </row>
    <row r="379" spans="1:29" x14ac:dyDescent="0.3">
      <c r="B379" s="270" t="s">
        <v>322</v>
      </c>
    </row>
    <row r="380" spans="1:29" x14ac:dyDescent="0.3">
      <c r="B380" s="270"/>
    </row>
    <row r="381" spans="1:29" s="270" customFormat="1" x14ac:dyDescent="0.3">
      <c r="B381" s="279" t="s">
        <v>339</v>
      </c>
    </row>
    <row r="382" spans="1:29" s="270" customFormat="1" x14ac:dyDescent="0.3">
      <c r="B382" s="270" t="s">
        <v>344</v>
      </c>
    </row>
    <row r="383" spans="1:29" s="270" customFormat="1" x14ac:dyDescent="0.3">
      <c r="B383" s="270" t="s">
        <v>358</v>
      </c>
    </row>
    <row r="384" spans="1:29" x14ac:dyDescent="0.3">
      <c r="B384" s="270"/>
    </row>
    <row r="385" spans="2:2" x14ac:dyDescent="0.3">
      <c r="B385" s="279" t="s">
        <v>323</v>
      </c>
    </row>
    <row r="386" spans="2:2" x14ac:dyDescent="0.3">
      <c r="B386" s="270" t="s">
        <v>324</v>
      </c>
    </row>
    <row r="387" spans="2:2" x14ac:dyDescent="0.3">
      <c r="B387" s="270" t="s">
        <v>332</v>
      </c>
    </row>
  </sheetData>
  <hyperlinks>
    <hyperlink ref="K9" r:id="rId1" display="http://www.paragon-group.co.uk" xr:uid="{243CE7BB-D0EB-458B-89AA-79A9A1A741C8}"/>
    <hyperlink ref="P366" r:id="rId2" xr:uid="{66B28189-621F-43A0-8A9F-AC8A6519CD8C}"/>
    <hyperlink ref="P277" r:id="rId3" xr:uid="{B1512DED-D492-4C48-955B-6D32D46E1A85}"/>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4" max="18" man="1"/>
    <brk id="134" max="18" man="1"/>
    <brk id="237" max="18" man="1"/>
  </rowBreaks>
  <colBreaks count="1" manualBreakCount="1">
    <brk id="29" max="299" man="1"/>
  </colBreak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996DE-DDEF-491B-B6CB-47F0223E45B2}">
  <sheetPr>
    <tabColor rgb="FF89CB31"/>
  </sheetPr>
  <dimension ref="A1:JB389"/>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0.249</v>
      </c>
      <c r="Z17" s="29" t="s">
        <v>258</v>
      </c>
      <c r="AA17" s="29">
        <v>0.751</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44340</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215</v>
      </c>
      <c r="I27" s="229"/>
      <c r="J27" s="229" t="s">
        <v>269</v>
      </c>
      <c r="K27" s="229"/>
      <c r="L27" s="229" t="s">
        <v>270</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215355.91773000002</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6609.1473399999995</v>
      </c>
      <c r="Q30" s="54"/>
      <c r="R30" s="54">
        <v>979</v>
      </c>
      <c r="S30" s="54"/>
      <c r="T30" s="54" t="s">
        <v>83</v>
      </c>
      <c r="U30" s="54"/>
      <c r="V30" s="54" t="s">
        <v>83</v>
      </c>
      <c r="W30" s="54"/>
      <c r="X30" s="54" t="s">
        <v>83</v>
      </c>
      <c r="Y30" s="54" t="s">
        <v>83</v>
      </c>
      <c r="Z30" s="54"/>
      <c r="AA30" s="49"/>
      <c r="AB30" s="50">
        <f>SUM(D30:N30)</f>
        <v>450398.91772999999</v>
      </c>
      <c r="AC30" s="51"/>
      <c r="AD30" s="22"/>
    </row>
    <row r="31" spans="1:33" s="23" customFormat="1" x14ac:dyDescent="0.3">
      <c r="A31" s="47"/>
      <c r="B31" s="44" t="s">
        <v>92</v>
      </c>
      <c r="C31" s="49"/>
      <c r="D31" s="57">
        <f>D29*D32</f>
        <v>205254.81746999998</v>
      </c>
      <c r="E31" s="57"/>
      <c r="F31" s="57">
        <f>F29</f>
        <v>151540</v>
      </c>
      <c r="G31" s="57"/>
      <c r="H31" s="57">
        <f>H29</f>
        <v>24741</v>
      </c>
      <c r="I31" s="57"/>
      <c r="J31" s="57">
        <f>J29</f>
        <v>18555</v>
      </c>
      <c r="K31" s="57"/>
      <c r="L31" s="57">
        <f>L29</f>
        <v>20102</v>
      </c>
      <c r="M31" s="57"/>
      <c r="N31" s="57">
        <f>N29</f>
        <v>20105</v>
      </c>
      <c r="O31" s="57"/>
      <c r="P31" s="57">
        <f>P29*P32</f>
        <v>6454.45694</v>
      </c>
      <c r="Q31" s="57"/>
      <c r="R31" s="57">
        <v>0</v>
      </c>
      <c r="S31" s="57"/>
      <c r="T31" s="57" t="s">
        <v>83</v>
      </c>
      <c r="U31" s="57"/>
      <c r="V31" s="57" t="s">
        <v>83</v>
      </c>
      <c r="W31" s="57"/>
      <c r="X31" s="57" t="s">
        <v>83</v>
      </c>
      <c r="Y31" s="57" t="s">
        <v>83</v>
      </c>
      <c r="Z31" s="57"/>
      <c r="AA31" s="49"/>
      <c r="AB31" s="56">
        <f>SUM(D31:N31)</f>
        <v>440297.81747000001</v>
      </c>
      <c r="AC31" s="51"/>
      <c r="AD31" s="22"/>
      <c r="AE31" s="235"/>
    </row>
    <row r="32" spans="1:33" s="65" customFormat="1" x14ac:dyDescent="0.3">
      <c r="A32" s="58"/>
      <c r="B32" s="166" t="s">
        <v>88</v>
      </c>
      <c r="C32" s="61"/>
      <c r="D32" s="60">
        <v>0.53522999999999998</v>
      </c>
      <c r="E32" s="60"/>
      <c r="F32" s="60">
        <v>1</v>
      </c>
      <c r="G32" s="60"/>
      <c r="H32" s="60">
        <v>1</v>
      </c>
      <c r="I32" s="60"/>
      <c r="J32" s="60">
        <v>1</v>
      </c>
      <c r="K32" s="60"/>
      <c r="L32" s="60">
        <v>1</v>
      </c>
      <c r="M32" s="60"/>
      <c r="N32" s="60">
        <v>1</v>
      </c>
      <c r="O32" s="60"/>
      <c r="P32" s="60">
        <v>0.63422000000000001</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0.56157000000000001</v>
      </c>
      <c r="E33" s="60"/>
      <c r="F33" s="60">
        <v>1</v>
      </c>
      <c r="G33" s="60"/>
      <c r="H33" s="60">
        <v>1</v>
      </c>
      <c r="I33" s="60"/>
      <c r="J33" s="60">
        <v>1</v>
      </c>
      <c r="K33" s="60"/>
      <c r="L33" s="60">
        <v>1</v>
      </c>
      <c r="M33" s="60"/>
      <c r="N33" s="60">
        <v>1</v>
      </c>
      <c r="O33" s="60"/>
      <c r="P33" s="60">
        <v>0.64942</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1.09871E-2</v>
      </c>
      <c r="E35" s="241"/>
      <c r="F35" s="241">
        <v>1.2487099999999999E-2</v>
      </c>
      <c r="G35" s="241"/>
      <c r="H35" s="241">
        <v>1.94871E-2</v>
      </c>
      <c r="I35" s="241"/>
      <c r="J35" s="241">
        <v>2.29871E-2</v>
      </c>
      <c r="K35" s="241"/>
      <c r="L35" s="241">
        <v>2.64871E-2</v>
      </c>
      <c r="M35" s="241"/>
      <c r="N35" s="241">
        <v>3.6487100000000001E-2</v>
      </c>
      <c r="O35" s="241"/>
      <c r="P35" s="241">
        <v>4.0487099999999998E-2</v>
      </c>
      <c r="Q35" s="241"/>
      <c r="R35" s="241">
        <v>4.0487099999999998E-2</v>
      </c>
      <c r="S35" s="68"/>
      <c r="T35" s="68" t="s">
        <v>83</v>
      </c>
      <c r="U35" s="68"/>
      <c r="V35" s="68" t="s">
        <v>83</v>
      </c>
      <c r="W35" s="68"/>
      <c r="X35" s="68" t="s">
        <v>83</v>
      </c>
      <c r="Y35" s="68" t="s">
        <v>83</v>
      </c>
      <c r="Z35" s="68"/>
      <c r="AA35" s="40"/>
      <c r="AB35" s="67">
        <f>SUMPRODUCT(D35:N35,D30:N30)/AB30</f>
        <v>1.428312701418996E-2</v>
      </c>
      <c r="AC35" s="43"/>
      <c r="AD35" s="22"/>
    </row>
    <row r="36" spans="1:30" s="23" customFormat="1" x14ac:dyDescent="0.3">
      <c r="A36" s="47"/>
      <c r="B36" s="40" t="s">
        <v>10</v>
      </c>
      <c r="C36" s="69"/>
      <c r="D36" s="241">
        <v>1.1001800000000001E-2</v>
      </c>
      <c r="E36" s="241"/>
      <c r="F36" s="241">
        <v>1.25018E-2</v>
      </c>
      <c r="G36" s="241"/>
      <c r="H36" s="241">
        <v>1.95018E-2</v>
      </c>
      <c r="I36" s="241"/>
      <c r="J36" s="241">
        <v>2.3001799999999999E-2</v>
      </c>
      <c r="K36" s="241"/>
      <c r="L36" s="241">
        <v>2.6501799999999999E-2</v>
      </c>
      <c r="M36" s="241"/>
      <c r="N36" s="241">
        <v>3.6501800000000001E-2</v>
      </c>
      <c r="O36" s="241"/>
      <c r="P36" s="241">
        <v>4.0501799999999998E-2</v>
      </c>
      <c r="Q36" s="241"/>
      <c r="R36" s="241">
        <v>4.0501799999999998E-2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0.23403647113518147</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44333</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91</v>
      </c>
      <c r="Y48" s="40"/>
      <c r="Z48" s="76">
        <v>44151</v>
      </c>
      <c r="AA48" s="77"/>
      <c r="AB48" s="76">
        <v>44241</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91</v>
      </c>
      <c r="Y49" s="40"/>
      <c r="Z49" s="76">
        <v>44242</v>
      </c>
      <c r="AA49" s="77"/>
      <c r="AB49" s="76">
        <v>44332</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44332</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346</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450398</v>
      </c>
      <c r="S58" s="238"/>
      <c r="T58" s="237">
        <f>155+194</f>
        <v>349</v>
      </c>
      <c r="U58" s="238"/>
      <c r="V58" s="238">
        <v>9751</v>
      </c>
      <c r="W58" s="238"/>
      <c r="X58" s="238">
        <v>0</v>
      </c>
      <c r="Y58" s="238"/>
      <c r="Z58" s="238">
        <v>0</v>
      </c>
      <c r="AA58" s="238"/>
      <c r="AB58" s="237">
        <f>R58-T58-V58+X58-Z58</f>
        <v>440298</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450398</v>
      </c>
      <c r="S61" s="238"/>
      <c r="T61" s="238">
        <f>T58+T59</f>
        <v>349</v>
      </c>
      <c r="U61" s="238"/>
      <c r="V61" s="238">
        <f>SUM(V58:V60)</f>
        <v>9751</v>
      </c>
      <c r="W61" s="238"/>
      <c r="X61" s="238">
        <f>SUM(X58:X60)</f>
        <v>0</v>
      </c>
      <c r="Y61" s="238"/>
      <c r="Z61" s="238">
        <f>SUM(Z58:Z60)</f>
        <v>0</v>
      </c>
      <c r="AA61" s="238"/>
      <c r="AB61" s="238">
        <f>SUM(AB58:AB60)</f>
        <v>440298</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1</v>
      </c>
      <c r="S64" s="238"/>
      <c r="T64" s="238">
        <v>0</v>
      </c>
      <c r="U64" s="238"/>
      <c r="V64" s="238">
        <v>-1</v>
      </c>
      <c r="W64" s="238"/>
      <c r="X64" s="238"/>
      <c r="Y64" s="238"/>
      <c r="Z64" s="238"/>
      <c r="AA64" s="238"/>
      <c r="AB64" s="238">
        <f>R64+V64</f>
        <v>0</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450399</v>
      </c>
      <c r="S67" s="238"/>
      <c r="T67" s="238"/>
      <c r="U67" s="238"/>
      <c r="V67" s="238"/>
      <c r="W67" s="238"/>
      <c r="X67" s="238"/>
      <c r="Y67" s="238"/>
      <c r="Z67" s="238"/>
      <c r="AA67" s="238"/>
      <c r="AB67" s="238">
        <f>SUM(AB61:AB66)</f>
        <v>440298</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44316</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1</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+T58+V58+Z58-10</f>
        <v>10090</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3365+1444-302-278</f>
        <v>4229</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92+46</f>
        <v>138</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155</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1259</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10091</v>
      </c>
      <c r="AA84" s="40"/>
      <c r="AB84" s="97">
        <f>SUM(AB71:AB83)</f>
        <v>5781</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10091</v>
      </c>
      <c r="AA87" s="40"/>
      <c r="AB87" s="97">
        <f>AB84+AB85+AB86</f>
        <v>5781</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-220-7-7</f>
        <v>-234</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-529</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-591</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-471</v>
      </c>
      <c r="AC94" s="114"/>
      <c r="AD94" s="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-120</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-106</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-133</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10</v>
      </c>
      <c r="AA101" s="112"/>
      <c r="AB101" s="98">
        <v>-10</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-1000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-183</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-67</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-155</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-10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-979</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0"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-161-666</f>
        <v>-827</v>
      </c>
      <c r="AC113" s="114"/>
      <c r="AD113" s="5"/>
    </row>
    <row r="114" spans="1:30"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-35</v>
      </c>
      <c r="AC114" s="114"/>
      <c r="AD114" s="5"/>
    </row>
    <row r="115" spans="1:30"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-310</v>
      </c>
      <c r="AC115" s="114"/>
      <c r="AD115" s="5"/>
    </row>
    <row r="116" spans="1:30"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0"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0"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0"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0"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-10101</v>
      </c>
      <c r="AA123" s="97"/>
      <c r="AB123" s="98"/>
      <c r="AC123" s="43"/>
      <c r="AD123" s="22"/>
    </row>
    <row r="124" spans="1:30"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0"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-10101</v>
      </c>
      <c r="AA130" s="97"/>
      <c r="AB130" s="97">
        <f>SUM(AB88:AB128)</f>
        <v>-5781</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0</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APRIL 2021</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+'January 21'!AB146</f>
        <v>6029.5499999999993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-155</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5874.5499999999993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+'January 21'!AB159</f>
        <v>579.85500000000002</v>
      </c>
      <c r="AC150" s="43"/>
      <c r="AD150" s="22"/>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+'January 21'!AB165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+'January 21'!AB173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10</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10</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-10</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+'January 21'!AB182</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+'January 21'!AB190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+'January 21'!AB198</f>
        <v>1357</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1037</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1259</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202</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1135</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+'January 21'!AB206</f>
        <v>1151</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v>1037</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1000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AB203-AB204+AB205</f>
        <v>1114</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+'January 21'!Y213</f>
        <v>0</v>
      </c>
      <c r="Z211" s="98">
        <f>+'January 21'!Z213</f>
        <v>5</v>
      </c>
      <c r="AA211" s="40"/>
      <c r="AB211" s="98">
        <f>Y211+Z211</f>
        <v>5</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259</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376678</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378077</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-1399</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6.1000000000000004E-3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4.72316384180791</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3.17</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32.950000000000003</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25.06</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36.169811320754718</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27.66</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28.030075187969924</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21.66</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19.644808743169399</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15.33</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APRIL 2021</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44316</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1"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2.0008281159907649E-2</v>
      </c>
      <c r="AA241" s="40"/>
      <c r="AB241" s="40"/>
      <c r="AC241" s="43"/>
      <c r="AD241" s="22"/>
    </row>
    <row r="242" spans="1:31"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1"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3.8109999999999998E-2</v>
      </c>
      <c r="AA243" s="40"/>
      <c r="AB243" s="40"/>
      <c r="AC243" s="43"/>
      <c r="AD243" s="22"/>
    </row>
    <row r="244" spans="1:31"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1.428312701418996E-2</v>
      </c>
      <c r="AA244" s="40"/>
      <c r="AB244" s="40"/>
      <c r="AC244" s="43"/>
      <c r="AD244" s="22"/>
    </row>
    <row r="245" spans="1:31"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2.3826872985810037E-2</v>
      </c>
      <c r="AA245" s="40"/>
      <c r="AB245" s="40"/>
      <c r="AC245" s="43"/>
      <c r="AD245" s="22"/>
    </row>
    <row r="246" spans="1:31"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(+AB87+AB89)/R67</f>
        <v>1.2835286046372216E-2</v>
      </c>
      <c r="AA246" s="40"/>
      <c r="AB246" s="40"/>
      <c r="AC246" s="43"/>
      <c r="AD246" s="22"/>
    </row>
    <row r="247" spans="1:31"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1"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1"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1"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1"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1"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1"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1"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1"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16.829999999999998</v>
      </c>
      <c r="AA255" s="40" t="s">
        <v>76</v>
      </c>
      <c r="AB255" s="40"/>
      <c r="AC255" s="43"/>
      <c r="AD255" s="22"/>
    </row>
    <row r="256" spans="1:31"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2.2424561333395501E-2</v>
      </c>
      <c r="AA256" s="40"/>
      <c r="AB256" s="40"/>
      <c r="AC256" s="43"/>
      <c r="AD256" s="22"/>
      <c r="AE256" s="271"/>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0.16600000000000001</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0</v>
      </c>
      <c r="Z260" s="157">
        <v>0</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0</v>
      </c>
      <c r="Z261" s="162">
        <f>+Z313</f>
        <v>0</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+X335</f>
        <v>0</v>
      </c>
      <c r="Z262" s="162">
        <f>+Z335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10</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'January 21'!Z267+Z266</f>
        <v>13</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0</v>
      </c>
      <c r="Z273" s="162">
        <v>0</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0</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261" t="s">
        <v>167</v>
      </c>
      <c r="Q277" s="182"/>
      <c r="R277" s="182"/>
      <c r="S277" s="182"/>
      <c r="T277" s="182"/>
      <c r="U277" s="182"/>
      <c r="V277" s="182"/>
      <c r="W277" s="59"/>
      <c r="X277" s="183"/>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 t="shared" ref="X280:X287" si="1">+X292+X304+X326</f>
        <v>2455</v>
      </c>
      <c r="Y280" s="192">
        <f>X280/$X$289</f>
        <v>0.99553933495539337</v>
      </c>
      <c r="Z280" s="107">
        <f t="shared" ref="Z280:Z287" si="2">+Z292+Z304+Z326</f>
        <v>437741</v>
      </c>
      <c r="AA280" s="192">
        <f t="shared" ref="AA280:AA287" si="3">Z280/$Z$289</f>
        <v>0.99419256957787683</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 t="shared" si="1"/>
        <v>3</v>
      </c>
      <c r="Y281" s="196">
        <f t="shared" ref="Y281:Y287" si="4">X281/$X$289</f>
        <v>1.2165450121654502E-3</v>
      </c>
      <c r="Z281" s="197">
        <f t="shared" si="2"/>
        <v>545</v>
      </c>
      <c r="AA281" s="198">
        <f t="shared" si="3"/>
        <v>1.2377980367841779E-3</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1"/>
        <v>2</v>
      </c>
      <c r="Y282" s="200">
        <f t="shared" si="4"/>
        <v>8.110300081103001E-4</v>
      </c>
      <c r="Z282" s="131">
        <f t="shared" si="2"/>
        <v>248</v>
      </c>
      <c r="AA282" s="198">
        <f t="shared" si="3"/>
        <v>5.6325488646325893E-4</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4</v>
      </c>
      <c r="Y283" s="200">
        <f t="shared" si="4"/>
        <v>1.6220600162206002E-3</v>
      </c>
      <c r="Z283" s="131">
        <f t="shared" si="2"/>
        <v>1042</v>
      </c>
      <c r="AA283" s="198">
        <f t="shared" si="3"/>
        <v>2.3665789987690157E-3</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0</v>
      </c>
      <c r="Y284" s="200">
        <f t="shared" si="4"/>
        <v>0</v>
      </c>
      <c r="Z284" s="131">
        <f t="shared" si="2"/>
        <v>0</v>
      </c>
      <c r="AA284" s="198">
        <f t="shared" si="3"/>
        <v>0</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1</v>
      </c>
      <c r="Y285" s="200">
        <f t="shared" si="4"/>
        <v>4.0551500405515005E-4</v>
      </c>
      <c r="Z285" s="131">
        <f t="shared" si="2"/>
        <v>443</v>
      </c>
      <c r="AA285" s="198">
        <f t="shared" si="3"/>
        <v>1.0061367528355796E-3</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1"/>
        <v>0</v>
      </c>
      <c r="Y286" s="202">
        <f t="shared" si="4"/>
        <v>0</v>
      </c>
      <c r="Z286" s="203">
        <f t="shared" si="2"/>
        <v>0</v>
      </c>
      <c r="AA286" s="198">
        <f t="shared" si="3"/>
        <v>0</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 t="shared" si="1"/>
        <v>1</v>
      </c>
      <c r="Y287" s="198">
        <f t="shared" si="4"/>
        <v>4.0551500405515005E-4</v>
      </c>
      <c r="Z287" s="107">
        <f t="shared" si="2"/>
        <v>279</v>
      </c>
      <c r="AA287" s="198">
        <f t="shared" si="3"/>
        <v>6.3366174727116638E-4</v>
      </c>
      <c r="AB287" s="163"/>
      <c r="AC287" s="175"/>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2466</v>
      </c>
      <c r="Y289" s="198">
        <f>SUM(Y280:Y288)</f>
        <v>1</v>
      </c>
      <c r="Z289" s="98">
        <f>SUM(Z280:Z288)</f>
        <v>440298</v>
      </c>
      <c r="AA289" s="198">
        <f>SUM(AA280:AA288)</f>
        <v>1</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2455</v>
      </c>
      <c r="Y292" s="192">
        <f>X292/$X$301</f>
        <v>0.99553933495539337</v>
      </c>
      <c r="Z292" s="107">
        <v>437741</v>
      </c>
      <c r="AA292" s="192">
        <f>Z292/$Z$301</f>
        <v>0.99419256957787683</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3</v>
      </c>
      <c r="Y293" s="198">
        <f t="shared" ref="Y293:Y299" si="5">X293/$X$301</f>
        <v>1.2165450121654502E-3</v>
      </c>
      <c r="Z293" s="98">
        <v>545</v>
      </c>
      <c r="AA293" s="198">
        <f t="shared" ref="AA293:AA299" si="6">Z293/$Z$301</f>
        <v>1.2377980367841779E-3</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2</v>
      </c>
      <c r="Y294" s="198">
        <f t="shared" si="5"/>
        <v>8.110300081103001E-4</v>
      </c>
      <c r="Z294" s="98">
        <v>248</v>
      </c>
      <c r="AA294" s="198">
        <f t="shared" si="6"/>
        <v>5.6325488646325893E-4</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4</v>
      </c>
      <c r="Y295" s="198">
        <f t="shared" si="5"/>
        <v>1.6220600162206002E-3</v>
      </c>
      <c r="Z295" s="98">
        <v>1042</v>
      </c>
      <c r="AA295" s="198">
        <f t="shared" si="6"/>
        <v>2.3665789987690157E-3</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5"/>
        <v>0</v>
      </c>
      <c r="Z296" s="98">
        <v>0</v>
      </c>
      <c r="AA296" s="198">
        <f t="shared" si="6"/>
        <v>0</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1</v>
      </c>
      <c r="Y297" s="198">
        <f t="shared" si="5"/>
        <v>4.0551500405515005E-4</v>
      </c>
      <c r="Z297" s="98">
        <v>443</v>
      </c>
      <c r="AA297" s="198">
        <f t="shared" si="6"/>
        <v>1.0061367528355796E-3</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0</v>
      </c>
      <c r="Y298" s="198">
        <f>X298/$X$301</f>
        <v>0</v>
      </c>
      <c r="Z298" s="98">
        <v>0</v>
      </c>
      <c r="AA298" s="198">
        <f t="shared" si="6"/>
        <v>0</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1</v>
      </c>
      <c r="Y299" s="198">
        <f t="shared" si="5"/>
        <v>4.0551500405515005E-4</v>
      </c>
      <c r="Z299" s="98">
        <v>279</v>
      </c>
      <c r="AA299" s="198">
        <f t="shared" si="6"/>
        <v>6.3366174727116638E-4</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2466</v>
      </c>
      <c r="Y301" s="198">
        <f>SUM(Y292:Y300)</f>
        <v>1</v>
      </c>
      <c r="Z301" s="98">
        <f>SUM(Z292:Z300)</f>
        <v>440298</v>
      </c>
      <c r="AA301" s="198">
        <f>SUM(AA292:AA300)</f>
        <v>1</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v>0</v>
      </c>
      <c r="Z310" s="98">
        <v>0</v>
      </c>
      <c r="AA310" s="198">
        <v>0</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0</v>
      </c>
      <c r="Y313" s="198">
        <f>SUM(Y304:Y312)</f>
        <v>0</v>
      </c>
      <c r="Z313" s="98">
        <f>SUM(Z304:Z312)</f>
        <v>0</v>
      </c>
      <c r="AA313" s="198">
        <f>SUM(AA304:AA312)</f>
        <v>0</v>
      </c>
      <c r="AB313" s="40"/>
      <c r="AC313" s="43"/>
      <c r="AD313" s="22"/>
    </row>
    <row r="314" spans="1:30" s="23" customFormat="1" x14ac:dyDescent="0.3">
      <c r="A314" s="47"/>
      <c r="B314" s="40"/>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c r="Y314" s="198"/>
      <c r="Z314" s="98"/>
      <c r="AA314" s="198"/>
      <c r="AB314" s="40"/>
      <c r="AC314" s="43"/>
      <c r="AD314" s="22"/>
    </row>
    <row r="315" spans="1:30" s="23" customFormat="1" x14ac:dyDescent="0.3">
      <c r="A315" s="242"/>
      <c r="B315" s="243" t="s">
        <v>330</v>
      </c>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62" t="s">
        <v>69</v>
      </c>
      <c r="Y315" s="263" t="s">
        <v>70</v>
      </c>
      <c r="Z315" s="262" t="s">
        <v>75</v>
      </c>
      <c r="AA315" s="263" t="s">
        <v>70</v>
      </c>
      <c r="AB315" s="243"/>
      <c r="AC315" s="243"/>
      <c r="AD315" s="22"/>
    </row>
    <row r="316" spans="1:30" s="23" customFormat="1" x14ac:dyDescent="0.3">
      <c r="A316" s="273"/>
      <c r="B316" s="274" t="s">
        <v>326</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6">
        <v>0</v>
      </c>
      <c r="Y316" s="277">
        <v>0</v>
      </c>
      <c r="Z316" s="278">
        <v>0</v>
      </c>
      <c r="AA316" s="277">
        <v>0</v>
      </c>
      <c r="AB316" s="40"/>
      <c r="AC316" s="43"/>
      <c r="AD316" s="22"/>
    </row>
    <row r="317" spans="1:30" s="23" customFormat="1" x14ac:dyDescent="0.3">
      <c r="A317" s="273"/>
      <c r="B317" s="274" t="s">
        <v>327</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6">
        <v>0</v>
      </c>
      <c r="Y317" s="277">
        <v>0</v>
      </c>
      <c r="Z317" s="278">
        <v>0</v>
      </c>
      <c r="AA317" s="277">
        <v>0</v>
      </c>
      <c r="AB317" s="40"/>
      <c r="AC317" s="43"/>
      <c r="AD317" s="22"/>
    </row>
    <row r="318" spans="1:30" s="23" customFormat="1" x14ac:dyDescent="0.3">
      <c r="A318" s="273"/>
      <c r="B318" s="274" t="s">
        <v>328</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6">
        <v>0</v>
      </c>
      <c r="Y318" s="277">
        <v>0</v>
      </c>
      <c r="Z318" s="278">
        <v>0</v>
      </c>
      <c r="AA318" s="277">
        <v>0</v>
      </c>
      <c r="AB318" s="40"/>
      <c r="AC318" s="43"/>
      <c r="AD318" s="22"/>
    </row>
    <row r="319" spans="1:30" s="23" customFormat="1" x14ac:dyDescent="0.3">
      <c r="A319" s="273"/>
      <c r="B319" s="274" t="s">
        <v>329</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6">
        <v>0</v>
      </c>
      <c r="Y319" s="277">
        <v>0</v>
      </c>
      <c r="Z319" s="278">
        <v>0</v>
      </c>
      <c r="AA319" s="277">
        <v>0</v>
      </c>
      <c r="AB319" s="40"/>
      <c r="AC319" s="43"/>
      <c r="AD319" s="22"/>
    </row>
    <row r="320" spans="1:30" s="23" customFormat="1" x14ac:dyDescent="0.3">
      <c r="A320" s="273"/>
      <c r="B320" s="274" t="s">
        <v>334</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6">
        <v>0</v>
      </c>
      <c r="Y320" s="277">
        <v>0</v>
      </c>
      <c r="Z320" s="278">
        <v>0</v>
      </c>
      <c r="AA320" s="277">
        <v>0</v>
      </c>
      <c r="AB320" s="40"/>
      <c r="AC320" s="43"/>
      <c r="AD320" s="22"/>
    </row>
    <row r="321" spans="1:30" s="23" customFormat="1" x14ac:dyDescent="0.3">
      <c r="A321" s="273"/>
      <c r="B321" s="275" t="s">
        <v>331</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276">
        <v>0</v>
      </c>
      <c r="Y321" s="277">
        <v>0</v>
      </c>
      <c r="Z321" s="278">
        <v>0</v>
      </c>
      <c r="AA321" s="277">
        <v>0</v>
      </c>
      <c r="AB321" s="40"/>
      <c r="AC321" s="43"/>
      <c r="AD321" s="22"/>
    </row>
    <row r="322" spans="1:30" s="23" customFormat="1" x14ac:dyDescent="0.3">
      <c r="A322" s="273"/>
      <c r="B322" s="274"/>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276"/>
      <c r="Y322" s="277"/>
      <c r="Z322" s="278"/>
      <c r="AA322" s="277"/>
      <c r="AB322" s="40"/>
      <c r="AC322" s="43"/>
      <c r="AD322" s="22"/>
    </row>
    <row r="323" spans="1:30" s="23" customFormat="1" x14ac:dyDescent="0.3">
      <c r="A323" s="273"/>
      <c r="B323" s="274" t="s">
        <v>80</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f>SUM(X316:X322)</f>
        <v>0</v>
      </c>
      <c r="Y323" s="277">
        <f>SUM(Y316:Y321)</f>
        <v>0</v>
      </c>
      <c r="Z323" s="278">
        <f>SUM(Z316:Z321)</f>
        <v>0</v>
      </c>
      <c r="AA323" s="277">
        <f>SUM(AA316:AA322)</f>
        <v>0</v>
      </c>
      <c r="AB323" s="40"/>
      <c r="AC323" s="43"/>
      <c r="AD323" s="22"/>
    </row>
    <row r="324" spans="1:30" x14ac:dyDescent="0.3">
      <c r="A324" s="7"/>
      <c r="B324" s="99"/>
      <c r="C324" s="99"/>
      <c r="D324" s="205"/>
      <c r="E324" s="205"/>
      <c r="F324" s="205"/>
      <c r="G324" s="205"/>
      <c r="H324" s="205"/>
      <c r="I324" s="205"/>
      <c r="J324" s="205"/>
      <c r="K324" s="205"/>
      <c r="L324" s="205"/>
      <c r="M324" s="205"/>
      <c r="N324" s="205"/>
      <c r="O324" s="205"/>
      <c r="P324" s="205"/>
      <c r="Q324" s="205"/>
      <c r="R324" s="205"/>
      <c r="S324" s="205"/>
      <c r="T324" s="205"/>
      <c r="U324" s="205"/>
      <c r="V324" s="205"/>
      <c r="W324" s="205"/>
      <c r="X324" s="100"/>
      <c r="Y324" s="206"/>
      <c r="Z324" s="207"/>
      <c r="AA324" s="206"/>
      <c r="AB324" s="99"/>
      <c r="AC324" s="10"/>
      <c r="AD324" s="5"/>
    </row>
    <row r="325" spans="1:30" x14ac:dyDescent="0.3">
      <c r="A325" s="33"/>
      <c r="B325" s="102" t="s">
        <v>106</v>
      </c>
      <c r="C325" s="34"/>
      <c r="D325" s="208"/>
      <c r="E325" s="208"/>
      <c r="F325" s="208"/>
      <c r="G325" s="208"/>
      <c r="H325" s="208"/>
      <c r="I325" s="208"/>
      <c r="J325" s="208"/>
      <c r="K325" s="208"/>
      <c r="L325" s="208"/>
      <c r="M325" s="208"/>
      <c r="N325" s="208"/>
      <c r="O325" s="208"/>
      <c r="P325" s="208"/>
      <c r="Q325" s="208"/>
      <c r="R325" s="208"/>
      <c r="S325" s="208"/>
      <c r="T325" s="208"/>
      <c r="U325" s="208"/>
      <c r="V325" s="208"/>
      <c r="W325" s="208"/>
      <c r="X325" s="154" t="s">
        <v>69</v>
      </c>
      <c r="Y325" s="103" t="s">
        <v>70</v>
      </c>
      <c r="Z325" s="154" t="s">
        <v>75</v>
      </c>
      <c r="AA325" s="103" t="s">
        <v>70</v>
      </c>
      <c r="AB325" s="34"/>
      <c r="AC325" s="36"/>
      <c r="AD325" s="5"/>
    </row>
    <row r="326" spans="1:30" s="23" customFormat="1" x14ac:dyDescent="0.3">
      <c r="A326" s="18"/>
      <c r="B326" s="106" t="s">
        <v>59</v>
      </c>
      <c r="C326" s="37"/>
      <c r="D326" s="209"/>
      <c r="E326" s="209"/>
      <c r="F326" s="209"/>
      <c r="G326" s="209"/>
      <c r="H326" s="209"/>
      <c r="I326" s="209"/>
      <c r="J326" s="209"/>
      <c r="K326" s="209"/>
      <c r="L326" s="209"/>
      <c r="M326" s="209"/>
      <c r="N326" s="209"/>
      <c r="O326" s="209"/>
      <c r="P326" s="209"/>
      <c r="Q326" s="209"/>
      <c r="R326" s="209"/>
      <c r="S326" s="209"/>
      <c r="T326" s="209"/>
      <c r="U326" s="209"/>
      <c r="V326" s="209"/>
      <c r="W326" s="209"/>
      <c r="X326" s="106">
        <v>0</v>
      </c>
      <c r="Y326" s="192">
        <v>0</v>
      </c>
      <c r="Z326" s="107">
        <v>0</v>
      </c>
      <c r="AA326" s="192">
        <v>0</v>
      </c>
      <c r="AB326" s="37"/>
      <c r="AC326" s="21"/>
      <c r="AD326" s="22"/>
    </row>
    <row r="327" spans="1:30" s="23" customFormat="1" x14ac:dyDescent="0.3">
      <c r="A327" s="47"/>
      <c r="B327" s="97" t="s">
        <v>60</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61</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100</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101</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102</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103</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104</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c r="Y334" s="198"/>
      <c r="Z334" s="98"/>
      <c r="AA334" s="198"/>
      <c r="AB334" s="40"/>
      <c r="AC334" s="43"/>
      <c r="AD334" s="22"/>
    </row>
    <row r="335" spans="1:30" s="23" customFormat="1" x14ac:dyDescent="0.3">
      <c r="A335" s="47"/>
      <c r="B335" s="40" t="s">
        <v>80</v>
      </c>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f>SUM(X326:X333)</f>
        <v>0</v>
      </c>
      <c r="Y335" s="198">
        <f>SUM(Y326:Y333)</f>
        <v>0</v>
      </c>
      <c r="Z335" s="98">
        <f>SUM(Z326:Z333)</f>
        <v>0</v>
      </c>
      <c r="AA335" s="198">
        <f>SUM(AA326:AA333)</f>
        <v>0</v>
      </c>
      <c r="AB335" s="40"/>
      <c r="AC335" s="43"/>
      <c r="AD335" s="22"/>
    </row>
    <row r="336" spans="1:30" s="23" customFormat="1" x14ac:dyDescent="0.3">
      <c r="A336" s="47"/>
      <c r="B336" s="40"/>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c r="Y336" s="198"/>
      <c r="Z336" s="98"/>
      <c r="AA336" s="198"/>
      <c r="AB336" s="40"/>
      <c r="AC336" s="43"/>
      <c r="AD336" s="22"/>
    </row>
    <row r="337" spans="1:30" s="23" customFormat="1" x14ac:dyDescent="0.3">
      <c r="A337" s="242" t="s">
        <v>313</v>
      </c>
      <c r="B337" s="243" t="s">
        <v>314</v>
      </c>
      <c r="C337" s="244"/>
      <c r="D337" s="244"/>
      <c r="E337" s="244"/>
      <c r="F337" s="244"/>
      <c r="G337" s="244"/>
      <c r="H337" s="245"/>
      <c r="I337" s="245"/>
      <c r="J337" s="245"/>
      <c r="K337" s="245"/>
      <c r="L337" s="245"/>
      <c r="M337" s="245"/>
      <c r="N337" s="245"/>
      <c r="O337" s="245"/>
      <c r="P337" s="246"/>
      <c r="Q337" s="246"/>
      <c r="R337" s="246"/>
      <c r="S337" s="246"/>
      <c r="T337" s="246"/>
      <c r="U337" s="246"/>
      <c r="V337" s="246"/>
      <c r="W337" s="246"/>
      <c r="X337" s="262" t="s">
        <v>69</v>
      </c>
      <c r="Y337" s="263" t="s">
        <v>70</v>
      </c>
      <c r="Z337" s="262" t="s">
        <v>75</v>
      </c>
      <c r="AA337" s="263" t="s">
        <v>70</v>
      </c>
      <c r="AB337" s="243" t="s">
        <v>338</v>
      </c>
      <c r="AC337" s="36"/>
      <c r="AD337" s="22"/>
    </row>
    <row r="338" spans="1:30" s="23" customFormat="1" x14ac:dyDescent="0.3">
      <c r="A338" s="247"/>
      <c r="B338" s="248" t="s">
        <v>59</v>
      </c>
      <c r="C338" s="249"/>
      <c r="D338" s="249"/>
      <c r="E338" s="249"/>
      <c r="F338" s="249"/>
      <c r="G338" s="249"/>
      <c r="H338" s="250"/>
      <c r="I338" s="250"/>
      <c r="J338" s="250"/>
      <c r="K338" s="250"/>
      <c r="L338" s="250"/>
      <c r="M338" s="250"/>
      <c r="N338" s="250"/>
      <c r="O338" s="250"/>
      <c r="P338" s="251"/>
      <c r="Q338" s="269"/>
      <c r="R338" s="269"/>
      <c r="S338" s="269"/>
      <c r="T338" s="269"/>
      <c r="U338" s="269"/>
      <c r="V338" s="269"/>
      <c r="W338" s="269"/>
      <c r="X338" s="264">
        <v>8</v>
      </c>
      <c r="Y338" s="265">
        <f>+X338/X347</f>
        <v>1</v>
      </c>
      <c r="Z338" s="215">
        <v>1623</v>
      </c>
      <c r="AA338" s="265">
        <f>+Z338/Z347</f>
        <v>1</v>
      </c>
      <c r="AB338" s="40"/>
      <c r="AC338" s="43"/>
      <c r="AD338" s="22"/>
    </row>
    <row r="339" spans="1:30" s="23" customFormat="1" x14ac:dyDescent="0.3">
      <c r="A339" s="252"/>
      <c r="B339" s="253" t="s">
        <v>60</v>
      </c>
      <c r="C339" s="254"/>
      <c r="D339" s="254"/>
      <c r="E339" s="254"/>
      <c r="F339" s="254"/>
      <c r="G339" s="254"/>
      <c r="H339" s="255"/>
      <c r="I339" s="255"/>
      <c r="J339" s="255"/>
      <c r="K339" s="255"/>
      <c r="L339" s="255"/>
      <c r="M339" s="255"/>
      <c r="N339" s="255"/>
      <c r="O339" s="255"/>
      <c r="P339" s="256"/>
      <c r="Q339" s="204"/>
      <c r="R339" s="204"/>
      <c r="S339" s="204"/>
      <c r="T339" s="204"/>
      <c r="U339" s="204"/>
      <c r="V339" s="204"/>
      <c r="W339" s="204"/>
      <c r="X339" s="266">
        <v>0</v>
      </c>
      <c r="Y339" s="267">
        <f>+X339/X347</f>
        <v>0</v>
      </c>
      <c r="Z339" s="98">
        <v>0</v>
      </c>
      <c r="AA339" s="268">
        <f>+Z339/Z347</f>
        <v>0</v>
      </c>
      <c r="AB339" s="40"/>
      <c r="AC339" s="43"/>
      <c r="AD339" s="22"/>
    </row>
    <row r="340" spans="1:30" s="23" customFormat="1" x14ac:dyDescent="0.3">
      <c r="A340" s="252"/>
      <c r="B340" s="253" t="s">
        <v>61</v>
      </c>
      <c r="C340" s="254"/>
      <c r="D340" s="254"/>
      <c r="E340" s="254"/>
      <c r="F340" s="254"/>
      <c r="G340" s="254"/>
      <c r="H340" s="255"/>
      <c r="I340" s="255"/>
      <c r="J340" s="255"/>
      <c r="K340" s="255"/>
      <c r="L340" s="255"/>
      <c r="M340" s="255"/>
      <c r="N340" s="255"/>
      <c r="O340" s="255"/>
      <c r="P340" s="256"/>
      <c r="Q340" s="204"/>
      <c r="R340" s="204"/>
      <c r="S340" s="204"/>
      <c r="T340" s="204"/>
      <c r="U340" s="204"/>
      <c r="V340" s="204"/>
      <c r="W340" s="204"/>
      <c r="X340" s="266">
        <v>0</v>
      </c>
      <c r="Y340" s="267">
        <f>+X340/X347</f>
        <v>0</v>
      </c>
      <c r="Z340" s="98">
        <v>0</v>
      </c>
      <c r="AA340" s="268">
        <f>+Z340/Z347</f>
        <v>0</v>
      </c>
      <c r="AB340" s="40"/>
      <c r="AC340" s="43"/>
      <c r="AD340" s="22"/>
    </row>
    <row r="341" spans="1:30" s="23" customFormat="1" x14ac:dyDescent="0.3">
      <c r="A341" s="252"/>
      <c r="B341" s="253" t="s">
        <v>100</v>
      </c>
      <c r="C341" s="254"/>
      <c r="D341" s="254"/>
      <c r="E341" s="254"/>
      <c r="F341" s="254"/>
      <c r="G341" s="254"/>
      <c r="H341" s="255"/>
      <c r="I341" s="255"/>
      <c r="J341" s="255"/>
      <c r="K341" s="255"/>
      <c r="L341" s="255"/>
      <c r="M341" s="255"/>
      <c r="N341" s="255"/>
      <c r="O341" s="255"/>
      <c r="P341" s="256"/>
      <c r="Q341" s="204"/>
      <c r="R341" s="204"/>
      <c r="S341" s="204"/>
      <c r="T341" s="204"/>
      <c r="U341" s="204"/>
      <c r="V341" s="204"/>
      <c r="W341" s="204"/>
      <c r="X341" s="266">
        <v>0</v>
      </c>
      <c r="Y341" s="267">
        <f>+X341/X347</f>
        <v>0</v>
      </c>
      <c r="Z341" s="98">
        <v>0</v>
      </c>
      <c r="AA341" s="268">
        <f>+Z341/Z347</f>
        <v>0</v>
      </c>
      <c r="AB341" s="40"/>
      <c r="AC341" s="43"/>
      <c r="AD341" s="22"/>
    </row>
    <row r="342" spans="1:30" s="23" customFormat="1" x14ac:dyDescent="0.3">
      <c r="A342" s="252"/>
      <c r="B342" s="253" t="s">
        <v>101</v>
      </c>
      <c r="C342" s="254"/>
      <c r="D342" s="254"/>
      <c r="E342" s="254"/>
      <c r="F342" s="254"/>
      <c r="G342" s="254"/>
      <c r="H342" s="255"/>
      <c r="I342" s="255"/>
      <c r="J342" s="255"/>
      <c r="K342" s="255"/>
      <c r="L342" s="255"/>
      <c r="M342" s="255"/>
      <c r="N342" s="255"/>
      <c r="O342" s="255"/>
      <c r="P342" s="256"/>
      <c r="Q342" s="204"/>
      <c r="R342" s="204"/>
      <c r="S342" s="204"/>
      <c r="T342" s="204"/>
      <c r="U342" s="204"/>
      <c r="V342" s="204"/>
      <c r="W342" s="204"/>
      <c r="X342" s="266">
        <v>0</v>
      </c>
      <c r="Y342" s="267">
        <f>+X342/X347</f>
        <v>0</v>
      </c>
      <c r="Z342" s="98">
        <v>0</v>
      </c>
      <c r="AA342" s="268">
        <f>+Z342/Z347</f>
        <v>0</v>
      </c>
      <c r="AB342" s="40"/>
      <c r="AC342" s="43"/>
      <c r="AD342" s="22"/>
    </row>
    <row r="343" spans="1:30" s="23" customFormat="1" x14ac:dyDescent="0.3">
      <c r="A343" s="252"/>
      <c r="B343" s="253" t="s">
        <v>102</v>
      </c>
      <c r="C343" s="254"/>
      <c r="D343" s="254"/>
      <c r="E343" s="254"/>
      <c r="F343" s="254"/>
      <c r="G343" s="254"/>
      <c r="H343" s="255"/>
      <c r="I343" s="255"/>
      <c r="J343" s="255"/>
      <c r="K343" s="255"/>
      <c r="L343" s="255"/>
      <c r="M343" s="255"/>
      <c r="N343" s="255"/>
      <c r="O343" s="255"/>
      <c r="P343" s="256"/>
      <c r="Q343" s="204"/>
      <c r="R343" s="204"/>
      <c r="S343" s="204"/>
      <c r="T343" s="204"/>
      <c r="U343" s="204"/>
      <c r="V343" s="204"/>
      <c r="W343" s="204"/>
      <c r="X343" s="266">
        <v>0</v>
      </c>
      <c r="Y343" s="267">
        <f>+X343/X347</f>
        <v>0</v>
      </c>
      <c r="Z343" s="98">
        <v>0</v>
      </c>
      <c r="AA343" s="268">
        <f>+Z343/Z347</f>
        <v>0</v>
      </c>
      <c r="AB343" s="40"/>
      <c r="AC343" s="43"/>
      <c r="AD343" s="22"/>
    </row>
    <row r="344" spans="1:30" s="23" customFormat="1" x14ac:dyDescent="0.3">
      <c r="A344" s="252"/>
      <c r="B344" s="253" t="s">
        <v>103</v>
      </c>
      <c r="C344" s="254"/>
      <c r="D344" s="254"/>
      <c r="E344" s="254"/>
      <c r="F344" s="254"/>
      <c r="G344" s="254"/>
      <c r="H344" s="255"/>
      <c r="I344" s="255"/>
      <c r="J344" s="255"/>
      <c r="K344" s="255"/>
      <c r="L344" s="255"/>
      <c r="M344" s="255"/>
      <c r="N344" s="255"/>
      <c r="O344" s="255"/>
      <c r="P344" s="256"/>
      <c r="Q344" s="204"/>
      <c r="R344" s="204"/>
      <c r="S344" s="204"/>
      <c r="T344" s="204"/>
      <c r="U344" s="204"/>
      <c r="V344" s="204"/>
      <c r="W344" s="204"/>
      <c r="X344" s="266">
        <v>0</v>
      </c>
      <c r="Y344" s="267">
        <f>+X344/X347</f>
        <v>0</v>
      </c>
      <c r="Z344" s="98">
        <v>0</v>
      </c>
      <c r="AA344" s="268">
        <f>+Z344/Z347</f>
        <v>0</v>
      </c>
      <c r="AB344" s="40"/>
      <c r="AC344" s="43"/>
      <c r="AD344" s="22"/>
    </row>
    <row r="345" spans="1:30" s="23" customFormat="1" x14ac:dyDescent="0.3">
      <c r="A345" s="252"/>
      <c r="B345" s="253" t="s">
        <v>104</v>
      </c>
      <c r="C345" s="254"/>
      <c r="D345" s="254"/>
      <c r="E345" s="254"/>
      <c r="F345" s="254"/>
      <c r="G345" s="254"/>
      <c r="H345" s="255"/>
      <c r="I345" s="255"/>
      <c r="J345" s="255"/>
      <c r="K345" s="255"/>
      <c r="L345" s="255"/>
      <c r="M345" s="255"/>
      <c r="N345" s="255"/>
      <c r="O345" s="255"/>
      <c r="P345" s="256"/>
      <c r="Q345" s="204"/>
      <c r="R345" s="204"/>
      <c r="S345" s="204"/>
      <c r="T345" s="204"/>
      <c r="U345" s="204"/>
      <c r="V345" s="204"/>
      <c r="W345" s="204"/>
      <c r="X345" s="266">
        <v>0</v>
      </c>
      <c r="Y345" s="265">
        <f>+X345/X347</f>
        <v>0</v>
      </c>
      <c r="Z345" s="98">
        <v>0</v>
      </c>
      <c r="AA345" s="268">
        <f>+Z345/Z347</f>
        <v>0</v>
      </c>
      <c r="AB345" s="40"/>
      <c r="AC345" s="43"/>
      <c r="AD345" s="22"/>
    </row>
    <row r="346" spans="1:30" s="23" customFormat="1" x14ac:dyDescent="0.3">
      <c r="A346" s="252"/>
      <c r="B346" s="253"/>
      <c r="C346" s="254"/>
      <c r="D346" s="254"/>
      <c r="E346" s="254"/>
      <c r="F346" s="254"/>
      <c r="G346" s="254"/>
      <c r="H346" s="255"/>
      <c r="I346" s="255"/>
      <c r="J346" s="255"/>
      <c r="K346" s="255"/>
      <c r="L346" s="255"/>
      <c r="M346" s="255"/>
      <c r="N346" s="255"/>
      <c r="O346" s="255"/>
      <c r="P346" s="256"/>
      <c r="Q346" s="204"/>
      <c r="R346" s="204"/>
      <c r="S346" s="204"/>
      <c r="T346" s="204"/>
      <c r="U346" s="204"/>
      <c r="V346" s="204"/>
      <c r="W346" s="204"/>
      <c r="X346" s="280"/>
      <c r="Y346" s="281"/>
      <c r="Z346" s="282"/>
      <c r="AA346" s="281"/>
      <c r="AB346" s="283"/>
      <c r="AC346" s="43"/>
      <c r="AD346" s="22"/>
    </row>
    <row r="347" spans="1:30" s="23" customFormat="1" x14ac:dyDescent="0.3">
      <c r="A347" s="252"/>
      <c r="B347" s="254" t="s">
        <v>80</v>
      </c>
      <c r="C347" s="254"/>
      <c r="D347" s="254"/>
      <c r="E347" s="254"/>
      <c r="F347" s="254"/>
      <c r="G347" s="254"/>
      <c r="H347" s="255"/>
      <c r="I347" s="255"/>
      <c r="J347" s="255"/>
      <c r="K347" s="255"/>
      <c r="L347" s="255"/>
      <c r="M347" s="255"/>
      <c r="N347" s="255"/>
      <c r="O347" s="255"/>
      <c r="P347" s="256"/>
      <c r="Q347" s="204"/>
      <c r="R347" s="204"/>
      <c r="S347" s="204"/>
      <c r="T347" s="204"/>
      <c r="U347" s="204"/>
      <c r="V347" s="204"/>
      <c r="W347" s="204"/>
      <c r="X347" s="266">
        <f>SUM(X338:X345)</f>
        <v>8</v>
      </c>
      <c r="Y347" s="268">
        <f>SUM(Y338:Y345)</f>
        <v>1</v>
      </c>
      <c r="Z347" s="98">
        <f>SUM(Z338:Z345)</f>
        <v>1623</v>
      </c>
      <c r="AA347" s="268">
        <f>SUM(AA338:AA345)</f>
        <v>1</v>
      </c>
      <c r="AB347" s="40"/>
      <c r="AC347" s="43"/>
      <c r="AD347" s="22"/>
    </row>
    <row r="348" spans="1:30" s="23" customFormat="1" ht="16.2" thickBot="1" x14ac:dyDescent="0.35">
      <c r="A348" s="252"/>
      <c r="B348" s="254" t="s">
        <v>325</v>
      </c>
      <c r="C348" s="254"/>
      <c r="D348" s="254"/>
      <c r="E348" s="254"/>
      <c r="F348" s="254"/>
      <c r="G348" s="254"/>
      <c r="H348" s="255"/>
      <c r="I348" s="255"/>
      <c r="J348" s="255"/>
      <c r="K348" s="255"/>
      <c r="L348" s="255"/>
      <c r="M348" s="255"/>
      <c r="N348" s="255"/>
      <c r="O348" s="255"/>
      <c r="P348" s="256"/>
      <c r="Q348" s="204"/>
      <c r="R348" s="204"/>
      <c r="S348" s="204"/>
      <c r="T348" s="204"/>
      <c r="U348" s="204"/>
      <c r="V348" s="204"/>
      <c r="W348" s="204"/>
      <c r="X348" s="297"/>
      <c r="Y348" s="297">
        <f>X347/X352</f>
        <v>3.2441200324412004E-3</v>
      </c>
      <c r="Z348" s="298"/>
      <c r="AA348" s="297">
        <f>Z347/Z352</f>
        <v>3.6861398416526987E-3</v>
      </c>
      <c r="AB348" s="299"/>
      <c r="AC348" s="43"/>
      <c r="AD348" s="22"/>
    </row>
    <row r="349" spans="1:30" s="23" customFormat="1" ht="16.2" thickTop="1" x14ac:dyDescent="0.3">
      <c r="A349" s="252"/>
      <c r="B349" s="254" t="s">
        <v>336</v>
      </c>
      <c r="C349" s="254"/>
      <c r="D349" s="254"/>
      <c r="E349" s="254"/>
      <c r="F349" s="254"/>
      <c r="G349" s="254"/>
      <c r="H349" s="255"/>
      <c r="I349" s="255"/>
      <c r="J349" s="255"/>
      <c r="K349" s="255"/>
      <c r="L349" s="255"/>
      <c r="M349" s="255"/>
      <c r="N349" s="255"/>
      <c r="O349" s="255"/>
      <c r="P349" s="256"/>
      <c r="Q349" s="204"/>
      <c r="R349" s="204"/>
      <c r="S349" s="204"/>
      <c r="T349" s="204"/>
      <c r="U349" s="204"/>
      <c r="V349" s="204"/>
      <c r="W349" s="204"/>
      <c r="X349" s="293">
        <v>1</v>
      </c>
      <c r="Y349" s="294">
        <f>X349/X347</f>
        <v>0.125</v>
      </c>
      <c r="Z349" s="295">
        <v>272</v>
      </c>
      <c r="AA349" s="294">
        <f>Z349/Z347</f>
        <v>0.16759088108441159</v>
      </c>
      <c r="AB349" s="296">
        <v>0</v>
      </c>
      <c r="AC349" s="43"/>
      <c r="AD349" s="22"/>
    </row>
    <row r="350" spans="1:30" s="23" customFormat="1" ht="16.2" thickBot="1" x14ac:dyDescent="0.35">
      <c r="A350" s="252"/>
      <c r="B350" s="254" t="s">
        <v>337</v>
      </c>
      <c r="C350" s="254"/>
      <c r="D350" s="254"/>
      <c r="E350" s="254"/>
      <c r="F350" s="254"/>
      <c r="G350" s="254"/>
      <c r="H350" s="255"/>
      <c r="I350" s="255"/>
      <c r="J350" s="255"/>
      <c r="K350" s="255"/>
      <c r="L350" s="255"/>
      <c r="M350" s="255"/>
      <c r="N350" s="255"/>
      <c r="O350" s="255"/>
      <c r="P350" s="256"/>
      <c r="Q350" s="204"/>
      <c r="R350" s="204"/>
      <c r="S350" s="204"/>
      <c r="T350" s="204"/>
      <c r="U350" s="204"/>
      <c r="V350" s="204"/>
      <c r="W350" s="204"/>
      <c r="X350" s="288">
        <v>7</v>
      </c>
      <c r="Y350" s="289">
        <f>X350/X347</f>
        <v>0.875</v>
      </c>
      <c r="Z350" s="290">
        <v>1351</v>
      </c>
      <c r="AA350" s="291">
        <f>Z350/Z347</f>
        <v>0.83240911891558844</v>
      </c>
      <c r="AB350" s="292">
        <v>0.42396313364055299</v>
      </c>
      <c r="AC350" s="43"/>
      <c r="AD350" s="22"/>
    </row>
    <row r="351" spans="1:30" s="23" customFormat="1" ht="16.2" thickTop="1" x14ac:dyDescent="0.3">
      <c r="A351" s="252"/>
      <c r="B351" s="254"/>
      <c r="C351" s="254"/>
      <c r="D351" s="254"/>
      <c r="E351" s="254"/>
      <c r="F351" s="254"/>
      <c r="G351" s="254"/>
      <c r="H351" s="255"/>
      <c r="I351" s="255"/>
      <c r="J351" s="255"/>
      <c r="K351" s="255"/>
      <c r="L351" s="255"/>
      <c r="M351" s="255"/>
      <c r="N351" s="255"/>
      <c r="O351" s="255"/>
      <c r="P351" s="256"/>
      <c r="Q351" s="204"/>
      <c r="R351" s="204"/>
      <c r="S351" s="204"/>
      <c r="T351" s="204"/>
      <c r="U351" s="204"/>
      <c r="V351" s="204"/>
      <c r="W351" s="204"/>
      <c r="X351" s="284"/>
      <c r="Y351" s="202"/>
      <c r="Z351" s="285"/>
      <c r="AA351" s="202"/>
      <c r="AB351" s="286"/>
      <c r="AC351" s="43"/>
      <c r="AD351" s="22"/>
    </row>
    <row r="352" spans="1:30" s="23" customFormat="1" x14ac:dyDescent="0.3">
      <c r="A352" s="47"/>
      <c r="B352" s="44" t="s">
        <v>139</v>
      </c>
      <c r="C352" s="40"/>
      <c r="D352" s="204"/>
      <c r="E352" s="204"/>
      <c r="F352" s="204"/>
      <c r="G352" s="204"/>
      <c r="H352" s="204"/>
      <c r="I352" s="204"/>
      <c r="J352" s="204"/>
      <c r="K352" s="204"/>
      <c r="L352" s="204"/>
      <c r="M352" s="204"/>
      <c r="N352" s="204"/>
      <c r="O352" s="204"/>
      <c r="P352" s="204"/>
      <c r="Q352" s="204"/>
      <c r="R352" s="204"/>
      <c r="S352" s="204"/>
      <c r="T352" s="204"/>
      <c r="U352" s="204"/>
      <c r="V352" s="204"/>
      <c r="W352" s="204"/>
      <c r="X352" s="210">
        <f>X335+X313+X301</f>
        <v>2466</v>
      </c>
      <c r="Y352" s="198"/>
      <c r="Z352" s="211">
        <f>+Z335+Z313+Z301</f>
        <v>440298</v>
      </c>
      <c r="AA352" s="198"/>
      <c r="AB352" s="40"/>
      <c r="AC352" s="43"/>
      <c r="AD352" s="22"/>
    </row>
    <row r="353" spans="1:30" s="23" customFormat="1" x14ac:dyDescent="0.3">
      <c r="A353" s="47"/>
      <c r="B353" s="44" t="s">
        <v>304</v>
      </c>
      <c r="C353" s="44"/>
      <c r="D353" s="212"/>
      <c r="E353" s="212"/>
      <c r="F353" s="212"/>
      <c r="G353" s="212"/>
      <c r="H353" s="212"/>
      <c r="I353" s="212"/>
      <c r="J353" s="212"/>
      <c r="K353" s="212"/>
      <c r="L353" s="212"/>
      <c r="M353" s="212"/>
      <c r="N353" s="212"/>
      <c r="O353" s="212"/>
      <c r="P353" s="212"/>
      <c r="Q353" s="212"/>
      <c r="R353" s="212"/>
      <c r="S353" s="212"/>
      <c r="T353" s="212"/>
      <c r="U353" s="212"/>
      <c r="V353" s="212"/>
      <c r="W353" s="212"/>
      <c r="X353" s="210"/>
      <c r="Y353" s="213"/>
      <c r="Z353" s="211">
        <f>+AB65+AB64</f>
        <v>0</v>
      </c>
      <c r="AA353" s="198"/>
      <c r="AB353" s="40"/>
      <c r="AC353" s="43"/>
      <c r="AD353" s="22"/>
    </row>
    <row r="354" spans="1:30" s="23" customFormat="1" x14ac:dyDescent="0.3">
      <c r="A354" s="47"/>
      <c r="B354" s="44" t="s">
        <v>107</v>
      </c>
      <c r="C354" s="44"/>
      <c r="D354" s="212"/>
      <c r="E354" s="212"/>
      <c r="F354" s="212"/>
      <c r="G354" s="212"/>
      <c r="H354" s="212"/>
      <c r="I354" s="212"/>
      <c r="J354" s="212"/>
      <c r="K354" s="212"/>
      <c r="L354" s="212"/>
      <c r="M354" s="212"/>
      <c r="N354" s="212"/>
      <c r="O354" s="212"/>
      <c r="P354" s="212"/>
      <c r="Q354" s="212"/>
      <c r="R354" s="212"/>
      <c r="S354" s="212"/>
      <c r="T354" s="212"/>
      <c r="U354" s="212"/>
      <c r="V354" s="212"/>
      <c r="W354" s="212"/>
      <c r="X354" s="210"/>
      <c r="Y354" s="213"/>
      <c r="Z354" s="211">
        <f>+Z352+Z353</f>
        <v>440298</v>
      </c>
      <c r="AA354" s="198"/>
      <c r="AB354" s="40"/>
      <c r="AC354" s="43"/>
      <c r="AD354" s="22"/>
    </row>
    <row r="355" spans="1:30" s="23" customFormat="1" x14ac:dyDescent="0.3">
      <c r="A355" s="47"/>
      <c r="B355" s="44" t="s">
        <v>237</v>
      </c>
      <c r="C355" s="40"/>
      <c r="D355" s="204"/>
      <c r="E355" s="204"/>
      <c r="F355" s="204"/>
      <c r="G355" s="204"/>
      <c r="H355" s="204"/>
      <c r="I355" s="204"/>
      <c r="J355" s="204"/>
      <c r="K355" s="204"/>
      <c r="L355" s="204"/>
      <c r="M355" s="204"/>
      <c r="N355" s="204"/>
      <c r="O355" s="204"/>
      <c r="P355" s="204"/>
      <c r="Q355" s="204"/>
      <c r="R355" s="204"/>
      <c r="S355" s="204"/>
      <c r="T355" s="204"/>
      <c r="U355" s="204"/>
      <c r="V355" s="204"/>
      <c r="W355" s="204"/>
      <c r="X355" s="210"/>
      <c r="Y355" s="198"/>
      <c r="Z355" s="211">
        <f>+AB67</f>
        <v>440298</v>
      </c>
      <c r="AA355" s="198"/>
      <c r="AB355" s="40"/>
      <c r="AC355" s="43"/>
      <c r="AD355" s="22"/>
    </row>
    <row r="356" spans="1:30" s="23" customFormat="1" x14ac:dyDescent="0.3">
      <c r="A356" s="47"/>
      <c r="B356" s="44"/>
      <c r="C356" s="40"/>
      <c r="D356" s="204"/>
      <c r="E356" s="204"/>
      <c r="F356" s="204"/>
      <c r="G356" s="204"/>
      <c r="H356" s="204"/>
      <c r="I356" s="204"/>
      <c r="J356" s="204"/>
      <c r="K356" s="204"/>
      <c r="L356" s="204"/>
      <c r="M356" s="204"/>
      <c r="N356" s="204"/>
      <c r="O356" s="204"/>
      <c r="P356" s="204"/>
      <c r="Q356" s="204"/>
      <c r="R356" s="204"/>
      <c r="S356" s="204"/>
      <c r="T356" s="204"/>
      <c r="U356" s="204"/>
      <c r="V356" s="204"/>
      <c r="W356" s="204"/>
      <c r="X356" s="210"/>
      <c r="Y356" s="198"/>
      <c r="Z356" s="211"/>
      <c r="AA356" s="198"/>
      <c r="AB356" s="40"/>
      <c r="AC356" s="43"/>
      <c r="AD356" s="22"/>
    </row>
    <row r="357" spans="1:30" s="23" customFormat="1" x14ac:dyDescent="0.3">
      <c r="A357" s="47"/>
      <c r="B357" s="44" t="s">
        <v>305</v>
      </c>
      <c r="C357" s="40"/>
      <c r="D357" s="204"/>
      <c r="E357" s="204"/>
      <c r="F357" s="204"/>
      <c r="G357" s="204"/>
      <c r="H357" s="204"/>
      <c r="I357" s="204"/>
      <c r="J357" s="204"/>
      <c r="K357" s="204"/>
      <c r="L357" s="204"/>
      <c r="M357" s="204"/>
      <c r="N357" s="204"/>
      <c r="O357" s="204"/>
      <c r="P357" s="204"/>
      <c r="Q357" s="204"/>
      <c r="R357" s="204"/>
      <c r="S357" s="204"/>
      <c r="T357" s="204"/>
      <c r="U357" s="204"/>
      <c r="V357" s="204"/>
      <c r="W357" s="204"/>
      <c r="X357" s="210"/>
      <c r="Y357" s="198"/>
      <c r="Z357" s="236">
        <f>(D31*0.05+F31+H31+J31+L31+N31)/AB31</f>
        <v>0.55713594558122936</v>
      </c>
      <c r="AA357" s="198"/>
      <c r="AB357" s="40"/>
      <c r="AC357" s="43"/>
      <c r="AD357" s="22"/>
    </row>
    <row r="358" spans="1:30" s="23" customFormat="1" x14ac:dyDescent="0.3">
      <c r="A358" s="18"/>
      <c r="B358" s="20"/>
      <c r="C358" s="20"/>
      <c r="D358" s="214"/>
      <c r="E358" s="214"/>
      <c r="F358" s="214"/>
      <c r="G358" s="214"/>
      <c r="H358" s="214"/>
      <c r="I358" s="214"/>
      <c r="J358" s="214"/>
      <c r="K358" s="214"/>
      <c r="L358" s="214"/>
      <c r="M358" s="214"/>
      <c r="N358" s="214"/>
      <c r="O358" s="214"/>
      <c r="P358" s="214"/>
      <c r="Q358" s="214"/>
      <c r="R358" s="214"/>
      <c r="S358" s="214"/>
      <c r="T358" s="214"/>
      <c r="U358" s="214"/>
      <c r="V358" s="214"/>
      <c r="W358" s="214"/>
      <c r="X358" s="214"/>
      <c r="Y358" s="214"/>
      <c r="Z358" s="215"/>
      <c r="AA358" s="214"/>
      <c r="AB358" s="20"/>
      <c r="AC358" s="21"/>
      <c r="AD358" s="22"/>
    </row>
    <row r="359" spans="1:30" s="23" customFormat="1" x14ac:dyDescent="0.3">
      <c r="A359" s="18"/>
      <c r="B359" s="19" t="s">
        <v>62</v>
      </c>
      <c r="C359" s="20"/>
      <c r="D359" s="216" t="s">
        <v>66</v>
      </c>
      <c r="E359" s="19"/>
      <c r="F359" s="19" t="s">
        <v>67</v>
      </c>
      <c r="G359" s="20"/>
      <c r="H359" s="19"/>
      <c r="I359" s="20"/>
      <c r="J359" s="20"/>
      <c r="K359" s="20"/>
      <c r="L359" s="20"/>
      <c r="M359" s="20"/>
      <c r="N359" s="20"/>
      <c r="O359" s="20"/>
      <c r="P359" s="20"/>
      <c r="Q359" s="20"/>
      <c r="R359" s="20"/>
      <c r="S359" s="20"/>
      <c r="T359" s="20"/>
      <c r="U359" s="20"/>
      <c r="V359" s="20"/>
      <c r="W359" s="20"/>
      <c r="X359" s="20"/>
      <c r="Y359" s="20"/>
      <c r="Z359" s="20"/>
      <c r="AA359" s="20"/>
      <c r="AB359" s="20"/>
      <c r="AC359" s="21"/>
      <c r="AD359" s="22"/>
    </row>
    <row r="360" spans="1:30" s="23" customFormat="1" x14ac:dyDescent="0.3">
      <c r="A360" s="18"/>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1"/>
      <c r="AD360" s="22"/>
    </row>
    <row r="361" spans="1:30" s="23" customFormat="1" x14ac:dyDescent="0.3">
      <c r="A361" s="18"/>
      <c r="B361" s="19" t="s">
        <v>152</v>
      </c>
      <c r="C361" s="19"/>
      <c r="D361" s="217" t="s">
        <v>122</v>
      </c>
      <c r="E361" s="19"/>
      <c r="F361" s="19" t="s">
        <v>168</v>
      </c>
      <c r="G361" s="19"/>
      <c r="H361" s="19"/>
      <c r="I361" s="20"/>
      <c r="J361" s="20"/>
      <c r="K361" s="20"/>
      <c r="L361" s="20"/>
      <c r="M361" s="20"/>
      <c r="N361" s="20"/>
      <c r="O361" s="20"/>
      <c r="P361" s="20"/>
      <c r="Q361" s="20"/>
      <c r="R361" s="20"/>
      <c r="S361" s="20"/>
      <c r="T361" s="20"/>
      <c r="U361" s="20"/>
      <c r="V361" s="20"/>
      <c r="W361" s="20"/>
      <c r="X361" s="20"/>
      <c r="Y361" s="20"/>
      <c r="Z361" s="20"/>
      <c r="AA361" s="20"/>
      <c r="AB361" s="20"/>
      <c r="AC361" s="21"/>
      <c r="AD361" s="22"/>
    </row>
    <row r="362" spans="1:30" s="23" customFormat="1" x14ac:dyDescent="0.3">
      <c r="A362" s="18"/>
      <c r="B362" s="19" t="s">
        <v>153</v>
      </c>
      <c r="C362" s="19"/>
      <c r="D362" s="217" t="s">
        <v>98</v>
      </c>
      <c r="E362" s="19"/>
      <c r="F362" s="19" t="s">
        <v>169</v>
      </c>
      <c r="G362" s="19"/>
      <c r="H362" s="19"/>
      <c r="I362" s="20"/>
      <c r="J362" s="20"/>
      <c r="K362" s="20"/>
      <c r="L362" s="20"/>
      <c r="M362" s="20"/>
      <c r="N362" s="20"/>
      <c r="O362" s="20"/>
      <c r="P362" s="20"/>
      <c r="Q362" s="20"/>
      <c r="R362" s="20"/>
      <c r="S362" s="20"/>
      <c r="T362" s="20"/>
      <c r="U362" s="20"/>
      <c r="V362" s="20"/>
      <c r="W362" s="20"/>
      <c r="X362" s="20"/>
      <c r="Y362" s="20"/>
      <c r="Z362" s="20"/>
      <c r="AA362" s="20"/>
      <c r="AB362" s="20"/>
      <c r="AC362" s="21"/>
      <c r="AD362" s="22"/>
    </row>
    <row r="363" spans="1:30" s="23" customFormat="1" x14ac:dyDescent="0.3">
      <c r="A363" s="18"/>
      <c r="B363" s="19"/>
      <c r="C363" s="19"/>
      <c r="D363" s="217"/>
      <c r="E363" s="19"/>
      <c r="F363" s="19"/>
      <c r="G363" s="19"/>
      <c r="H363" s="19"/>
      <c r="I363" s="20"/>
      <c r="J363" s="20"/>
      <c r="K363" s="20"/>
      <c r="L363" s="20"/>
      <c r="M363" s="20"/>
      <c r="N363" s="20"/>
      <c r="O363" s="20"/>
      <c r="P363" s="20"/>
      <c r="Q363" s="20"/>
      <c r="R363" s="20"/>
      <c r="S363" s="20"/>
      <c r="T363" s="20"/>
      <c r="U363" s="20"/>
      <c r="V363" s="20"/>
      <c r="W363" s="20"/>
      <c r="X363" s="20"/>
      <c r="Y363" s="20"/>
      <c r="Z363" s="20"/>
      <c r="AA363" s="20"/>
      <c r="AB363" s="20"/>
      <c r="AC363" s="21"/>
      <c r="AD363" s="22"/>
    </row>
    <row r="364" spans="1:30" s="23" customFormat="1" x14ac:dyDescent="0.3">
      <c r="A364" s="18"/>
      <c r="B364" s="257" t="s">
        <v>333</v>
      </c>
      <c r="C364" s="19"/>
      <c r="D364" s="217"/>
      <c r="E364" s="19"/>
      <c r="F364" s="19"/>
      <c r="G364" s="19"/>
      <c r="H364" s="19"/>
      <c r="I364" s="20"/>
      <c r="J364" s="20"/>
      <c r="K364" s="20"/>
      <c r="L364" s="20"/>
      <c r="M364" s="20"/>
      <c r="N364" s="20"/>
      <c r="O364" s="20"/>
      <c r="P364" s="20"/>
      <c r="Q364" s="20"/>
      <c r="R364" s="20"/>
      <c r="S364" s="20"/>
      <c r="T364" s="20"/>
      <c r="U364" s="20"/>
      <c r="V364" s="20"/>
      <c r="W364" s="20"/>
      <c r="X364" s="20"/>
      <c r="Y364" s="20"/>
      <c r="Z364" s="20"/>
      <c r="AA364" s="20"/>
      <c r="AB364" s="20"/>
      <c r="AC364" s="21"/>
      <c r="AD364" s="22"/>
    </row>
    <row r="365" spans="1:30" x14ac:dyDescent="0.3">
      <c r="A365" s="218"/>
      <c r="B365" s="258"/>
      <c r="C365" s="219"/>
      <c r="D365" s="220"/>
      <c r="E365" s="220"/>
      <c r="F365" s="220"/>
      <c r="G365" s="220"/>
      <c r="H365" s="220"/>
      <c r="I365" s="220"/>
      <c r="J365" s="220"/>
      <c r="K365" s="220"/>
      <c r="L365" s="220"/>
      <c r="M365" s="220"/>
      <c r="N365" s="220"/>
      <c r="O365" s="220"/>
      <c r="P365" s="220"/>
      <c r="Q365" s="220"/>
      <c r="R365" s="220"/>
      <c r="S365" s="220"/>
      <c r="T365" s="220"/>
      <c r="U365" s="220"/>
      <c r="V365" s="220"/>
      <c r="W365" s="220"/>
      <c r="X365" s="220"/>
      <c r="Y365" s="220"/>
      <c r="Z365" s="220"/>
      <c r="AA365" s="220"/>
      <c r="AB365" s="220"/>
      <c r="AC365" s="221"/>
      <c r="AD365" s="5"/>
    </row>
    <row r="366" spans="1:30" ht="18" x14ac:dyDescent="0.35">
      <c r="A366" s="218"/>
      <c r="B366" s="259" t="s">
        <v>109</v>
      </c>
      <c r="C366" s="219"/>
      <c r="D366" s="220"/>
      <c r="E366" s="220"/>
      <c r="F366" s="220"/>
      <c r="G366" s="220"/>
      <c r="H366" s="220"/>
      <c r="I366" s="220"/>
      <c r="J366" s="220"/>
      <c r="K366" s="220"/>
      <c r="L366" s="220"/>
      <c r="M366" s="220"/>
      <c r="N366" s="220"/>
      <c r="O366" s="220"/>
      <c r="P366" s="260" t="s">
        <v>167</v>
      </c>
      <c r="Q366" s="220"/>
      <c r="R366" s="220"/>
      <c r="S366" s="220"/>
      <c r="T366" s="220"/>
      <c r="U366" s="220"/>
      <c r="V366" s="220"/>
      <c r="W366" s="220"/>
      <c r="X366" s="220"/>
      <c r="Y366" s="220"/>
      <c r="Z366" s="220"/>
      <c r="AA366" s="220"/>
      <c r="AB366" s="220"/>
      <c r="AC366" s="221"/>
      <c r="AD366" s="5"/>
    </row>
    <row r="367" spans="1:30" ht="18" x14ac:dyDescent="0.35">
      <c r="A367" s="218"/>
      <c r="B367" s="259"/>
      <c r="C367" s="219"/>
      <c r="D367" s="220"/>
      <c r="E367" s="220"/>
      <c r="F367" s="220"/>
      <c r="G367" s="220"/>
      <c r="H367" s="220"/>
      <c r="I367" s="220"/>
      <c r="J367" s="220"/>
      <c r="K367" s="220"/>
      <c r="L367" s="220"/>
      <c r="M367" s="220"/>
      <c r="N367" s="220"/>
      <c r="O367" s="220"/>
      <c r="P367" s="260"/>
      <c r="Q367" s="220"/>
      <c r="R367" s="220"/>
      <c r="S367" s="220"/>
      <c r="T367" s="220"/>
      <c r="U367" s="220"/>
      <c r="V367" s="220"/>
      <c r="W367" s="220"/>
      <c r="X367" s="220"/>
      <c r="Y367" s="220"/>
      <c r="Z367" s="220"/>
      <c r="AA367" s="220"/>
      <c r="AB367" s="220"/>
      <c r="AC367" s="221"/>
      <c r="AD367" s="5"/>
    </row>
    <row r="368" spans="1:30" ht="18.600000000000001" thickBot="1" x14ac:dyDescent="0.4">
      <c r="A368" s="218"/>
      <c r="B368" s="222" t="str">
        <f>B237</f>
        <v>PM26 INVESTOR REPORT QUARTER ENDING APRIL 2021</v>
      </c>
      <c r="C368" s="219"/>
      <c r="D368" s="220"/>
      <c r="E368" s="220"/>
      <c r="F368" s="220"/>
      <c r="G368" s="220"/>
      <c r="H368" s="220"/>
      <c r="I368" s="220"/>
      <c r="J368" s="220"/>
      <c r="K368" s="220"/>
      <c r="L368" s="220"/>
      <c r="M368" s="220"/>
      <c r="N368" s="220"/>
      <c r="O368" s="220"/>
      <c r="P368" s="220"/>
      <c r="Q368" s="220"/>
      <c r="R368" s="220"/>
      <c r="S368" s="220"/>
      <c r="T368" s="220"/>
      <c r="U368" s="220"/>
      <c r="V368" s="220"/>
      <c r="W368" s="220"/>
      <c r="X368" s="220"/>
      <c r="Y368" s="220"/>
      <c r="Z368" s="220"/>
      <c r="AA368" s="220"/>
      <c r="AB368" s="220"/>
      <c r="AC368" s="223"/>
      <c r="AD368" s="5"/>
    </row>
    <row r="369" spans="1:29" x14ac:dyDescent="0.3">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c r="W369" s="224"/>
      <c r="X369" s="224"/>
      <c r="Y369" s="224"/>
      <c r="Z369" s="224"/>
      <c r="AA369" s="224"/>
      <c r="AB369" s="224"/>
      <c r="AC369" s="224"/>
    </row>
    <row r="370" spans="1:29" x14ac:dyDescent="0.3">
      <c r="B370" s="6" t="s">
        <v>307</v>
      </c>
    </row>
    <row r="372" spans="1:29" x14ac:dyDescent="0.3">
      <c r="B372" s="279" t="s">
        <v>315</v>
      </c>
    </row>
    <row r="373" spans="1:29" x14ac:dyDescent="0.3">
      <c r="B373" s="270" t="s">
        <v>316</v>
      </c>
    </row>
    <row r="374" spans="1:29" x14ac:dyDescent="0.3">
      <c r="B374" s="270" t="s">
        <v>317</v>
      </c>
    </row>
    <row r="375" spans="1:29" x14ac:dyDescent="0.3">
      <c r="B375" s="270" t="s">
        <v>318</v>
      </c>
    </row>
    <row r="376" spans="1:29" x14ac:dyDescent="0.3">
      <c r="B376" s="270" t="s">
        <v>319</v>
      </c>
    </row>
    <row r="377" spans="1:29" x14ac:dyDescent="0.3">
      <c r="B377" s="270" t="s">
        <v>320</v>
      </c>
    </row>
    <row r="378" spans="1:29" x14ac:dyDescent="0.3">
      <c r="B378" s="270" t="s">
        <v>321</v>
      </c>
    </row>
    <row r="379" spans="1:29" x14ac:dyDescent="0.3">
      <c r="B379" s="270" t="s">
        <v>322</v>
      </c>
    </row>
    <row r="380" spans="1:29" x14ac:dyDescent="0.3">
      <c r="B380" s="270"/>
    </row>
    <row r="381" spans="1:29" s="270" customFormat="1" x14ac:dyDescent="0.3">
      <c r="B381" s="279" t="s">
        <v>339</v>
      </c>
    </row>
    <row r="382" spans="1:29" s="270" customFormat="1" x14ac:dyDescent="0.3">
      <c r="B382" s="270" t="s">
        <v>344</v>
      </c>
    </row>
    <row r="383" spans="1:29" s="270" customFormat="1" x14ac:dyDescent="0.3">
      <c r="B383" s="270" t="s">
        <v>347</v>
      </c>
    </row>
    <row r="384" spans="1:29" x14ac:dyDescent="0.3">
      <c r="B384" s="270"/>
    </row>
    <row r="385" spans="2:2" x14ac:dyDescent="0.3">
      <c r="B385" s="279" t="s">
        <v>323</v>
      </c>
    </row>
    <row r="386" spans="2:2" x14ac:dyDescent="0.3">
      <c r="B386" s="270" t="s">
        <v>324</v>
      </c>
    </row>
    <row r="387" spans="2:2" x14ac:dyDescent="0.3">
      <c r="B387" s="270" t="s">
        <v>332</v>
      </c>
    </row>
    <row r="388" spans="2:2" x14ac:dyDescent="0.3">
      <c r="B388" s="271"/>
    </row>
    <row r="389" spans="2:2" x14ac:dyDescent="0.3">
      <c r="B389" s="271"/>
    </row>
  </sheetData>
  <hyperlinks>
    <hyperlink ref="K9" r:id="rId1" display="http://www.paragon-group.co.uk" xr:uid="{A08B0908-D973-4825-B117-72663BF2A293}"/>
    <hyperlink ref="P366" r:id="rId2" xr:uid="{4A855F70-FE2F-49E5-8BBE-4595674600D8}"/>
    <hyperlink ref="P277" r:id="rId3" xr:uid="{304F24A0-99AA-4C0D-B97B-19605A704F0A}"/>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4" max="18" man="1"/>
    <brk id="134" max="18" man="1"/>
    <brk id="237" max="18" man="1"/>
  </rowBreaks>
  <colBreaks count="1" manualBreakCount="1">
    <brk id="29" max="299" man="1"/>
  </colBreaks>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35179-A5E2-4519-9D15-EC37D4587503}">
  <sheetPr>
    <tabColor rgb="FF2D2926"/>
  </sheetPr>
  <dimension ref="A1:JB393"/>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0.24740000000000001</v>
      </c>
      <c r="Z17" s="29" t="s">
        <v>258</v>
      </c>
      <c r="AA17" s="29">
        <v>0.75260000000000005</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44431</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215</v>
      </c>
      <c r="I27" s="229"/>
      <c r="J27" s="229" t="s">
        <v>269</v>
      </c>
      <c r="K27" s="229"/>
      <c r="L27" s="229" t="s">
        <v>270</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205254.81746999998</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6454.45694</v>
      </c>
      <c r="Q30" s="54"/>
      <c r="R30" s="54">
        <v>979</v>
      </c>
      <c r="S30" s="54"/>
      <c r="T30" s="54" t="s">
        <v>83</v>
      </c>
      <c r="U30" s="54"/>
      <c r="V30" s="54" t="s">
        <v>83</v>
      </c>
      <c r="W30" s="54"/>
      <c r="X30" s="54" t="s">
        <v>83</v>
      </c>
      <c r="Y30" s="54" t="s">
        <v>83</v>
      </c>
      <c r="Z30" s="54"/>
      <c r="AA30" s="49"/>
      <c r="AB30" s="50">
        <f>SUM(D30:N30)</f>
        <v>440297.81747000001</v>
      </c>
      <c r="AC30" s="51"/>
      <c r="AD30" s="22"/>
    </row>
    <row r="31" spans="1:33" s="23" customFormat="1" x14ac:dyDescent="0.3">
      <c r="A31" s="47"/>
      <c r="B31" s="44" t="s">
        <v>92</v>
      </c>
      <c r="C31" s="49"/>
      <c r="D31" s="57">
        <f>D29*D32</f>
        <v>188588.38553</v>
      </c>
      <c r="E31" s="57"/>
      <c r="F31" s="57">
        <f>F29</f>
        <v>151540</v>
      </c>
      <c r="G31" s="57"/>
      <c r="H31" s="57">
        <f>H29</f>
        <v>24741</v>
      </c>
      <c r="I31" s="57"/>
      <c r="J31" s="57">
        <f>J29</f>
        <v>18555</v>
      </c>
      <c r="K31" s="57"/>
      <c r="L31" s="57">
        <f>L29</f>
        <v>20102</v>
      </c>
      <c r="M31" s="57"/>
      <c r="N31" s="57">
        <f>N29</f>
        <v>20105</v>
      </c>
      <c r="O31" s="57"/>
      <c r="P31" s="57">
        <f>P29*P32</f>
        <v>6302.9214100000008</v>
      </c>
      <c r="Q31" s="57"/>
      <c r="R31" s="57">
        <v>0</v>
      </c>
      <c r="S31" s="57"/>
      <c r="T31" s="57" t="s">
        <v>83</v>
      </c>
      <c r="U31" s="57"/>
      <c r="V31" s="57" t="s">
        <v>83</v>
      </c>
      <c r="W31" s="57"/>
      <c r="X31" s="57" t="s">
        <v>83</v>
      </c>
      <c r="Y31" s="57" t="s">
        <v>83</v>
      </c>
      <c r="Z31" s="57"/>
      <c r="AA31" s="49"/>
      <c r="AB31" s="56">
        <f>SUM(D31:N31)</f>
        <v>423631.38552999997</v>
      </c>
      <c r="AC31" s="51"/>
      <c r="AD31" s="22"/>
      <c r="AE31" s="235"/>
    </row>
    <row r="32" spans="1:33" s="65" customFormat="1" x14ac:dyDescent="0.3">
      <c r="A32" s="58"/>
      <c r="B32" s="166" t="s">
        <v>88</v>
      </c>
      <c r="C32" s="61"/>
      <c r="D32" s="60">
        <v>0.49176999999999998</v>
      </c>
      <c r="E32" s="60"/>
      <c r="F32" s="60">
        <v>1</v>
      </c>
      <c r="G32" s="60"/>
      <c r="H32" s="60">
        <v>1</v>
      </c>
      <c r="I32" s="60"/>
      <c r="J32" s="60">
        <v>1</v>
      </c>
      <c r="K32" s="60"/>
      <c r="L32" s="60">
        <v>1</v>
      </c>
      <c r="M32" s="60"/>
      <c r="N32" s="60">
        <v>1</v>
      </c>
      <c r="O32" s="60"/>
      <c r="P32" s="60">
        <v>0.61933000000000005</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0.53522999999999998</v>
      </c>
      <c r="E33" s="60"/>
      <c r="F33" s="60">
        <v>1</v>
      </c>
      <c r="G33" s="60"/>
      <c r="H33" s="60">
        <v>1</v>
      </c>
      <c r="I33" s="60"/>
      <c r="J33" s="60">
        <v>1</v>
      </c>
      <c r="K33" s="60"/>
      <c r="L33" s="60">
        <v>1</v>
      </c>
      <c r="M33" s="60"/>
      <c r="N33" s="60">
        <v>1</v>
      </c>
      <c r="O33" s="60"/>
      <c r="P33" s="60">
        <v>0.63422000000000001</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1.1000899999999999E-2</v>
      </c>
      <c r="E35" s="241"/>
      <c r="F35" s="241">
        <v>1.2500900000000001E-2</v>
      </c>
      <c r="G35" s="241"/>
      <c r="H35" s="241">
        <v>1.9500900000000002E-2</v>
      </c>
      <c r="I35" s="241"/>
      <c r="J35" s="241">
        <v>2.3000900000000001E-2</v>
      </c>
      <c r="K35" s="241"/>
      <c r="L35" s="241">
        <v>2.6500900000000001E-2</v>
      </c>
      <c r="M35" s="241"/>
      <c r="N35" s="241">
        <v>3.6500900000000003E-2</v>
      </c>
      <c r="O35" s="241"/>
      <c r="P35" s="241">
        <v>4.0500899999999999E-2</v>
      </c>
      <c r="Q35" s="241"/>
      <c r="R35" s="241">
        <v>4.0500899999999999E-2</v>
      </c>
      <c r="S35" s="68"/>
      <c r="T35" s="68" t="s">
        <v>83</v>
      </c>
      <c r="U35" s="68"/>
      <c r="V35" s="68" t="s">
        <v>83</v>
      </c>
      <c r="W35" s="68"/>
      <c r="X35" s="68" t="s">
        <v>83</v>
      </c>
      <c r="Y35" s="68" t="s">
        <v>83</v>
      </c>
      <c r="Z35" s="68"/>
      <c r="AA35" s="40"/>
      <c r="AB35" s="67">
        <f>SUMPRODUCT(D35:N35,D30:N30)/AB30</f>
        <v>1.4372542876928747E-2</v>
      </c>
      <c r="AC35" s="43"/>
      <c r="AD35" s="22"/>
    </row>
    <row r="36" spans="1:30" s="23" customFormat="1" x14ac:dyDescent="0.3">
      <c r="A36" s="47"/>
      <c r="B36" s="40" t="s">
        <v>10</v>
      </c>
      <c r="C36" s="69"/>
      <c r="D36" s="241">
        <v>1.09871E-2</v>
      </c>
      <c r="E36" s="241"/>
      <c r="F36" s="241">
        <v>1.2487099999999999E-2</v>
      </c>
      <c r="G36" s="241"/>
      <c r="H36" s="241">
        <v>1.94871E-2</v>
      </c>
      <c r="I36" s="241"/>
      <c r="J36" s="241">
        <v>2.29871E-2</v>
      </c>
      <c r="K36" s="241"/>
      <c r="L36" s="241">
        <v>2.64871E-2</v>
      </c>
      <c r="M36" s="241"/>
      <c r="N36" s="241">
        <v>3.6487100000000001E-2</v>
      </c>
      <c r="O36" s="241"/>
      <c r="P36" s="241">
        <v>4.0487099999999998E-2</v>
      </c>
      <c r="Q36" s="241"/>
      <c r="R36" s="241">
        <v>4.0487099999999998E-2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0.2455043552742083</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44424</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91</v>
      </c>
      <c r="Y48" s="40"/>
      <c r="Z48" s="76">
        <v>44242</v>
      </c>
      <c r="AA48" s="77"/>
      <c r="AB48" s="76">
        <v>44332</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91</v>
      </c>
      <c r="Y49" s="40"/>
      <c r="Z49" s="76">
        <v>44333</v>
      </c>
      <c r="AA49" s="77"/>
      <c r="AB49" s="76">
        <v>44423</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44423</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351</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440298</v>
      </c>
      <c r="S58" s="238"/>
      <c r="T58" s="237">
        <f>157+192</f>
        <v>349</v>
      </c>
      <c r="U58" s="238"/>
      <c r="V58" s="238">
        <v>16318</v>
      </c>
      <c r="W58" s="238"/>
      <c r="X58" s="238">
        <v>0</v>
      </c>
      <c r="Y58" s="238"/>
      <c r="Z58" s="238">
        <v>0</v>
      </c>
      <c r="AA58" s="238"/>
      <c r="AB58" s="237">
        <f>R58-T58-V58+X58-Z58</f>
        <v>423631</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440298</v>
      </c>
      <c r="S61" s="238"/>
      <c r="T61" s="238">
        <f>T58+T59</f>
        <v>349</v>
      </c>
      <c r="U61" s="238"/>
      <c r="V61" s="238">
        <f>SUM(V58:V60)</f>
        <v>16318</v>
      </c>
      <c r="W61" s="238"/>
      <c r="X61" s="238">
        <f>SUM(X58:X60)</f>
        <v>0</v>
      </c>
      <c r="Y61" s="238"/>
      <c r="Z61" s="238">
        <f>SUM(Z58:Z60)</f>
        <v>0</v>
      </c>
      <c r="AA61" s="238"/>
      <c r="AB61" s="238">
        <f>SUM(AB58:AB60)</f>
        <v>423631</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0</v>
      </c>
      <c r="S64" s="238"/>
      <c r="T64" s="238">
        <v>0</v>
      </c>
      <c r="U64" s="238"/>
      <c r="V64" s="238">
        <v>0</v>
      </c>
      <c r="W64" s="238"/>
      <c r="X64" s="238"/>
      <c r="Y64" s="238"/>
      <c r="Z64" s="238"/>
      <c r="AA64" s="238"/>
      <c r="AB64" s="238">
        <f>R64+V64</f>
        <v>0</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440298</v>
      </c>
      <c r="S67" s="238"/>
      <c r="T67" s="238"/>
      <c r="U67" s="238"/>
      <c r="V67" s="238"/>
      <c r="W67" s="238"/>
      <c r="X67" s="238"/>
      <c r="Y67" s="238"/>
      <c r="Z67" s="238"/>
      <c r="AA67" s="238"/>
      <c r="AB67" s="238">
        <f>SUM(AB61:AB66)</f>
        <v>423631</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44407</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0</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+T58+V58+Z58-1</f>
        <v>16666</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3693+1534-662-427</f>
        <v>4138</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246+75</f>
        <v>321</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151</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1291</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16666</v>
      </c>
      <c r="AA84" s="40"/>
      <c r="AB84" s="97">
        <f>SUM(AB71:AB83)</f>
        <v>5901</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16666</v>
      </c>
      <c r="AA87" s="40"/>
      <c r="AB87" s="97">
        <f>AB84+AB85+AB86</f>
        <v>5901</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-223-10-7</f>
        <v>-240</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-503</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-563</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-472</v>
      </c>
      <c r="AC94" s="114"/>
      <c r="AD94" s="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-120</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-106</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-133</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1</v>
      </c>
      <c r="AA101" s="112"/>
      <c r="AB101" s="98">
        <v>-1</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-1000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-183</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-65</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-151</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-12-89</f>
        <v>-101</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-2237</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-16667</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-16667</v>
      </c>
      <c r="AA130" s="97"/>
      <c r="AB130" s="97">
        <f>SUM(AB88:AB128)</f>
        <v>-5901</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0</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JULY 2021</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+'April 21'!AB146</f>
        <v>5874.5499999999993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-151</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5723.5499999999993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+'April 21'!AB159</f>
        <v>579.85500000000002</v>
      </c>
      <c r="AC150" s="43"/>
      <c r="AD150" s="22"/>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+'April 21'!AB165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+'April 21'!AB173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1</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1</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-1</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+'April 21'!AB182</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+'April 21'!AB190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+'April 21'!AB198</f>
        <v>1135</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1081</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1291</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356</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925</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+'April 21'!AB206</f>
        <v>1114</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v>1081</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1000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AB203-AB204+AB205</f>
        <v>1033</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+'April 21'!Y213</f>
        <v>0</v>
      </c>
      <c r="Z211" s="98">
        <f>+'April 21'!Z213</f>
        <v>5</v>
      </c>
      <c r="AA211" s="40"/>
      <c r="AB211" s="98">
        <f>Y211+Z211</f>
        <v>5</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259</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355779</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363479</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-7700</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6.1000000000000004E-3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4.9816425120772942</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3.31</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34.341666666666669</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26.03</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37.745283018867923</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28.73</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29.285714285714285</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22.49</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20.557377049180328</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15.91</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JULY 2021</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44407</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1"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2.0008281159907649E-2</v>
      </c>
      <c r="AA241" s="40"/>
      <c r="AB241" s="40"/>
      <c r="AC241" s="43"/>
      <c r="AD241" s="22"/>
    </row>
    <row r="242" spans="1:31"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1"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3.8109999999999998E-2</v>
      </c>
      <c r="AA243" s="40"/>
      <c r="AB243" s="40"/>
      <c r="AC243" s="43"/>
      <c r="AD243" s="22"/>
    </row>
    <row r="244" spans="1:31"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1.4372542876928747E-2</v>
      </c>
      <c r="AA244" s="40"/>
      <c r="AB244" s="40"/>
      <c r="AC244" s="43"/>
      <c r="AD244" s="22"/>
    </row>
    <row r="245" spans="1:31"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2.3737457123071251E-2</v>
      </c>
      <c r="AA245" s="40"/>
      <c r="AB245" s="40"/>
      <c r="AC245" s="43"/>
      <c r="AD245" s="22"/>
    </row>
    <row r="246" spans="1:31"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(+AB87+AB89)/R67</f>
        <v>1.3402286633143917E-2</v>
      </c>
      <c r="AA246" s="40"/>
      <c r="AB246" s="40"/>
      <c r="AC246" s="43"/>
      <c r="AD246" s="22"/>
    </row>
    <row r="247" spans="1:31"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1"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1"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1"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1"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1"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1"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1"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1"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16.64</v>
      </c>
      <c r="AA255" s="40" t="s">
        <v>76</v>
      </c>
      <c r="AB255" s="40"/>
      <c r="AC255" s="43"/>
      <c r="AD255" s="22"/>
    </row>
    <row r="256" spans="1:31"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3.7853908035012651E-2</v>
      </c>
      <c r="AA256" s="40"/>
      <c r="AB256" s="40"/>
      <c r="AC256" s="43"/>
      <c r="AD256" s="22"/>
      <c r="AE256" s="271"/>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0.1633</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0</v>
      </c>
      <c r="Z260" s="157">
        <v>0</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0</v>
      </c>
      <c r="Z261" s="162">
        <f>+Z313</f>
        <v>0</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+X335</f>
        <v>0</v>
      </c>
      <c r="Z262" s="162">
        <f>+Z335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1</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'April 21'!Z267+Z266</f>
        <v>14</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0</v>
      </c>
      <c r="Z273" s="162">
        <v>0</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0</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261" t="s">
        <v>167</v>
      </c>
      <c r="Q277" s="182"/>
      <c r="R277" s="182"/>
      <c r="S277" s="182"/>
      <c r="T277" s="182"/>
      <c r="U277" s="182"/>
      <c r="V277" s="182"/>
      <c r="W277" s="59"/>
      <c r="X277" s="183"/>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 t="shared" ref="X280:X287" si="1">+X292+X304+X326</f>
        <v>2361</v>
      </c>
      <c r="Y280" s="192">
        <f>X280/$X$289</f>
        <v>0.9962025316455696</v>
      </c>
      <c r="Z280" s="107">
        <f t="shared" ref="Z280:Z287" si="2">+Z292+Z304+Z326</f>
        <v>421596</v>
      </c>
      <c r="AA280" s="192">
        <f t="shared" ref="AA280:AA287" si="3">Z280/$Z$289</f>
        <v>0.99519629111184027</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 t="shared" si="1"/>
        <v>3</v>
      </c>
      <c r="Y281" s="196">
        <f t="shared" ref="Y281:Y287" si="4">X281/$X$289</f>
        <v>1.2658227848101266E-3</v>
      </c>
      <c r="Z281" s="197">
        <f t="shared" si="2"/>
        <v>532</v>
      </c>
      <c r="AA281" s="198">
        <f t="shared" si="3"/>
        <v>1.2558098911552742E-3</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1"/>
        <v>0</v>
      </c>
      <c r="Y282" s="200">
        <f t="shared" si="4"/>
        <v>0</v>
      </c>
      <c r="Z282" s="131">
        <f t="shared" si="2"/>
        <v>0</v>
      </c>
      <c r="AA282" s="198">
        <f t="shared" si="3"/>
        <v>0</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1</v>
      </c>
      <c r="Y283" s="200">
        <f t="shared" si="4"/>
        <v>4.219409282700422E-4</v>
      </c>
      <c r="Z283" s="131">
        <f t="shared" si="2"/>
        <v>154</v>
      </c>
      <c r="AA283" s="198">
        <f t="shared" si="3"/>
        <v>3.6352391586073727E-4</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1</v>
      </c>
      <c r="Y284" s="200">
        <f t="shared" si="4"/>
        <v>4.219409282700422E-4</v>
      </c>
      <c r="Z284" s="131">
        <f t="shared" si="2"/>
        <v>138</v>
      </c>
      <c r="AA284" s="198">
        <f t="shared" si="3"/>
        <v>3.2575519732975161E-4</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1</v>
      </c>
      <c r="Y285" s="200">
        <f t="shared" si="4"/>
        <v>4.219409282700422E-4</v>
      </c>
      <c r="Z285" s="131">
        <f t="shared" si="2"/>
        <v>83</v>
      </c>
      <c r="AA285" s="198">
        <f t="shared" si="3"/>
        <v>1.9592522737948829E-4</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1"/>
        <v>2</v>
      </c>
      <c r="Y286" s="202">
        <f t="shared" si="4"/>
        <v>8.438818565400844E-4</v>
      </c>
      <c r="Z286" s="203">
        <f t="shared" si="2"/>
        <v>849</v>
      </c>
      <c r="AA286" s="198">
        <f t="shared" si="3"/>
        <v>2.0041026270504283E-3</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 t="shared" si="1"/>
        <v>1</v>
      </c>
      <c r="Y287" s="198">
        <f t="shared" si="4"/>
        <v>4.219409282700422E-4</v>
      </c>
      <c r="Z287" s="107">
        <f t="shared" si="2"/>
        <v>279</v>
      </c>
      <c r="AA287" s="198">
        <f t="shared" si="3"/>
        <v>6.5859202938406305E-4</v>
      </c>
      <c r="AB287" s="163"/>
      <c r="AC287" s="175"/>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2370</v>
      </c>
      <c r="Y289" s="198">
        <f>SUM(Y280:Y288)</f>
        <v>1</v>
      </c>
      <c r="Z289" s="98">
        <f>SUM(Z280:Z288)</f>
        <v>423631</v>
      </c>
      <c r="AA289" s="198">
        <f>SUM(AA280:AA288)</f>
        <v>0.99999999999999989</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2361</v>
      </c>
      <c r="Y292" s="192">
        <f>X292/$X$301</f>
        <v>0.9962025316455696</v>
      </c>
      <c r="Z292" s="107">
        <v>421596</v>
      </c>
      <c r="AA292" s="192">
        <f>Z292/$Z$301</f>
        <v>0.99519629111184027</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3</v>
      </c>
      <c r="Y293" s="198">
        <f t="shared" ref="Y293:Y299" si="5">X293/$X$301</f>
        <v>1.2658227848101266E-3</v>
      </c>
      <c r="Z293" s="98">
        <v>532</v>
      </c>
      <c r="AA293" s="198">
        <f t="shared" ref="AA293:AA299" si="6">Z293/$Z$301</f>
        <v>1.2558098911552742E-3</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5"/>
        <v>0</v>
      </c>
      <c r="Z294" s="98">
        <v>0</v>
      </c>
      <c r="AA294" s="198">
        <f t="shared" si="6"/>
        <v>0</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1</v>
      </c>
      <c r="Y295" s="198">
        <f t="shared" si="5"/>
        <v>4.219409282700422E-4</v>
      </c>
      <c r="Z295" s="98">
        <v>154</v>
      </c>
      <c r="AA295" s="198">
        <f t="shared" si="6"/>
        <v>3.6352391586073727E-4</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1</v>
      </c>
      <c r="Y296" s="198">
        <f t="shared" si="5"/>
        <v>4.219409282700422E-4</v>
      </c>
      <c r="Z296" s="98">
        <v>138</v>
      </c>
      <c r="AA296" s="198">
        <f t="shared" si="6"/>
        <v>3.2575519732975161E-4</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1</v>
      </c>
      <c r="Y297" s="198">
        <f t="shared" si="5"/>
        <v>4.219409282700422E-4</v>
      </c>
      <c r="Z297" s="98">
        <v>83</v>
      </c>
      <c r="AA297" s="198">
        <f t="shared" si="6"/>
        <v>1.9592522737948829E-4</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2</v>
      </c>
      <c r="Y298" s="198">
        <f>X298/$X$301</f>
        <v>8.438818565400844E-4</v>
      </c>
      <c r="Z298" s="98">
        <v>849</v>
      </c>
      <c r="AA298" s="198">
        <f t="shared" si="6"/>
        <v>2.0041026270504283E-3</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1</v>
      </c>
      <c r="Y299" s="198">
        <f t="shared" si="5"/>
        <v>4.219409282700422E-4</v>
      </c>
      <c r="Z299" s="98">
        <v>279</v>
      </c>
      <c r="AA299" s="198">
        <f t="shared" si="6"/>
        <v>6.5859202938406305E-4</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2370</v>
      </c>
      <c r="Y301" s="198">
        <f>SUM(Y292:Y300)</f>
        <v>1</v>
      </c>
      <c r="Z301" s="98">
        <f>SUM(Z292:Z300)</f>
        <v>423631</v>
      </c>
      <c r="AA301" s="198">
        <f>SUM(AA292:AA300)</f>
        <v>0.99999999999999989</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v>0</v>
      </c>
      <c r="Z310" s="98">
        <v>0</v>
      </c>
      <c r="AA310" s="198">
        <v>0</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0</v>
      </c>
      <c r="Y313" s="198">
        <f>SUM(Y304:Y312)</f>
        <v>0</v>
      </c>
      <c r="Z313" s="98">
        <f>SUM(Z304:Z312)</f>
        <v>0</v>
      </c>
      <c r="AA313" s="198">
        <f>SUM(AA304:AA312)</f>
        <v>0</v>
      </c>
      <c r="AB313" s="40"/>
      <c r="AC313" s="43"/>
      <c r="AD313" s="22"/>
    </row>
    <row r="314" spans="1:30" s="23" customFormat="1" x14ac:dyDescent="0.3">
      <c r="A314" s="47"/>
      <c r="B314" s="40"/>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c r="Y314" s="198"/>
      <c r="Z314" s="98"/>
      <c r="AA314" s="198"/>
      <c r="AB314" s="40"/>
      <c r="AC314" s="43"/>
      <c r="AD314" s="22"/>
    </row>
    <row r="315" spans="1:30" s="23" customFormat="1" x14ac:dyDescent="0.3">
      <c r="A315" s="242"/>
      <c r="B315" s="243" t="s">
        <v>330</v>
      </c>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62" t="s">
        <v>69</v>
      </c>
      <c r="Y315" s="263" t="s">
        <v>70</v>
      </c>
      <c r="Z315" s="262" t="s">
        <v>75</v>
      </c>
      <c r="AA315" s="263" t="s">
        <v>70</v>
      </c>
      <c r="AB315" s="243"/>
      <c r="AC315" s="243"/>
      <c r="AD315" s="22"/>
    </row>
    <row r="316" spans="1:30" s="23" customFormat="1" x14ac:dyDescent="0.3">
      <c r="A316" s="273"/>
      <c r="B316" s="274" t="s">
        <v>326</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6">
        <v>0</v>
      </c>
      <c r="Y316" s="277">
        <v>0</v>
      </c>
      <c r="Z316" s="278">
        <v>0</v>
      </c>
      <c r="AA316" s="277">
        <v>0</v>
      </c>
      <c r="AB316" s="40"/>
      <c r="AC316" s="43"/>
      <c r="AD316" s="22"/>
    </row>
    <row r="317" spans="1:30" s="23" customFormat="1" x14ac:dyDescent="0.3">
      <c r="A317" s="273"/>
      <c r="B317" s="274" t="s">
        <v>327</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6">
        <v>0</v>
      </c>
      <c r="Y317" s="277">
        <v>0</v>
      </c>
      <c r="Z317" s="278">
        <v>0</v>
      </c>
      <c r="AA317" s="277">
        <v>0</v>
      </c>
      <c r="AB317" s="40"/>
      <c r="AC317" s="43"/>
      <c r="AD317" s="22"/>
    </row>
    <row r="318" spans="1:30" s="23" customFormat="1" x14ac:dyDescent="0.3">
      <c r="A318" s="273"/>
      <c r="B318" s="274" t="s">
        <v>328</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6">
        <v>0</v>
      </c>
      <c r="Y318" s="277">
        <v>0</v>
      </c>
      <c r="Z318" s="278">
        <v>0</v>
      </c>
      <c r="AA318" s="277">
        <v>0</v>
      </c>
      <c r="AB318" s="40"/>
      <c r="AC318" s="43"/>
      <c r="AD318" s="22"/>
    </row>
    <row r="319" spans="1:30" s="23" customFormat="1" x14ac:dyDescent="0.3">
      <c r="A319" s="273"/>
      <c r="B319" s="274" t="s">
        <v>329</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6">
        <v>0</v>
      </c>
      <c r="Y319" s="277">
        <v>0</v>
      </c>
      <c r="Z319" s="278">
        <v>0</v>
      </c>
      <c r="AA319" s="277">
        <v>0</v>
      </c>
      <c r="AB319" s="40"/>
      <c r="AC319" s="43"/>
      <c r="AD319" s="22"/>
    </row>
    <row r="320" spans="1:30" s="23" customFormat="1" x14ac:dyDescent="0.3">
      <c r="A320" s="273"/>
      <c r="B320" s="274" t="s">
        <v>334</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6">
        <v>0</v>
      </c>
      <c r="Y320" s="277">
        <v>0</v>
      </c>
      <c r="Z320" s="278">
        <v>0</v>
      </c>
      <c r="AA320" s="277">
        <v>0</v>
      </c>
      <c r="AB320" s="40"/>
      <c r="AC320" s="43"/>
      <c r="AD320" s="22"/>
    </row>
    <row r="321" spans="1:30" s="23" customFormat="1" x14ac:dyDescent="0.3">
      <c r="A321" s="273"/>
      <c r="B321" s="275" t="s">
        <v>331</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276">
        <v>0</v>
      </c>
      <c r="Y321" s="277">
        <v>0</v>
      </c>
      <c r="Z321" s="278">
        <v>0</v>
      </c>
      <c r="AA321" s="277">
        <v>0</v>
      </c>
      <c r="AB321" s="40"/>
      <c r="AC321" s="43"/>
      <c r="AD321" s="22"/>
    </row>
    <row r="322" spans="1:30" s="23" customFormat="1" x14ac:dyDescent="0.3">
      <c r="A322" s="273"/>
      <c r="B322" s="274"/>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276"/>
      <c r="Y322" s="277"/>
      <c r="Z322" s="278"/>
      <c r="AA322" s="277"/>
      <c r="AB322" s="40"/>
      <c r="AC322" s="43"/>
      <c r="AD322" s="22"/>
    </row>
    <row r="323" spans="1:30" s="23" customFormat="1" x14ac:dyDescent="0.3">
      <c r="A323" s="273"/>
      <c r="B323" s="274" t="s">
        <v>80</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f>SUM(X316:X322)</f>
        <v>0</v>
      </c>
      <c r="Y323" s="277">
        <f>SUM(Y316:Y321)</f>
        <v>0</v>
      </c>
      <c r="Z323" s="278">
        <f>SUM(Z316:Z321)</f>
        <v>0</v>
      </c>
      <c r="AA323" s="277">
        <f>SUM(AA316:AA322)</f>
        <v>0</v>
      </c>
      <c r="AB323" s="40"/>
      <c r="AC323" s="43"/>
      <c r="AD323" s="22"/>
    </row>
    <row r="324" spans="1:30" x14ac:dyDescent="0.3">
      <c r="A324" s="7"/>
      <c r="B324" s="99"/>
      <c r="C324" s="99"/>
      <c r="D324" s="205"/>
      <c r="E324" s="205"/>
      <c r="F324" s="205"/>
      <c r="G324" s="205"/>
      <c r="H324" s="205"/>
      <c r="I324" s="205"/>
      <c r="J324" s="205"/>
      <c r="K324" s="205"/>
      <c r="L324" s="205"/>
      <c r="M324" s="205"/>
      <c r="N324" s="205"/>
      <c r="O324" s="205"/>
      <c r="P324" s="205"/>
      <c r="Q324" s="205"/>
      <c r="R324" s="205"/>
      <c r="S324" s="205"/>
      <c r="T324" s="205"/>
      <c r="U324" s="205"/>
      <c r="V324" s="205"/>
      <c r="W324" s="205"/>
      <c r="X324" s="100"/>
      <c r="Y324" s="206"/>
      <c r="Z324" s="207"/>
      <c r="AA324" s="206"/>
      <c r="AB324" s="99"/>
      <c r="AC324" s="10"/>
      <c r="AD324" s="5"/>
    </row>
    <row r="325" spans="1:30" x14ac:dyDescent="0.3">
      <c r="A325" s="33"/>
      <c r="B325" s="102" t="s">
        <v>106</v>
      </c>
      <c r="C325" s="34"/>
      <c r="D325" s="208"/>
      <c r="E325" s="208"/>
      <c r="F325" s="208"/>
      <c r="G325" s="208"/>
      <c r="H325" s="208"/>
      <c r="I325" s="208"/>
      <c r="J325" s="208"/>
      <c r="K325" s="208"/>
      <c r="L325" s="208"/>
      <c r="M325" s="208"/>
      <c r="N325" s="208"/>
      <c r="O325" s="208"/>
      <c r="P325" s="208"/>
      <c r="Q325" s="208"/>
      <c r="R325" s="208"/>
      <c r="S325" s="208"/>
      <c r="T325" s="208"/>
      <c r="U325" s="208"/>
      <c r="V325" s="208"/>
      <c r="W325" s="208"/>
      <c r="X325" s="154" t="s">
        <v>69</v>
      </c>
      <c r="Y325" s="103" t="s">
        <v>70</v>
      </c>
      <c r="Z325" s="154" t="s">
        <v>75</v>
      </c>
      <c r="AA325" s="103" t="s">
        <v>70</v>
      </c>
      <c r="AB325" s="34"/>
      <c r="AC325" s="36"/>
      <c r="AD325" s="5"/>
    </row>
    <row r="326" spans="1:30" s="23" customFormat="1" x14ac:dyDescent="0.3">
      <c r="A326" s="18"/>
      <c r="B326" s="106" t="s">
        <v>59</v>
      </c>
      <c r="C326" s="37"/>
      <c r="D326" s="209"/>
      <c r="E326" s="209"/>
      <c r="F326" s="209"/>
      <c r="G326" s="209"/>
      <c r="H326" s="209"/>
      <c r="I326" s="209"/>
      <c r="J326" s="209"/>
      <c r="K326" s="209"/>
      <c r="L326" s="209"/>
      <c r="M326" s="209"/>
      <c r="N326" s="209"/>
      <c r="O326" s="209"/>
      <c r="P326" s="209"/>
      <c r="Q326" s="209"/>
      <c r="R326" s="209"/>
      <c r="S326" s="209"/>
      <c r="T326" s="209"/>
      <c r="U326" s="209"/>
      <c r="V326" s="209"/>
      <c r="W326" s="209"/>
      <c r="X326" s="106">
        <v>0</v>
      </c>
      <c r="Y326" s="192">
        <v>0</v>
      </c>
      <c r="Z326" s="107">
        <v>0</v>
      </c>
      <c r="AA326" s="192">
        <v>0</v>
      </c>
      <c r="AB326" s="37"/>
      <c r="AC326" s="21"/>
      <c r="AD326" s="22"/>
    </row>
    <row r="327" spans="1:30" s="23" customFormat="1" x14ac:dyDescent="0.3">
      <c r="A327" s="47"/>
      <c r="B327" s="97" t="s">
        <v>60</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61</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100</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101</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102</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103</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104</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c r="Y334" s="198"/>
      <c r="Z334" s="98"/>
      <c r="AA334" s="198"/>
      <c r="AB334" s="40"/>
      <c r="AC334" s="43"/>
      <c r="AD334" s="22"/>
    </row>
    <row r="335" spans="1:30" s="23" customFormat="1" x14ac:dyDescent="0.3">
      <c r="A335" s="47"/>
      <c r="B335" s="40" t="s">
        <v>80</v>
      </c>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f>SUM(X326:X333)</f>
        <v>0</v>
      </c>
      <c r="Y335" s="198">
        <f>SUM(Y326:Y333)</f>
        <v>0</v>
      </c>
      <c r="Z335" s="98">
        <f>SUM(Z326:Z333)</f>
        <v>0</v>
      </c>
      <c r="AA335" s="198">
        <f>SUM(AA326:AA333)</f>
        <v>0</v>
      </c>
      <c r="AB335" s="40"/>
      <c r="AC335" s="43"/>
      <c r="AD335" s="22"/>
    </row>
    <row r="336" spans="1:30" s="23" customFormat="1" x14ac:dyDescent="0.3">
      <c r="A336" s="47"/>
      <c r="B336" s="40"/>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c r="Y336" s="198"/>
      <c r="Z336" s="98"/>
      <c r="AA336" s="198"/>
      <c r="AB336" s="40"/>
      <c r="AC336" s="43"/>
      <c r="AD336" s="22"/>
    </row>
    <row r="337" spans="1:30" s="23" customFormat="1" x14ac:dyDescent="0.3">
      <c r="A337" s="242" t="s">
        <v>313</v>
      </c>
      <c r="B337" s="243" t="s">
        <v>314</v>
      </c>
      <c r="C337" s="244"/>
      <c r="D337" s="244"/>
      <c r="E337" s="244"/>
      <c r="F337" s="244"/>
      <c r="G337" s="244"/>
      <c r="H337" s="245"/>
      <c r="I337" s="245"/>
      <c r="J337" s="245"/>
      <c r="K337" s="245"/>
      <c r="L337" s="245"/>
      <c r="M337" s="245"/>
      <c r="N337" s="245"/>
      <c r="O337" s="245"/>
      <c r="P337" s="246"/>
      <c r="Q337" s="246"/>
      <c r="R337" s="246"/>
      <c r="S337" s="246"/>
      <c r="T337" s="246"/>
      <c r="U337" s="246"/>
      <c r="V337" s="246"/>
      <c r="W337" s="246"/>
      <c r="X337" s="262" t="s">
        <v>69</v>
      </c>
      <c r="Y337" s="263" t="s">
        <v>70</v>
      </c>
      <c r="Z337" s="262" t="s">
        <v>75</v>
      </c>
      <c r="AA337" s="263" t="s">
        <v>70</v>
      </c>
      <c r="AB337" s="243" t="s">
        <v>338</v>
      </c>
      <c r="AC337" s="36"/>
      <c r="AD337" s="22"/>
    </row>
    <row r="338" spans="1:30" s="23" customFormat="1" x14ac:dyDescent="0.3">
      <c r="A338" s="247"/>
      <c r="B338" s="248" t="s">
        <v>59</v>
      </c>
      <c r="C338" s="249"/>
      <c r="D338" s="249"/>
      <c r="E338" s="249"/>
      <c r="F338" s="249"/>
      <c r="G338" s="249"/>
      <c r="H338" s="250"/>
      <c r="I338" s="250"/>
      <c r="J338" s="250"/>
      <c r="K338" s="250"/>
      <c r="L338" s="250"/>
      <c r="M338" s="250"/>
      <c r="N338" s="250"/>
      <c r="O338" s="250"/>
      <c r="P338" s="251"/>
      <c r="Q338" s="269"/>
      <c r="R338" s="269"/>
      <c r="S338" s="269"/>
      <c r="T338" s="269"/>
      <c r="U338" s="269"/>
      <c r="V338" s="269"/>
      <c r="W338" s="269"/>
      <c r="X338" s="264">
        <v>0</v>
      </c>
      <c r="Y338" s="265">
        <v>0</v>
      </c>
      <c r="Z338" s="215">
        <v>0</v>
      </c>
      <c r="AA338" s="265">
        <v>0</v>
      </c>
      <c r="AB338" s="40"/>
      <c r="AC338" s="43"/>
      <c r="AD338" s="22"/>
    </row>
    <row r="339" spans="1:30" s="23" customFormat="1" x14ac:dyDescent="0.3">
      <c r="A339" s="252"/>
      <c r="B339" s="253" t="s">
        <v>60</v>
      </c>
      <c r="C339" s="254"/>
      <c r="D339" s="254"/>
      <c r="E339" s="254"/>
      <c r="F339" s="254"/>
      <c r="G339" s="254"/>
      <c r="H339" s="255"/>
      <c r="I339" s="255"/>
      <c r="J339" s="255"/>
      <c r="K339" s="255"/>
      <c r="L339" s="255"/>
      <c r="M339" s="255"/>
      <c r="N339" s="255"/>
      <c r="O339" s="255"/>
      <c r="P339" s="256"/>
      <c r="Q339" s="204"/>
      <c r="R339" s="204"/>
      <c r="S339" s="204"/>
      <c r="T339" s="204"/>
      <c r="U339" s="204"/>
      <c r="V339" s="204"/>
      <c r="W339" s="204"/>
      <c r="X339" s="266">
        <v>0</v>
      </c>
      <c r="Y339" s="267">
        <v>0</v>
      </c>
      <c r="Z339" s="98">
        <v>0</v>
      </c>
      <c r="AA339" s="268">
        <v>0</v>
      </c>
      <c r="AB339" s="40"/>
      <c r="AC339" s="43"/>
      <c r="AD339" s="22"/>
    </row>
    <row r="340" spans="1:30" s="23" customFormat="1" x14ac:dyDescent="0.3">
      <c r="A340" s="252"/>
      <c r="B340" s="253" t="s">
        <v>61</v>
      </c>
      <c r="C340" s="254"/>
      <c r="D340" s="254"/>
      <c r="E340" s="254"/>
      <c r="F340" s="254"/>
      <c r="G340" s="254"/>
      <c r="H340" s="255"/>
      <c r="I340" s="255"/>
      <c r="J340" s="255"/>
      <c r="K340" s="255"/>
      <c r="L340" s="255"/>
      <c r="M340" s="255"/>
      <c r="N340" s="255"/>
      <c r="O340" s="255"/>
      <c r="P340" s="256"/>
      <c r="Q340" s="204"/>
      <c r="R340" s="204"/>
      <c r="S340" s="204"/>
      <c r="T340" s="204"/>
      <c r="U340" s="204"/>
      <c r="V340" s="204"/>
      <c r="W340" s="204"/>
      <c r="X340" s="266">
        <v>0</v>
      </c>
      <c r="Y340" s="267">
        <v>0</v>
      </c>
      <c r="Z340" s="98">
        <v>0</v>
      </c>
      <c r="AA340" s="268">
        <v>0</v>
      </c>
      <c r="AB340" s="40"/>
      <c r="AC340" s="43"/>
      <c r="AD340" s="22"/>
    </row>
    <row r="341" spans="1:30" s="23" customFormat="1" x14ac:dyDescent="0.3">
      <c r="A341" s="252"/>
      <c r="B341" s="253" t="s">
        <v>100</v>
      </c>
      <c r="C341" s="254"/>
      <c r="D341" s="254"/>
      <c r="E341" s="254"/>
      <c r="F341" s="254"/>
      <c r="G341" s="254"/>
      <c r="H341" s="255"/>
      <c r="I341" s="255"/>
      <c r="J341" s="255"/>
      <c r="K341" s="255"/>
      <c r="L341" s="255"/>
      <c r="M341" s="255"/>
      <c r="N341" s="255"/>
      <c r="O341" s="255"/>
      <c r="P341" s="256"/>
      <c r="Q341" s="204"/>
      <c r="R341" s="204"/>
      <c r="S341" s="204"/>
      <c r="T341" s="204"/>
      <c r="U341" s="204"/>
      <c r="V341" s="204"/>
      <c r="W341" s="204"/>
      <c r="X341" s="266">
        <v>0</v>
      </c>
      <c r="Y341" s="267">
        <v>0</v>
      </c>
      <c r="Z341" s="98">
        <v>0</v>
      </c>
      <c r="AA341" s="268">
        <v>0</v>
      </c>
      <c r="AB341" s="40"/>
      <c r="AC341" s="43"/>
      <c r="AD341" s="22"/>
    </row>
    <row r="342" spans="1:30" s="23" customFormat="1" x14ac:dyDescent="0.3">
      <c r="A342" s="252"/>
      <c r="B342" s="253" t="s">
        <v>101</v>
      </c>
      <c r="C342" s="254"/>
      <c r="D342" s="254"/>
      <c r="E342" s="254"/>
      <c r="F342" s="254"/>
      <c r="G342" s="254"/>
      <c r="H342" s="255"/>
      <c r="I342" s="255"/>
      <c r="J342" s="255"/>
      <c r="K342" s="255"/>
      <c r="L342" s="255"/>
      <c r="M342" s="255"/>
      <c r="N342" s="255"/>
      <c r="O342" s="255"/>
      <c r="P342" s="256"/>
      <c r="Q342" s="204"/>
      <c r="R342" s="204"/>
      <c r="S342" s="204"/>
      <c r="T342" s="204"/>
      <c r="U342" s="204"/>
      <c r="V342" s="204"/>
      <c r="W342" s="204"/>
      <c r="X342" s="266">
        <v>0</v>
      </c>
      <c r="Y342" s="267">
        <v>0</v>
      </c>
      <c r="Z342" s="98">
        <v>0</v>
      </c>
      <c r="AA342" s="268">
        <v>0</v>
      </c>
      <c r="AB342" s="40"/>
      <c r="AC342" s="43"/>
      <c r="AD342" s="22"/>
    </row>
    <row r="343" spans="1:30" s="23" customFormat="1" x14ac:dyDescent="0.3">
      <c r="A343" s="252"/>
      <c r="B343" s="253" t="s">
        <v>102</v>
      </c>
      <c r="C343" s="254"/>
      <c r="D343" s="254"/>
      <c r="E343" s="254"/>
      <c r="F343" s="254"/>
      <c r="G343" s="254"/>
      <c r="H343" s="255"/>
      <c r="I343" s="255"/>
      <c r="J343" s="255"/>
      <c r="K343" s="255"/>
      <c r="L343" s="255"/>
      <c r="M343" s="255"/>
      <c r="N343" s="255"/>
      <c r="O343" s="255"/>
      <c r="P343" s="256"/>
      <c r="Q343" s="204"/>
      <c r="R343" s="204"/>
      <c r="S343" s="204"/>
      <c r="T343" s="204"/>
      <c r="U343" s="204"/>
      <c r="V343" s="204"/>
      <c r="W343" s="204"/>
      <c r="X343" s="266">
        <v>0</v>
      </c>
      <c r="Y343" s="267">
        <v>0</v>
      </c>
      <c r="Z343" s="98">
        <v>0</v>
      </c>
      <c r="AA343" s="268">
        <v>0</v>
      </c>
      <c r="AB343" s="40"/>
      <c r="AC343" s="43"/>
      <c r="AD343" s="22"/>
    </row>
    <row r="344" spans="1:30" s="23" customFormat="1" x14ac:dyDescent="0.3">
      <c r="A344" s="252"/>
      <c r="B344" s="253" t="s">
        <v>103</v>
      </c>
      <c r="C344" s="254"/>
      <c r="D344" s="254"/>
      <c r="E344" s="254"/>
      <c r="F344" s="254"/>
      <c r="G344" s="254"/>
      <c r="H344" s="255"/>
      <c r="I344" s="255"/>
      <c r="J344" s="255"/>
      <c r="K344" s="255"/>
      <c r="L344" s="255"/>
      <c r="M344" s="255"/>
      <c r="N344" s="255"/>
      <c r="O344" s="255"/>
      <c r="P344" s="256"/>
      <c r="Q344" s="204"/>
      <c r="R344" s="204"/>
      <c r="S344" s="204"/>
      <c r="T344" s="204"/>
      <c r="U344" s="204"/>
      <c r="V344" s="204"/>
      <c r="W344" s="204"/>
      <c r="X344" s="266">
        <v>0</v>
      </c>
      <c r="Y344" s="267">
        <v>0</v>
      </c>
      <c r="Z344" s="98">
        <v>0</v>
      </c>
      <c r="AA344" s="268">
        <v>0</v>
      </c>
      <c r="AB344" s="40"/>
      <c r="AC344" s="43"/>
      <c r="AD344" s="22"/>
    </row>
    <row r="345" spans="1:30" s="23" customFormat="1" x14ac:dyDescent="0.3">
      <c r="A345" s="252"/>
      <c r="B345" s="253" t="s">
        <v>104</v>
      </c>
      <c r="C345" s="254"/>
      <c r="D345" s="254"/>
      <c r="E345" s="254"/>
      <c r="F345" s="254"/>
      <c r="G345" s="254"/>
      <c r="H345" s="255"/>
      <c r="I345" s="255"/>
      <c r="J345" s="255"/>
      <c r="K345" s="255"/>
      <c r="L345" s="255"/>
      <c r="M345" s="255"/>
      <c r="N345" s="255"/>
      <c r="O345" s="255"/>
      <c r="P345" s="256"/>
      <c r="Q345" s="204"/>
      <c r="R345" s="204"/>
      <c r="S345" s="204"/>
      <c r="T345" s="204"/>
      <c r="U345" s="204"/>
      <c r="V345" s="204"/>
      <c r="W345" s="204"/>
      <c r="X345" s="266">
        <v>0</v>
      </c>
      <c r="Y345" s="265">
        <v>0</v>
      </c>
      <c r="Z345" s="98">
        <v>0</v>
      </c>
      <c r="AA345" s="268">
        <v>0</v>
      </c>
      <c r="AB345" s="40"/>
      <c r="AC345" s="43"/>
      <c r="AD345" s="22"/>
    </row>
    <row r="346" spans="1:30" s="23" customFormat="1" x14ac:dyDescent="0.3">
      <c r="A346" s="252"/>
      <c r="B346" s="253"/>
      <c r="C346" s="254"/>
      <c r="D346" s="254"/>
      <c r="E346" s="254"/>
      <c r="F346" s="254"/>
      <c r="G346" s="254"/>
      <c r="H346" s="255"/>
      <c r="I346" s="255"/>
      <c r="J346" s="255"/>
      <c r="K346" s="255"/>
      <c r="L346" s="255"/>
      <c r="M346" s="255"/>
      <c r="N346" s="255"/>
      <c r="O346" s="255"/>
      <c r="P346" s="256"/>
      <c r="Q346" s="204"/>
      <c r="R346" s="204"/>
      <c r="S346" s="204"/>
      <c r="T346" s="204"/>
      <c r="U346" s="204"/>
      <c r="V346" s="204"/>
      <c r="W346" s="204"/>
      <c r="X346" s="280"/>
      <c r="Y346" s="281"/>
      <c r="Z346" s="282"/>
      <c r="AA346" s="281"/>
      <c r="AB346" s="283"/>
      <c r="AC346" s="43"/>
      <c r="AD346" s="22"/>
    </row>
    <row r="347" spans="1:30" s="23" customFormat="1" x14ac:dyDescent="0.3">
      <c r="A347" s="252"/>
      <c r="B347" s="254" t="s">
        <v>80</v>
      </c>
      <c r="C347" s="254"/>
      <c r="D347" s="254"/>
      <c r="E347" s="254"/>
      <c r="F347" s="254"/>
      <c r="G347" s="254"/>
      <c r="H347" s="255"/>
      <c r="I347" s="255"/>
      <c r="J347" s="255"/>
      <c r="K347" s="255"/>
      <c r="L347" s="255"/>
      <c r="M347" s="255"/>
      <c r="N347" s="255"/>
      <c r="O347" s="255"/>
      <c r="P347" s="256"/>
      <c r="Q347" s="204"/>
      <c r="R347" s="204"/>
      <c r="S347" s="204"/>
      <c r="T347" s="204"/>
      <c r="U347" s="204"/>
      <c r="V347" s="204"/>
      <c r="W347" s="204"/>
      <c r="X347" s="266">
        <f>SUM(X338:X345)</f>
        <v>0</v>
      </c>
      <c r="Y347" s="268">
        <f>SUM(Y338:Y345)</f>
        <v>0</v>
      </c>
      <c r="Z347" s="98">
        <f>SUM(Z338:Z345)</f>
        <v>0</v>
      </c>
      <c r="AA347" s="268">
        <f>SUM(AA338:AA345)</f>
        <v>0</v>
      </c>
      <c r="AB347" s="40"/>
      <c r="AC347" s="43"/>
      <c r="AD347" s="22"/>
    </row>
    <row r="348" spans="1:30" s="23" customFormat="1" ht="16.2" thickBot="1" x14ac:dyDescent="0.35">
      <c r="A348" s="252"/>
      <c r="B348" s="254" t="s">
        <v>325</v>
      </c>
      <c r="C348" s="254"/>
      <c r="D348" s="254"/>
      <c r="E348" s="254"/>
      <c r="F348" s="254"/>
      <c r="G348" s="254"/>
      <c r="H348" s="255"/>
      <c r="I348" s="255"/>
      <c r="J348" s="255"/>
      <c r="K348" s="255"/>
      <c r="L348" s="255"/>
      <c r="M348" s="255"/>
      <c r="N348" s="255"/>
      <c r="O348" s="255"/>
      <c r="P348" s="256"/>
      <c r="Q348" s="204"/>
      <c r="R348" s="204"/>
      <c r="S348" s="204"/>
      <c r="T348" s="204"/>
      <c r="U348" s="204"/>
      <c r="V348" s="204"/>
      <c r="W348" s="204"/>
      <c r="X348" s="297"/>
      <c r="Y348" s="297">
        <f>X347/X352</f>
        <v>0</v>
      </c>
      <c r="Z348" s="298"/>
      <c r="AA348" s="297">
        <f>Z347/Z352</f>
        <v>0</v>
      </c>
      <c r="AB348" s="299"/>
      <c r="AC348" s="43"/>
      <c r="AD348" s="22"/>
    </row>
    <row r="349" spans="1:30" s="23" customFormat="1" ht="16.2" thickTop="1" x14ac:dyDescent="0.3">
      <c r="A349" s="252"/>
      <c r="B349" s="254" t="s">
        <v>336</v>
      </c>
      <c r="C349" s="254"/>
      <c r="D349" s="254"/>
      <c r="E349" s="254"/>
      <c r="F349" s="254"/>
      <c r="G349" s="254"/>
      <c r="H349" s="255"/>
      <c r="I349" s="255"/>
      <c r="J349" s="255"/>
      <c r="K349" s="255"/>
      <c r="L349" s="255"/>
      <c r="M349" s="255"/>
      <c r="N349" s="255"/>
      <c r="O349" s="255"/>
      <c r="P349" s="256"/>
      <c r="Q349" s="204"/>
      <c r="R349" s="204"/>
      <c r="S349" s="204"/>
      <c r="T349" s="204"/>
      <c r="U349" s="204"/>
      <c r="V349" s="204"/>
      <c r="W349" s="204"/>
      <c r="X349" s="293">
        <v>0</v>
      </c>
      <c r="Y349" s="294">
        <v>0</v>
      </c>
      <c r="Z349" s="295">
        <v>0</v>
      </c>
      <c r="AA349" s="294">
        <v>0</v>
      </c>
      <c r="AB349" s="296">
        <v>0</v>
      </c>
      <c r="AC349" s="43"/>
      <c r="AD349" s="22"/>
    </row>
    <row r="350" spans="1:30" s="23" customFormat="1" ht="16.2" thickBot="1" x14ac:dyDescent="0.35">
      <c r="A350" s="252"/>
      <c r="B350" s="254" t="s">
        <v>337</v>
      </c>
      <c r="C350" s="254"/>
      <c r="D350" s="254"/>
      <c r="E350" s="254"/>
      <c r="F350" s="254"/>
      <c r="G350" s="254"/>
      <c r="H350" s="255"/>
      <c r="I350" s="255"/>
      <c r="J350" s="255"/>
      <c r="K350" s="255"/>
      <c r="L350" s="255"/>
      <c r="M350" s="255"/>
      <c r="N350" s="255"/>
      <c r="O350" s="255"/>
      <c r="P350" s="256"/>
      <c r="Q350" s="204"/>
      <c r="R350" s="204"/>
      <c r="S350" s="204"/>
      <c r="T350" s="204"/>
      <c r="U350" s="204"/>
      <c r="V350" s="204"/>
      <c r="W350" s="204"/>
      <c r="X350" s="288">
        <v>0</v>
      </c>
      <c r="Y350" s="289">
        <v>0</v>
      </c>
      <c r="Z350" s="290">
        <v>0</v>
      </c>
      <c r="AA350" s="291">
        <v>0</v>
      </c>
      <c r="AB350" s="292">
        <v>0</v>
      </c>
      <c r="AC350" s="43"/>
      <c r="AD350" s="22"/>
    </row>
    <row r="351" spans="1:30" s="23" customFormat="1" ht="16.2" thickTop="1" x14ac:dyDescent="0.3">
      <c r="A351" s="252"/>
      <c r="B351" s="254"/>
      <c r="C351" s="254"/>
      <c r="D351" s="254"/>
      <c r="E351" s="254"/>
      <c r="F351" s="254"/>
      <c r="G351" s="254"/>
      <c r="H351" s="255"/>
      <c r="I351" s="255"/>
      <c r="J351" s="255"/>
      <c r="K351" s="255"/>
      <c r="L351" s="255"/>
      <c r="M351" s="255"/>
      <c r="N351" s="255"/>
      <c r="O351" s="255"/>
      <c r="P351" s="256"/>
      <c r="Q351" s="204"/>
      <c r="R351" s="204"/>
      <c r="S351" s="204"/>
      <c r="T351" s="204"/>
      <c r="U351" s="204"/>
      <c r="V351" s="204"/>
      <c r="W351" s="204"/>
      <c r="X351" s="284"/>
      <c r="Y351" s="202"/>
      <c r="Z351" s="285"/>
      <c r="AA351" s="202"/>
      <c r="AB351" s="286"/>
      <c r="AC351" s="43"/>
      <c r="AD351" s="22"/>
    </row>
    <row r="352" spans="1:30" s="23" customFormat="1" x14ac:dyDescent="0.3">
      <c r="A352" s="47"/>
      <c r="B352" s="44" t="s">
        <v>139</v>
      </c>
      <c r="C352" s="40"/>
      <c r="D352" s="204"/>
      <c r="E352" s="204"/>
      <c r="F352" s="204"/>
      <c r="G352" s="204"/>
      <c r="H352" s="204"/>
      <c r="I352" s="204"/>
      <c r="J352" s="204"/>
      <c r="K352" s="204"/>
      <c r="L352" s="204"/>
      <c r="M352" s="204"/>
      <c r="N352" s="204"/>
      <c r="O352" s="204"/>
      <c r="P352" s="204"/>
      <c r="Q352" s="204"/>
      <c r="R352" s="204"/>
      <c r="S352" s="204"/>
      <c r="T352" s="204"/>
      <c r="U352" s="204"/>
      <c r="V352" s="204"/>
      <c r="W352" s="204"/>
      <c r="X352" s="210">
        <f>X335+X313+X301</f>
        <v>2370</v>
      </c>
      <c r="Y352" s="198"/>
      <c r="Z352" s="211">
        <f>+Z335+Z313+Z301</f>
        <v>423631</v>
      </c>
      <c r="AA352" s="198"/>
      <c r="AB352" s="40"/>
      <c r="AC352" s="43"/>
      <c r="AD352" s="22"/>
    </row>
    <row r="353" spans="1:30" s="23" customFormat="1" x14ac:dyDescent="0.3">
      <c r="A353" s="47"/>
      <c r="B353" s="44" t="s">
        <v>304</v>
      </c>
      <c r="C353" s="44"/>
      <c r="D353" s="212"/>
      <c r="E353" s="212"/>
      <c r="F353" s="212"/>
      <c r="G353" s="212"/>
      <c r="H353" s="212"/>
      <c r="I353" s="212"/>
      <c r="J353" s="212"/>
      <c r="K353" s="212"/>
      <c r="L353" s="212"/>
      <c r="M353" s="212"/>
      <c r="N353" s="212"/>
      <c r="O353" s="212"/>
      <c r="P353" s="212"/>
      <c r="Q353" s="212"/>
      <c r="R353" s="212"/>
      <c r="S353" s="212"/>
      <c r="T353" s="212"/>
      <c r="U353" s="212"/>
      <c r="V353" s="212"/>
      <c r="W353" s="212"/>
      <c r="X353" s="210"/>
      <c r="Y353" s="213"/>
      <c r="Z353" s="211">
        <f>+AB65+AB64</f>
        <v>0</v>
      </c>
      <c r="AA353" s="198"/>
      <c r="AB353" s="40"/>
      <c r="AC353" s="43"/>
      <c r="AD353" s="22"/>
    </row>
    <row r="354" spans="1:30" s="23" customFormat="1" x14ac:dyDescent="0.3">
      <c r="A354" s="47"/>
      <c r="B354" s="44" t="s">
        <v>107</v>
      </c>
      <c r="C354" s="44"/>
      <c r="D354" s="212"/>
      <c r="E354" s="212"/>
      <c r="F354" s="212"/>
      <c r="G354" s="212"/>
      <c r="H354" s="212"/>
      <c r="I354" s="212"/>
      <c r="J354" s="212"/>
      <c r="K354" s="212"/>
      <c r="L354" s="212"/>
      <c r="M354" s="212"/>
      <c r="N354" s="212"/>
      <c r="O354" s="212"/>
      <c r="P354" s="212"/>
      <c r="Q354" s="212"/>
      <c r="R354" s="212"/>
      <c r="S354" s="212"/>
      <c r="T354" s="212"/>
      <c r="U354" s="212"/>
      <c r="V354" s="212"/>
      <c r="W354" s="212"/>
      <c r="X354" s="210"/>
      <c r="Y354" s="213"/>
      <c r="Z354" s="211">
        <f>+Z352+Z353</f>
        <v>423631</v>
      </c>
      <c r="AA354" s="198"/>
      <c r="AB354" s="40"/>
      <c r="AC354" s="43"/>
      <c r="AD354" s="22"/>
    </row>
    <row r="355" spans="1:30" s="23" customFormat="1" x14ac:dyDescent="0.3">
      <c r="A355" s="47"/>
      <c r="B355" s="44" t="s">
        <v>237</v>
      </c>
      <c r="C355" s="40"/>
      <c r="D355" s="204"/>
      <c r="E355" s="204"/>
      <c r="F355" s="204"/>
      <c r="G355" s="204"/>
      <c r="H355" s="204"/>
      <c r="I355" s="204"/>
      <c r="J355" s="204"/>
      <c r="K355" s="204"/>
      <c r="L355" s="204"/>
      <c r="M355" s="204"/>
      <c r="N355" s="204"/>
      <c r="O355" s="204"/>
      <c r="P355" s="204"/>
      <c r="Q355" s="204"/>
      <c r="R355" s="204"/>
      <c r="S355" s="204"/>
      <c r="T355" s="204"/>
      <c r="U355" s="204"/>
      <c r="V355" s="204"/>
      <c r="W355" s="204"/>
      <c r="X355" s="210"/>
      <c r="Y355" s="198"/>
      <c r="Z355" s="211">
        <f>+AB67</f>
        <v>423631</v>
      </c>
      <c r="AA355" s="198"/>
      <c r="AB355" s="40"/>
      <c r="AC355" s="43"/>
      <c r="AD355" s="22"/>
    </row>
    <row r="356" spans="1:30" s="23" customFormat="1" x14ac:dyDescent="0.3">
      <c r="A356" s="47"/>
      <c r="B356" s="44"/>
      <c r="C356" s="40"/>
      <c r="D356" s="204"/>
      <c r="E356" s="204"/>
      <c r="F356" s="204"/>
      <c r="G356" s="204"/>
      <c r="H356" s="204"/>
      <c r="I356" s="204"/>
      <c r="J356" s="204"/>
      <c r="K356" s="204"/>
      <c r="L356" s="204"/>
      <c r="M356" s="204"/>
      <c r="N356" s="204"/>
      <c r="O356" s="204"/>
      <c r="P356" s="204"/>
      <c r="Q356" s="204"/>
      <c r="R356" s="204"/>
      <c r="S356" s="204"/>
      <c r="T356" s="204"/>
      <c r="U356" s="204"/>
      <c r="V356" s="204"/>
      <c r="W356" s="204"/>
      <c r="X356" s="210"/>
      <c r="Y356" s="198"/>
      <c r="Z356" s="211"/>
      <c r="AA356" s="198"/>
      <c r="AB356" s="40"/>
      <c r="AC356" s="43"/>
      <c r="AD356" s="22"/>
    </row>
    <row r="357" spans="1:30" s="23" customFormat="1" x14ac:dyDescent="0.3">
      <c r="A357" s="47"/>
      <c r="B357" s="44" t="s">
        <v>305</v>
      </c>
      <c r="C357" s="40"/>
      <c r="D357" s="204"/>
      <c r="E357" s="204"/>
      <c r="F357" s="204"/>
      <c r="G357" s="204"/>
      <c r="H357" s="204"/>
      <c r="I357" s="204"/>
      <c r="J357" s="204"/>
      <c r="K357" s="204"/>
      <c r="L357" s="204"/>
      <c r="M357" s="204"/>
      <c r="N357" s="204"/>
      <c r="O357" s="204"/>
      <c r="P357" s="204"/>
      <c r="Q357" s="204"/>
      <c r="R357" s="204"/>
      <c r="S357" s="204"/>
      <c r="T357" s="204"/>
      <c r="U357" s="204"/>
      <c r="V357" s="204"/>
      <c r="W357" s="204"/>
      <c r="X357" s="210"/>
      <c r="Y357" s="198"/>
      <c r="Z357" s="236">
        <f>(D31*0.05+F31+H31+J31+L31+N31)/AB31</f>
        <v>0.57708759933035558</v>
      </c>
      <c r="AA357" s="198"/>
      <c r="AB357" s="40"/>
      <c r="AC357" s="43"/>
      <c r="AD357" s="22"/>
    </row>
    <row r="358" spans="1:30" s="23" customFormat="1" x14ac:dyDescent="0.3">
      <c r="A358" s="18"/>
      <c r="B358" s="20"/>
      <c r="C358" s="20"/>
      <c r="D358" s="214"/>
      <c r="E358" s="214"/>
      <c r="F358" s="214"/>
      <c r="G358" s="214"/>
      <c r="H358" s="214"/>
      <c r="I358" s="214"/>
      <c r="J358" s="214"/>
      <c r="K358" s="214"/>
      <c r="L358" s="214"/>
      <c r="M358" s="214"/>
      <c r="N358" s="214"/>
      <c r="O358" s="214"/>
      <c r="P358" s="214"/>
      <c r="Q358" s="214"/>
      <c r="R358" s="214"/>
      <c r="S358" s="214"/>
      <c r="T358" s="214"/>
      <c r="U358" s="214"/>
      <c r="V358" s="214"/>
      <c r="W358" s="214"/>
      <c r="X358" s="214"/>
      <c r="Y358" s="214"/>
      <c r="Z358" s="215"/>
      <c r="AA358" s="214"/>
      <c r="AB358" s="20"/>
      <c r="AC358" s="21"/>
      <c r="AD358" s="22"/>
    </row>
    <row r="359" spans="1:30" s="23" customFormat="1" x14ac:dyDescent="0.3">
      <c r="A359" s="18"/>
      <c r="B359" s="19" t="s">
        <v>62</v>
      </c>
      <c r="C359" s="20"/>
      <c r="D359" s="216" t="s">
        <v>66</v>
      </c>
      <c r="E359" s="19"/>
      <c r="F359" s="19" t="s">
        <v>67</v>
      </c>
      <c r="G359" s="20"/>
      <c r="H359" s="19"/>
      <c r="I359" s="20"/>
      <c r="J359" s="20"/>
      <c r="K359" s="20"/>
      <c r="L359" s="20"/>
      <c r="M359" s="20"/>
      <c r="N359" s="20"/>
      <c r="O359" s="20"/>
      <c r="P359" s="20"/>
      <c r="Q359" s="20"/>
      <c r="R359" s="20"/>
      <c r="S359" s="20"/>
      <c r="T359" s="20"/>
      <c r="U359" s="20"/>
      <c r="V359" s="20"/>
      <c r="W359" s="20"/>
      <c r="X359" s="20"/>
      <c r="Y359" s="20"/>
      <c r="Z359" s="20"/>
      <c r="AA359" s="20"/>
      <c r="AB359" s="20"/>
      <c r="AC359" s="21"/>
      <c r="AD359" s="22"/>
    </row>
    <row r="360" spans="1:30" s="23" customFormat="1" x14ac:dyDescent="0.3">
      <c r="A360" s="18"/>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1"/>
      <c r="AD360" s="22"/>
    </row>
    <row r="361" spans="1:30" s="23" customFormat="1" x14ac:dyDescent="0.3">
      <c r="A361" s="18"/>
      <c r="B361" s="19" t="s">
        <v>152</v>
      </c>
      <c r="C361" s="19"/>
      <c r="D361" s="217" t="s">
        <v>122</v>
      </c>
      <c r="E361" s="19"/>
      <c r="F361" s="19" t="s">
        <v>168</v>
      </c>
      <c r="G361" s="19"/>
      <c r="H361" s="19"/>
      <c r="I361" s="20"/>
      <c r="J361" s="20"/>
      <c r="K361" s="20"/>
      <c r="L361" s="20"/>
      <c r="M361" s="20"/>
      <c r="N361" s="20"/>
      <c r="O361" s="20"/>
      <c r="P361" s="20"/>
      <c r="Q361" s="20"/>
      <c r="R361" s="20"/>
      <c r="S361" s="20"/>
      <c r="T361" s="20"/>
      <c r="U361" s="20"/>
      <c r="V361" s="20"/>
      <c r="W361" s="20"/>
      <c r="X361" s="20"/>
      <c r="Y361" s="20"/>
      <c r="Z361" s="20"/>
      <c r="AA361" s="20"/>
      <c r="AB361" s="20"/>
      <c r="AC361" s="21"/>
      <c r="AD361" s="22"/>
    </row>
    <row r="362" spans="1:30" s="23" customFormat="1" x14ac:dyDescent="0.3">
      <c r="A362" s="18"/>
      <c r="B362" s="19" t="s">
        <v>153</v>
      </c>
      <c r="C362" s="19"/>
      <c r="D362" s="217" t="s">
        <v>98</v>
      </c>
      <c r="E362" s="19"/>
      <c r="F362" s="19" t="s">
        <v>169</v>
      </c>
      <c r="G362" s="19"/>
      <c r="H362" s="19"/>
      <c r="I362" s="20"/>
      <c r="J362" s="20"/>
      <c r="K362" s="20"/>
      <c r="L362" s="20"/>
      <c r="M362" s="20"/>
      <c r="N362" s="20"/>
      <c r="O362" s="20"/>
      <c r="P362" s="20"/>
      <c r="Q362" s="20"/>
      <c r="R362" s="20"/>
      <c r="S362" s="20"/>
      <c r="T362" s="20"/>
      <c r="U362" s="20"/>
      <c r="V362" s="20"/>
      <c r="W362" s="20"/>
      <c r="X362" s="20"/>
      <c r="Y362" s="20"/>
      <c r="Z362" s="20"/>
      <c r="AA362" s="20"/>
      <c r="AB362" s="20"/>
      <c r="AC362" s="21"/>
      <c r="AD362" s="22"/>
    </row>
    <row r="363" spans="1:30" s="23" customFormat="1" x14ac:dyDescent="0.3">
      <c r="A363" s="18"/>
      <c r="B363" s="19"/>
      <c r="C363" s="19"/>
      <c r="D363" s="217"/>
      <c r="E363" s="19"/>
      <c r="F363" s="19"/>
      <c r="G363" s="19"/>
      <c r="H363" s="19"/>
      <c r="I363" s="20"/>
      <c r="J363" s="20"/>
      <c r="K363" s="20"/>
      <c r="L363" s="20"/>
      <c r="M363" s="20"/>
      <c r="N363" s="20"/>
      <c r="O363" s="20"/>
      <c r="P363" s="20"/>
      <c r="Q363" s="20"/>
      <c r="R363" s="20"/>
      <c r="S363" s="20"/>
      <c r="T363" s="20"/>
      <c r="U363" s="20"/>
      <c r="V363" s="20"/>
      <c r="W363" s="20"/>
      <c r="X363" s="20"/>
      <c r="Y363" s="20"/>
      <c r="Z363" s="20"/>
      <c r="AA363" s="20"/>
      <c r="AB363" s="20"/>
      <c r="AC363" s="21"/>
      <c r="AD363" s="22"/>
    </row>
    <row r="364" spans="1:30" s="23" customFormat="1" x14ac:dyDescent="0.3">
      <c r="A364" s="18"/>
      <c r="B364" s="257" t="s">
        <v>333</v>
      </c>
      <c r="C364" s="19"/>
      <c r="D364" s="217"/>
      <c r="E364" s="19"/>
      <c r="F364" s="19"/>
      <c r="G364" s="19"/>
      <c r="H364" s="19"/>
      <c r="I364" s="20"/>
      <c r="J364" s="20"/>
      <c r="K364" s="20"/>
      <c r="L364" s="20"/>
      <c r="M364" s="20"/>
      <c r="N364" s="20"/>
      <c r="O364" s="20"/>
      <c r="P364" s="20"/>
      <c r="Q364" s="20"/>
      <c r="R364" s="20"/>
      <c r="S364" s="20"/>
      <c r="T364" s="20"/>
      <c r="U364" s="20"/>
      <c r="V364" s="20"/>
      <c r="W364" s="20"/>
      <c r="X364" s="20"/>
      <c r="Y364" s="20"/>
      <c r="Z364" s="20"/>
      <c r="AA364" s="20"/>
      <c r="AB364" s="20"/>
      <c r="AC364" s="21"/>
      <c r="AD364" s="22"/>
    </row>
    <row r="365" spans="1:30" x14ac:dyDescent="0.3">
      <c r="A365" s="218"/>
      <c r="B365" s="258"/>
      <c r="C365" s="219"/>
      <c r="D365" s="220"/>
      <c r="E365" s="220"/>
      <c r="F365" s="220"/>
      <c r="G365" s="220"/>
      <c r="H365" s="220"/>
      <c r="I365" s="220"/>
      <c r="J365" s="220"/>
      <c r="K365" s="220"/>
      <c r="L365" s="220"/>
      <c r="M365" s="220"/>
      <c r="N365" s="220"/>
      <c r="O365" s="220"/>
      <c r="P365" s="220"/>
      <c r="Q365" s="220"/>
      <c r="R365" s="220"/>
      <c r="S365" s="220"/>
      <c r="T365" s="220"/>
      <c r="U365" s="220"/>
      <c r="V365" s="220"/>
      <c r="W365" s="220"/>
      <c r="X365" s="220"/>
      <c r="Y365" s="220"/>
      <c r="Z365" s="220"/>
      <c r="AA365" s="220"/>
      <c r="AB365" s="220"/>
      <c r="AC365" s="221"/>
      <c r="AD365" s="5"/>
    </row>
    <row r="366" spans="1:30" ht="18" x14ac:dyDescent="0.35">
      <c r="A366" s="218"/>
      <c r="B366" s="259" t="s">
        <v>109</v>
      </c>
      <c r="C366" s="219"/>
      <c r="D366" s="220"/>
      <c r="E366" s="220"/>
      <c r="F366" s="220"/>
      <c r="G366" s="220"/>
      <c r="H366" s="220"/>
      <c r="I366" s="220"/>
      <c r="J366" s="220"/>
      <c r="K366" s="220"/>
      <c r="L366" s="220"/>
      <c r="M366" s="220"/>
      <c r="N366" s="220"/>
      <c r="O366" s="220"/>
      <c r="P366" s="260" t="s">
        <v>167</v>
      </c>
      <c r="Q366" s="220"/>
      <c r="R366" s="220"/>
      <c r="S366" s="220"/>
      <c r="T366" s="220"/>
      <c r="U366" s="220"/>
      <c r="V366" s="220"/>
      <c r="W366" s="220"/>
      <c r="X366" s="220"/>
      <c r="Y366" s="220"/>
      <c r="Z366" s="220"/>
      <c r="AA366" s="220"/>
      <c r="AB366" s="220"/>
      <c r="AC366" s="221"/>
      <c r="AD366" s="5"/>
    </row>
    <row r="367" spans="1:30" ht="18" x14ac:dyDescent="0.35">
      <c r="A367" s="218"/>
      <c r="B367" s="259"/>
      <c r="C367" s="219"/>
      <c r="D367" s="220"/>
      <c r="E367" s="220"/>
      <c r="F367" s="220"/>
      <c r="G367" s="220"/>
      <c r="H367" s="220"/>
      <c r="I367" s="220"/>
      <c r="J367" s="220"/>
      <c r="K367" s="220"/>
      <c r="L367" s="220"/>
      <c r="M367" s="220"/>
      <c r="N367" s="220"/>
      <c r="O367" s="220"/>
      <c r="P367" s="260"/>
      <c r="Q367" s="220"/>
      <c r="R367" s="220"/>
      <c r="S367" s="220"/>
      <c r="T367" s="220"/>
      <c r="U367" s="220"/>
      <c r="V367" s="220"/>
      <c r="W367" s="220"/>
      <c r="X367" s="220"/>
      <c r="Y367" s="220"/>
      <c r="Z367" s="220"/>
      <c r="AA367" s="220"/>
      <c r="AB367" s="220"/>
      <c r="AC367" s="221"/>
      <c r="AD367" s="5"/>
    </row>
    <row r="368" spans="1:30" ht="18.600000000000001" thickBot="1" x14ac:dyDescent="0.4">
      <c r="A368" s="218"/>
      <c r="B368" s="222" t="str">
        <f>B237</f>
        <v>PM26 INVESTOR REPORT QUARTER ENDING JULY 2021</v>
      </c>
      <c r="C368" s="219"/>
      <c r="D368" s="220"/>
      <c r="E368" s="220"/>
      <c r="F368" s="220"/>
      <c r="G368" s="220"/>
      <c r="H368" s="220"/>
      <c r="I368" s="220"/>
      <c r="J368" s="220"/>
      <c r="K368" s="220"/>
      <c r="L368" s="220"/>
      <c r="M368" s="220"/>
      <c r="N368" s="220"/>
      <c r="O368" s="220"/>
      <c r="P368" s="220"/>
      <c r="Q368" s="220"/>
      <c r="R368" s="220"/>
      <c r="S368" s="220"/>
      <c r="T368" s="220"/>
      <c r="U368" s="220"/>
      <c r="V368" s="220"/>
      <c r="W368" s="220"/>
      <c r="X368" s="220"/>
      <c r="Y368" s="220"/>
      <c r="Z368" s="220"/>
      <c r="AA368" s="220"/>
      <c r="AB368" s="220"/>
      <c r="AC368" s="223"/>
      <c r="AD368" s="5"/>
    </row>
    <row r="369" spans="1:29" x14ac:dyDescent="0.3">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c r="W369" s="224"/>
      <c r="X369" s="224"/>
      <c r="Y369" s="224"/>
      <c r="Z369" s="224"/>
      <c r="AA369" s="224"/>
      <c r="AB369" s="224"/>
      <c r="AC369" s="224"/>
    </row>
    <row r="370" spans="1:29" x14ac:dyDescent="0.3">
      <c r="B370" s="6" t="s">
        <v>307</v>
      </c>
    </row>
    <row r="372" spans="1:29" x14ac:dyDescent="0.3">
      <c r="B372" s="279" t="s">
        <v>315</v>
      </c>
    </row>
    <row r="373" spans="1:29" x14ac:dyDescent="0.3">
      <c r="B373" s="270" t="s">
        <v>316</v>
      </c>
    </row>
    <row r="374" spans="1:29" x14ac:dyDescent="0.3">
      <c r="B374" s="270" t="s">
        <v>317</v>
      </c>
    </row>
    <row r="375" spans="1:29" x14ac:dyDescent="0.3">
      <c r="B375" s="270" t="s">
        <v>318</v>
      </c>
    </row>
    <row r="376" spans="1:29" x14ac:dyDescent="0.3">
      <c r="B376" s="270" t="s">
        <v>319</v>
      </c>
    </row>
    <row r="377" spans="1:29" x14ac:dyDescent="0.3">
      <c r="B377" s="270" t="s">
        <v>320</v>
      </c>
    </row>
    <row r="378" spans="1:29" x14ac:dyDescent="0.3">
      <c r="B378" s="270" t="s">
        <v>321</v>
      </c>
    </row>
    <row r="379" spans="1:29" x14ac:dyDescent="0.3">
      <c r="B379" s="270" t="s">
        <v>322</v>
      </c>
    </row>
    <row r="380" spans="1:29" x14ac:dyDescent="0.3">
      <c r="B380" s="270"/>
    </row>
    <row r="381" spans="1:29" s="270" customFormat="1" x14ac:dyDescent="0.3">
      <c r="B381" s="279" t="s">
        <v>339</v>
      </c>
    </row>
    <row r="382" spans="1:29" s="270" customFormat="1" x14ac:dyDescent="0.3">
      <c r="B382" s="270" t="s">
        <v>344</v>
      </c>
    </row>
    <row r="383" spans="1:29" s="270" customFormat="1" x14ac:dyDescent="0.3">
      <c r="B383" s="270" t="s">
        <v>355</v>
      </c>
    </row>
    <row r="384" spans="1:29" s="270" customFormat="1" x14ac:dyDescent="0.3"/>
    <row r="385" spans="2:2" s="270" customFormat="1" x14ac:dyDescent="0.3">
      <c r="B385" s="270" t="s">
        <v>357</v>
      </c>
    </row>
    <row r="386" spans="2:2" x14ac:dyDescent="0.3">
      <c r="B386" s="270"/>
    </row>
    <row r="387" spans="2:2" x14ac:dyDescent="0.3">
      <c r="B387" s="279" t="s">
        <v>323</v>
      </c>
    </row>
    <row r="388" spans="2:2" x14ac:dyDescent="0.3">
      <c r="B388" s="270" t="s">
        <v>324</v>
      </c>
    </row>
    <row r="389" spans="2:2" x14ac:dyDescent="0.3">
      <c r="B389" s="270" t="s">
        <v>332</v>
      </c>
    </row>
    <row r="390" spans="2:2" x14ac:dyDescent="0.3">
      <c r="B390" s="271"/>
    </row>
    <row r="391" spans="2:2" x14ac:dyDescent="0.3">
      <c r="B391" s="279" t="s">
        <v>354</v>
      </c>
    </row>
    <row r="392" spans="2:2" x14ac:dyDescent="0.3">
      <c r="B392" s="270" t="s">
        <v>352</v>
      </c>
    </row>
    <row r="393" spans="2:2" x14ac:dyDescent="0.3">
      <c r="B393" s="300" t="s">
        <v>353</v>
      </c>
    </row>
  </sheetData>
  <hyperlinks>
    <hyperlink ref="K9" r:id="rId1" display="http://www.paragon-group.co.uk" xr:uid="{BB821D85-0A03-449D-A9F3-7E7ECD64D2DE}"/>
    <hyperlink ref="P366" r:id="rId2" xr:uid="{F288165C-507D-4514-94ED-60A866D2E39C}"/>
    <hyperlink ref="P277" r:id="rId3" xr:uid="{59E78CCF-DE51-44C9-88BF-3DC4439AF75B}"/>
    <hyperlink ref="B393" r:id="rId4" display="https://investorreporting.paragonbankinggroup.co.uk/bondinvestor_viewer/resources/bondinvestor/pdf/investornews/2021/libor-mortgages-transition-july-19" xr:uid="{D475516F-4792-4FA6-B95C-FD3ABCF9B73D}"/>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7" max="18" man="1"/>
  </rowBreaks>
  <colBreaks count="1" manualBreakCount="1">
    <brk id="29" max="299" man="1"/>
  </colBreaks>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2296F-2439-4C7E-B602-16E3EC69D4C2}">
  <sheetPr>
    <tabColor rgb="FF89CB31"/>
  </sheetPr>
  <dimension ref="A1:JB361"/>
  <sheetViews>
    <sheetView showGridLines="0" showOutlineSymbols="0" zoomScale="70" zoomScaleNormal="70" workbookViewId="0"/>
  </sheetViews>
  <sheetFormatPr defaultColWidth="9.90625" defaultRowHeight="15.6" x14ac:dyDescent="0.3"/>
  <cols>
    <col min="1" max="1" width="4" style="6" customWidth="1"/>
    <col min="2" max="2" width="71.08984375" style="6" customWidth="1"/>
    <col min="3" max="3" width="2.08984375" style="6" customWidth="1"/>
    <col min="4" max="4" width="16.08984375" style="6" customWidth="1"/>
    <col min="5" max="5" width="2.90625" style="6" customWidth="1"/>
    <col min="6" max="6" width="16.08984375" style="6" customWidth="1"/>
    <col min="7" max="7" width="2.08984375" style="6" customWidth="1"/>
    <col min="8" max="8" width="17.90625" style="6" customWidth="1"/>
    <col min="9" max="9" width="2.08984375" style="6" customWidth="1"/>
    <col min="10" max="10" width="14.9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90625" style="6" customWidth="1"/>
    <col min="26" max="26" width="18.08984375" style="6" customWidth="1"/>
    <col min="27" max="27" width="8.90625" style="6" bestFit="1" customWidth="1"/>
    <col min="28" max="28" width="14.90625" style="6" customWidth="1"/>
    <col min="29" max="29" width="11.90625" style="6" customWidth="1"/>
    <col min="30" max="16384" width="9.90625" style="6"/>
  </cols>
  <sheetData>
    <row r="1" spans="1:30" ht="21" x14ac:dyDescent="0.4">
      <c r="A1" s="1"/>
      <c r="B1" s="2" t="s">
        <v>263</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264</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167</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300</v>
      </c>
      <c r="AC14" s="21"/>
      <c r="AD14" s="22"/>
    </row>
    <row r="15" spans="1:30" s="23" customFormat="1" x14ac:dyDescent="0.3">
      <c r="A15" s="18"/>
      <c r="B15" s="19" t="s">
        <v>302</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9" t="s">
        <v>301</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0.24030000000000001</v>
      </c>
      <c r="Z16" s="29" t="s">
        <v>258</v>
      </c>
      <c r="AA16" s="29">
        <v>0.75970000000000004</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0.2447</v>
      </c>
      <c r="Z17" s="29" t="s">
        <v>258</v>
      </c>
      <c r="AA17" s="29">
        <v>0.75529999999999997</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87"/>
      <c r="S18" s="20"/>
      <c r="T18" s="20"/>
      <c r="U18" s="20"/>
      <c r="V18" s="20"/>
      <c r="W18" s="20"/>
      <c r="X18" s="20"/>
      <c r="Y18" s="20"/>
      <c r="Z18" s="20"/>
      <c r="AA18" s="20"/>
      <c r="AB18" s="226">
        <v>43649</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44522</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31.2" x14ac:dyDescent="0.3">
      <c r="A23" s="33"/>
      <c r="B23" s="34"/>
      <c r="C23" s="35"/>
      <c r="D23" s="35" t="s">
        <v>266</v>
      </c>
      <c r="E23" s="35"/>
      <c r="F23" s="35" t="s">
        <v>267</v>
      </c>
      <c r="G23" s="35"/>
      <c r="H23" s="35" t="s">
        <v>140</v>
      </c>
      <c r="I23" s="35"/>
      <c r="J23" s="35" t="s">
        <v>141</v>
      </c>
      <c r="K23" s="35"/>
      <c r="L23" s="35" t="s">
        <v>170</v>
      </c>
      <c r="M23" s="35"/>
      <c r="N23" s="35" t="s">
        <v>160</v>
      </c>
      <c r="O23" s="35"/>
      <c r="P23" s="35" t="s">
        <v>180</v>
      </c>
      <c r="Q23" s="35"/>
      <c r="R23" s="35" t="s">
        <v>181</v>
      </c>
      <c r="S23" s="35"/>
      <c r="T23" s="35" t="s">
        <v>369</v>
      </c>
      <c r="U23" s="35"/>
      <c r="V23" s="35" t="s">
        <v>370</v>
      </c>
      <c r="W23" s="35"/>
      <c r="X23" s="35" t="s">
        <v>371</v>
      </c>
      <c r="Y23" s="35" t="s">
        <v>372</v>
      </c>
      <c r="Z23" s="35"/>
      <c r="AA23" s="34"/>
      <c r="AB23" s="34"/>
      <c r="AC23" s="36"/>
      <c r="AD23" s="5"/>
    </row>
    <row r="24" spans="1:33" s="23" customFormat="1" x14ac:dyDescent="0.3">
      <c r="A24" s="18"/>
      <c r="B24" s="37" t="s">
        <v>156</v>
      </c>
      <c r="C24" s="38"/>
      <c r="D24" s="228" t="s">
        <v>213</v>
      </c>
      <c r="E24" s="228"/>
      <c r="F24" s="228" t="s">
        <v>213</v>
      </c>
      <c r="G24" s="228"/>
      <c r="H24" s="228" t="s">
        <v>359</v>
      </c>
      <c r="I24" s="228"/>
      <c r="J24" s="228" t="s">
        <v>268</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t="s">
        <v>214</v>
      </c>
      <c r="E25" s="227"/>
      <c r="F25" s="227" t="s">
        <v>214</v>
      </c>
      <c r="G25" s="227"/>
      <c r="H25" s="227" t="s">
        <v>215</v>
      </c>
      <c r="I25" s="227"/>
      <c r="J25" s="227" t="s">
        <v>269</v>
      </c>
      <c r="K25" s="227"/>
      <c r="L25" s="227" t="s">
        <v>270</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157</v>
      </c>
      <c r="C26" s="41"/>
      <c r="D26" s="229" t="s">
        <v>213</v>
      </c>
      <c r="E26" s="229"/>
      <c r="F26" s="229" t="s">
        <v>213</v>
      </c>
      <c r="G26" s="229"/>
      <c r="H26" s="229" t="s">
        <v>359</v>
      </c>
      <c r="I26" s="229"/>
      <c r="J26" s="229" t="s">
        <v>309</v>
      </c>
      <c r="K26" s="229"/>
      <c r="L26" s="229" t="s">
        <v>310</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t="s">
        <v>214</v>
      </c>
      <c r="E27" s="229"/>
      <c r="F27" s="229" t="s">
        <v>214</v>
      </c>
      <c r="G27" s="229"/>
      <c r="H27" s="229" t="s">
        <v>214</v>
      </c>
      <c r="I27" s="229"/>
      <c r="J27" s="229" t="s">
        <v>215</v>
      </c>
      <c r="K27" s="229"/>
      <c r="L27" s="229" t="s">
        <v>365</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t="s">
        <v>272</v>
      </c>
      <c r="E28" s="227"/>
      <c r="F28" s="227" t="s">
        <v>273</v>
      </c>
      <c r="G28" s="227"/>
      <c r="H28" s="227" t="s">
        <v>274</v>
      </c>
      <c r="I28" s="227"/>
      <c r="J28" s="227" t="s">
        <v>275</v>
      </c>
      <c r="K28" s="227"/>
      <c r="L28" s="227" t="s">
        <v>276</v>
      </c>
      <c r="M28" s="227"/>
      <c r="N28" s="227" t="s">
        <v>277</v>
      </c>
      <c r="O28" s="227"/>
      <c r="P28" s="227" t="s">
        <v>278</v>
      </c>
      <c r="Q28" s="227"/>
      <c r="R28" s="227" t="s">
        <v>83</v>
      </c>
      <c r="S28" s="227"/>
      <c r="T28" s="227" t="s">
        <v>279</v>
      </c>
      <c r="U28" s="227"/>
      <c r="V28" s="227" t="s">
        <v>280</v>
      </c>
      <c r="W28" s="227"/>
      <c r="X28" s="227" t="s">
        <v>281</v>
      </c>
      <c r="Y28" s="227" t="s">
        <v>282</v>
      </c>
      <c r="Z28" s="227"/>
      <c r="AA28" s="49"/>
      <c r="AB28" s="50"/>
      <c r="AC28" s="51"/>
      <c r="AD28" s="22"/>
      <c r="AE28" s="45"/>
      <c r="AG28" s="46"/>
    </row>
    <row r="29" spans="1:33" s="23" customFormat="1" x14ac:dyDescent="0.3">
      <c r="A29" s="39"/>
      <c r="B29" s="40" t="s">
        <v>91</v>
      </c>
      <c r="C29" s="52"/>
      <c r="D29" s="54">
        <v>383489</v>
      </c>
      <c r="E29" s="53"/>
      <c r="F29" s="54">
        <v>151540</v>
      </c>
      <c r="G29" s="55"/>
      <c r="H29" s="54">
        <v>24741</v>
      </c>
      <c r="I29" s="55"/>
      <c r="J29" s="54">
        <v>18555</v>
      </c>
      <c r="K29" s="55"/>
      <c r="L29" s="54">
        <v>20102</v>
      </c>
      <c r="M29" s="50"/>
      <c r="N29" s="54">
        <v>20105</v>
      </c>
      <c r="O29" s="54"/>
      <c r="P29" s="231">
        <v>10177</v>
      </c>
      <c r="Q29" s="231"/>
      <c r="R29" s="231">
        <v>9478</v>
      </c>
      <c r="S29" s="54"/>
      <c r="T29" s="54" t="s">
        <v>83</v>
      </c>
      <c r="U29" s="54"/>
      <c r="V29" s="54" t="s">
        <v>83</v>
      </c>
      <c r="W29" s="54"/>
      <c r="X29" s="54" t="s">
        <v>83</v>
      </c>
      <c r="Y29" s="54" t="s">
        <v>83</v>
      </c>
      <c r="Z29" s="54"/>
      <c r="AA29" s="52"/>
      <c r="AB29" s="50">
        <f>SUM(D29:N29)</f>
        <v>618532</v>
      </c>
      <c r="AC29" s="51"/>
      <c r="AD29" s="22"/>
    </row>
    <row r="30" spans="1:33" s="23" customFormat="1" x14ac:dyDescent="0.3">
      <c r="A30" s="47"/>
      <c r="B30" s="40" t="s">
        <v>90</v>
      </c>
      <c r="C30" s="49"/>
      <c r="D30" s="54">
        <f>D33*D29</f>
        <v>188588.38553</v>
      </c>
      <c r="E30" s="54"/>
      <c r="F30" s="54">
        <f t="shared" ref="F30:N30" si="0">F33*F29</f>
        <v>151540</v>
      </c>
      <c r="G30" s="54"/>
      <c r="H30" s="54">
        <f t="shared" si="0"/>
        <v>24741</v>
      </c>
      <c r="I30" s="54"/>
      <c r="J30" s="54">
        <f t="shared" si="0"/>
        <v>18555</v>
      </c>
      <c r="K30" s="54"/>
      <c r="L30" s="54">
        <f t="shared" si="0"/>
        <v>20102</v>
      </c>
      <c r="M30" s="54"/>
      <c r="N30" s="54">
        <f t="shared" si="0"/>
        <v>20105</v>
      </c>
      <c r="O30" s="54"/>
      <c r="P30" s="54">
        <f>P33*P29</f>
        <v>6302.9214100000008</v>
      </c>
      <c r="Q30" s="54"/>
      <c r="R30" s="54">
        <v>0</v>
      </c>
      <c r="S30" s="54"/>
      <c r="T30" s="54" t="s">
        <v>83</v>
      </c>
      <c r="U30" s="54"/>
      <c r="V30" s="54" t="s">
        <v>83</v>
      </c>
      <c r="W30" s="54"/>
      <c r="X30" s="54" t="s">
        <v>83</v>
      </c>
      <c r="Y30" s="54" t="s">
        <v>83</v>
      </c>
      <c r="Z30" s="54"/>
      <c r="AA30" s="49"/>
      <c r="AB30" s="50">
        <f>SUM(D30:N30)</f>
        <v>423631.38552999997</v>
      </c>
      <c r="AC30" s="51"/>
      <c r="AD30" s="22"/>
    </row>
    <row r="31" spans="1:33" s="23" customFormat="1" x14ac:dyDescent="0.3">
      <c r="A31" s="47"/>
      <c r="B31" s="44" t="s">
        <v>92</v>
      </c>
      <c r="C31" s="49"/>
      <c r="D31" s="57">
        <f>D29*D32</f>
        <v>176558.33559999999</v>
      </c>
      <c r="E31" s="57"/>
      <c r="F31" s="57">
        <f>F29</f>
        <v>151540</v>
      </c>
      <c r="G31" s="57"/>
      <c r="H31" s="57">
        <f>H29</f>
        <v>24741</v>
      </c>
      <c r="I31" s="57"/>
      <c r="J31" s="57">
        <f>J29</f>
        <v>18555</v>
      </c>
      <c r="K31" s="57"/>
      <c r="L31" s="57">
        <f>L29</f>
        <v>20102</v>
      </c>
      <c r="M31" s="57"/>
      <c r="N31" s="57">
        <f>N29</f>
        <v>20105</v>
      </c>
      <c r="O31" s="57"/>
      <c r="P31" s="57">
        <f>P29*P32</f>
        <v>6052.9742900000001</v>
      </c>
      <c r="Q31" s="57"/>
      <c r="R31" s="57">
        <v>0</v>
      </c>
      <c r="S31" s="57"/>
      <c r="T31" s="57" t="s">
        <v>83</v>
      </c>
      <c r="U31" s="57"/>
      <c r="V31" s="57" t="s">
        <v>83</v>
      </c>
      <c r="W31" s="57"/>
      <c r="X31" s="57" t="s">
        <v>83</v>
      </c>
      <c r="Y31" s="57" t="s">
        <v>83</v>
      </c>
      <c r="Z31" s="57"/>
      <c r="AA31" s="49"/>
      <c r="AB31" s="56">
        <f>SUM(D31:N31)</f>
        <v>411601.33559999999</v>
      </c>
      <c r="AC31" s="51"/>
      <c r="AD31" s="22"/>
      <c r="AE31" s="235"/>
    </row>
    <row r="32" spans="1:33" s="65" customFormat="1" x14ac:dyDescent="0.3">
      <c r="A32" s="58"/>
      <c r="B32" s="166" t="s">
        <v>88</v>
      </c>
      <c r="C32" s="61"/>
      <c r="D32" s="60">
        <v>0.46039999999999998</v>
      </c>
      <c r="E32" s="60"/>
      <c r="F32" s="60">
        <v>1</v>
      </c>
      <c r="G32" s="60"/>
      <c r="H32" s="60">
        <v>1</v>
      </c>
      <c r="I32" s="60"/>
      <c r="J32" s="60">
        <v>1</v>
      </c>
      <c r="K32" s="60"/>
      <c r="L32" s="60">
        <v>1</v>
      </c>
      <c r="M32" s="60"/>
      <c r="N32" s="60">
        <v>1</v>
      </c>
      <c r="O32" s="60"/>
      <c r="P32" s="60">
        <v>0.59477000000000002</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v>0.49176999999999998</v>
      </c>
      <c r="E33" s="60"/>
      <c r="F33" s="60">
        <v>1</v>
      </c>
      <c r="G33" s="60"/>
      <c r="H33" s="60">
        <v>1</v>
      </c>
      <c r="I33" s="60"/>
      <c r="J33" s="60">
        <v>1</v>
      </c>
      <c r="K33" s="60"/>
      <c r="L33" s="60">
        <v>1</v>
      </c>
      <c r="M33" s="60"/>
      <c r="N33" s="60">
        <v>1</v>
      </c>
      <c r="O33" s="60"/>
      <c r="P33" s="60">
        <v>0.61933000000000005</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t="s">
        <v>283</v>
      </c>
      <c r="E34" s="48"/>
      <c r="F34" s="48" t="s">
        <v>284</v>
      </c>
      <c r="G34" s="48"/>
      <c r="H34" s="48" t="s">
        <v>285</v>
      </c>
      <c r="I34" s="48"/>
      <c r="J34" s="48" t="s">
        <v>286</v>
      </c>
      <c r="K34" s="48"/>
      <c r="L34" s="48" t="s">
        <v>246</v>
      </c>
      <c r="M34" s="48"/>
      <c r="N34" s="48" t="s">
        <v>287</v>
      </c>
      <c r="O34" s="48"/>
      <c r="P34" s="48" t="s">
        <v>247</v>
      </c>
      <c r="Q34" s="48"/>
      <c r="R34" s="48" t="s">
        <v>247</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v>1.10002E-2</v>
      </c>
      <c r="E35" s="241"/>
      <c r="F35" s="241">
        <v>1.25002E-2</v>
      </c>
      <c r="G35" s="241"/>
      <c r="H35" s="241">
        <v>1.9500199999999999E-2</v>
      </c>
      <c r="I35" s="241"/>
      <c r="J35" s="241">
        <v>2.3000199999999998E-2</v>
      </c>
      <c r="K35" s="241"/>
      <c r="L35" s="241">
        <v>2.6500200000000002E-2</v>
      </c>
      <c r="M35" s="241"/>
      <c r="N35" s="241">
        <v>3.6500199999999997E-2</v>
      </c>
      <c r="O35" s="241"/>
      <c r="P35" s="241">
        <v>4.05002E-2</v>
      </c>
      <c r="Q35" s="241"/>
      <c r="R35" s="241">
        <v>4.05002E-2</v>
      </c>
      <c r="S35" s="68"/>
      <c r="T35" s="68" t="s">
        <v>83</v>
      </c>
      <c r="U35" s="68"/>
      <c r="V35" s="68" t="s">
        <v>83</v>
      </c>
      <c r="W35" s="68"/>
      <c r="X35" s="68" t="s">
        <v>83</v>
      </c>
      <c r="Y35" s="68" t="s">
        <v>83</v>
      </c>
      <c r="Z35" s="68"/>
      <c r="AA35" s="40"/>
      <c r="AB35" s="67">
        <f>SUMPRODUCT(D35:N35,D30:N30)/AB30</f>
        <v>1.4504489461798793E-2</v>
      </c>
      <c r="AC35" s="43"/>
      <c r="AD35" s="22"/>
    </row>
    <row r="36" spans="1:30" s="23" customFormat="1" x14ac:dyDescent="0.3">
      <c r="A36" s="47"/>
      <c r="B36" s="40" t="s">
        <v>10</v>
      </c>
      <c r="C36" s="69"/>
      <c r="D36" s="241">
        <v>1.1000899999999999E-2</v>
      </c>
      <c r="E36" s="241"/>
      <c r="F36" s="241">
        <v>1.2500900000000001E-2</v>
      </c>
      <c r="G36" s="241"/>
      <c r="H36" s="241">
        <v>1.9500900000000002E-2</v>
      </c>
      <c r="I36" s="241"/>
      <c r="J36" s="241">
        <v>2.3000900000000001E-2</v>
      </c>
      <c r="K36" s="241"/>
      <c r="L36" s="241">
        <v>2.6500900000000001E-2</v>
      </c>
      <c r="M36" s="241"/>
      <c r="N36" s="241">
        <v>3.6500900000000003E-2</v>
      </c>
      <c r="O36" s="241"/>
      <c r="P36" s="241">
        <v>4.0500899999999999E-2</v>
      </c>
      <c r="Q36" s="241"/>
      <c r="R36" s="241">
        <v>4.0500899999999999E-2</v>
      </c>
      <c r="S36" s="68"/>
      <c r="T36" s="68" t="s">
        <v>83</v>
      </c>
      <c r="U36" s="68"/>
      <c r="V36" s="68" t="s">
        <v>83</v>
      </c>
      <c r="W36" s="68"/>
      <c r="X36" s="68" t="s">
        <v>83</v>
      </c>
      <c r="Y36" s="68" t="s">
        <v>83</v>
      </c>
      <c r="Z36" s="68"/>
      <c r="AA36" s="40"/>
      <c r="AB36" s="40"/>
      <c r="AC36" s="43"/>
      <c r="AD36" s="22"/>
    </row>
    <row r="37" spans="1:30" s="23" customFormat="1" x14ac:dyDescent="0.3">
      <c r="A37" s="47"/>
      <c r="B37" s="40" t="s">
        <v>158</v>
      </c>
      <c r="C37" s="40"/>
      <c r="D37" s="69">
        <v>45519</v>
      </c>
      <c r="E37" s="69"/>
      <c r="F37" s="69">
        <v>45519</v>
      </c>
      <c r="G37" s="69"/>
      <c r="H37" s="69">
        <v>45519</v>
      </c>
      <c r="I37" s="69"/>
      <c r="J37" s="69">
        <v>45519</v>
      </c>
      <c r="K37" s="69"/>
      <c r="L37" s="69">
        <v>45519</v>
      </c>
      <c r="M37" s="69"/>
      <c r="N37" s="69">
        <v>45519</v>
      </c>
      <c r="O37" s="69"/>
      <c r="P37" s="69">
        <v>45519</v>
      </c>
      <c r="Q37" s="69"/>
      <c r="R37" s="69">
        <v>45519</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v>45519</v>
      </c>
      <c r="E38" s="69"/>
      <c r="F38" s="69">
        <v>45519</v>
      </c>
      <c r="G38" s="48"/>
      <c r="H38" s="69">
        <v>45519</v>
      </c>
      <c r="I38" s="48"/>
      <c r="J38" s="69">
        <v>45519</v>
      </c>
      <c r="K38" s="48"/>
      <c r="L38" s="69">
        <v>45519</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t="s">
        <v>288</v>
      </c>
      <c r="E39" s="48"/>
      <c r="F39" s="48" t="s">
        <v>289</v>
      </c>
      <c r="G39" s="48"/>
      <c r="H39" s="48" t="s">
        <v>290</v>
      </c>
      <c r="I39" s="48"/>
      <c r="J39" s="48" t="s">
        <v>291</v>
      </c>
      <c r="K39" s="48"/>
      <c r="L39" s="48" t="s">
        <v>287</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t="s">
        <v>159</v>
      </c>
      <c r="C40" s="40"/>
      <c r="D40" s="48" t="s">
        <v>288</v>
      </c>
      <c r="E40" s="48"/>
      <c r="F40" s="48" t="s">
        <v>289</v>
      </c>
      <c r="G40" s="48"/>
      <c r="H40" s="48" t="s">
        <v>290</v>
      </c>
      <c r="I40" s="48"/>
      <c r="J40" s="48" t="s">
        <v>291</v>
      </c>
      <c r="K40" s="48"/>
      <c r="L40" s="48" t="s">
        <v>287</v>
      </c>
      <c r="M40" s="48"/>
      <c r="N40" s="48" t="s">
        <v>83</v>
      </c>
      <c r="O40" s="48"/>
      <c r="P40" s="48" t="s">
        <v>83</v>
      </c>
      <c r="Q40" s="48"/>
      <c r="R40" s="48" t="s">
        <v>83</v>
      </c>
      <c r="S40" s="48"/>
      <c r="T40" s="48" t="s">
        <v>83</v>
      </c>
      <c r="U40" s="48"/>
      <c r="V40" s="48" t="s">
        <v>83</v>
      </c>
      <c r="W40" s="48"/>
      <c r="X40" s="48" t="s">
        <v>83</v>
      </c>
      <c r="Y40" s="48" t="s">
        <v>83</v>
      </c>
      <c r="Z40" s="48"/>
      <c r="AA40" s="70"/>
      <c r="AB40" s="70"/>
      <c r="AC40" s="43"/>
      <c r="AD40" s="22"/>
    </row>
    <row r="41" spans="1:30" s="23" customFormat="1" x14ac:dyDescent="0.3">
      <c r="A41" s="47"/>
      <c r="B41" s="40"/>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67" t="s">
        <v>110</v>
      </c>
      <c r="AC41" s="43"/>
      <c r="AD41" s="22"/>
    </row>
    <row r="42" spans="1:30" s="23" customFormat="1" x14ac:dyDescent="0.3">
      <c r="A42" s="47"/>
      <c r="B42" s="40" t="s">
        <v>245</v>
      </c>
      <c r="C42" s="40"/>
      <c r="D42" s="48"/>
      <c r="E42" s="48"/>
      <c r="F42" s="48"/>
      <c r="G42" s="48"/>
      <c r="H42" s="48"/>
      <c r="I42" s="48"/>
      <c r="J42" s="48"/>
      <c r="K42" s="48"/>
      <c r="L42" s="48"/>
      <c r="M42" s="48"/>
      <c r="N42" s="48"/>
      <c r="O42" s="48"/>
      <c r="P42" s="48"/>
      <c r="Q42" s="48"/>
      <c r="R42" s="48"/>
      <c r="S42" s="48"/>
      <c r="T42" s="48"/>
      <c r="U42" s="48"/>
      <c r="V42" s="48"/>
      <c r="W42" s="48"/>
      <c r="X42" s="48"/>
      <c r="Y42" s="40"/>
      <c r="Z42" s="40"/>
      <c r="AA42" s="40"/>
      <c r="AB42" s="232">
        <f>SUM(G29:N29)/(D29+F29)</f>
        <v>0.15607191385887495</v>
      </c>
      <c r="AC42" s="43"/>
      <c r="AD42" s="22"/>
    </row>
    <row r="43" spans="1:30" s="23" customFormat="1" x14ac:dyDescent="0.3">
      <c r="A43" s="47"/>
      <c r="B43" s="40" t="s">
        <v>244</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232">
        <f>SUM(G31:N31)/(D31+F31)</f>
        <v>0.2545060152386826</v>
      </c>
      <c r="AC43" s="43"/>
      <c r="AD43" s="22"/>
    </row>
    <row r="44" spans="1:30" s="23" customFormat="1" x14ac:dyDescent="0.3">
      <c r="A44" s="47"/>
      <c r="B44" s="40" t="s">
        <v>192</v>
      </c>
      <c r="C44" s="40"/>
      <c r="D44" s="40"/>
      <c r="E44" s="40"/>
      <c r="F44" s="40"/>
      <c r="G44" s="40"/>
      <c r="H44" s="40"/>
      <c r="I44" s="40"/>
      <c r="J44" s="40"/>
      <c r="K44" s="40"/>
      <c r="L44" s="40"/>
      <c r="M44" s="40"/>
      <c r="N44" s="40"/>
      <c r="O44" s="40"/>
      <c r="P44" s="40"/>
      <c r="Q44" s="40"/>
      <c r="R44" s="40"/>
      <c r="S44" s="40"/>
      <c r="T44" s="40"/>
      <c r="U44" s="40"/>
      <c r="V44" s="40"/>
      <c r="W44" s="40"/>
      <c r="X44" s="40"/>
      <c r="Y44" s="40"/>
      <c r="Z44" s="48"/>
      <c r="AA44" s="48"/>
      <c r="AB44" s="50" t="s">
        <v>123</v>
      </c>
      <c r="AC44" s="43"/>
      <c r="AD44" s="22"/>
    </row>
    <row r="45" spans="1:30" s="23" customFormat="1" x14ac:dyDescent="0.3">
      <c r="A45" s="47"/>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1"/>
      <c r="AC45" s="43"/>
      <c r="AD45" s="22"/>
    </row>
    <row r="46" spans="1:30" s="23" customFormat="1" x14ac:dyDescent="0.3">
      <c r="A46" s="47"/>
      <c r="B46" s="40" t="s">
        <v>191</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72" t="s">
        <v>77</v>
      </c>
      <c r="AC46" s="43"/>
      <c r="AD46" s="22"/>
    </row>
    <row r="47" spans="1:30" s="23" customFormat="1" x14ac:dyDescent="0.3">
      <c r="A47" s="47"/>
      <c r="B47" s="44" t="s">
        <v>111</v>
      </c>
      <c r="C47" s="44"/>
      <c r="D47" s="44"/>
      <c r="E47" s="44"/>
      <c r="F47" s="44"/>
      <c r="G47" s="44"/>
      <c r="H47" s="44"/>
      <c r="I47" s="44"/>
      <c r="J47" s="44"/>
      <c r="K47" s="44"/>
      <c r="L47" s="44"/>
      <c r="M47" s="44"/>
      <c r="N47" s="44"/>
      <c r="O47" s="44"/>
      <c r="P47" s="44"/>
      <c r="Q47" s="44"/>
      <c r="R47" s="44"/>
      <c r="S47" s="44"/>
      <c r="T47" s="44"/>
      <c r="U47" s="44"/>
      <c r="V47" s="44"/>
      <c r="W47" s="44"/>
      <c r="X47" s="44"/>
      <c r="Y47" s="44"/>
      <c r="Z47" s="73"/>
      <c r="AA47" s="73"/>
      <c r="AB47" s="74">
        <v>44515</v>
      </c>
      <c r="AC47" s="43"/>
      <c r="AD47" s="22"/>
    </row>
    <row r="48" spans="1:30" s="23" customFormat="1" x14ac:dyDescent="0.3">
      <c r="A48" s="47"/>
      <c r="B48" s="40" t="s">
        <v>85</v>
      </c>
      <c r="C48" s="40"/>
      <c r="D48" s="75"/>
      <c r="E48" s="75"/>
      <c r="F48" s="75"/>
      <c r="G48" s="75"/>
      <c r="H48" s="75"/>
      <c r="I48" s="75"/>
      <c r="J48" s="75"/>
      <c r="K48" s="75"/>
      <c r="L48" s="75"/>
      <c r="M48" s="75"/>
      <c r="N48" s="75"/>
      <c r="O48" s="75"/>
      <c r="P48" s="75"/>
      <c r="Q48" s="75"/>
      <c r="R48" s="75"/>
      <c r="S48" s="75"/>
      <c r="T48" s="75"/>
      <c r="U48" s="75"/>
      <c r="V48" s="75"/>
      <c r="W48" s="75"/>
      <c r="X48" s="40">
        <f>+AB48-Z48+1</f>
        <v>91</v>
      </c>
      <c r="Y48" s="40"/>
      <c r="Z48" s="76">
        <v>44333</v>
      </c>
      <c r="AA48" s="77"/>
      <c r="AB48" s="76">
        <v>44423</v>
      </c>
      <c r="AC48" s="43"/>
      <c r="AD48" s="22"/>
    </row>
    <row r="49" spans="1:31" s="23" customFormat="1" x14ac:dyDescent="0.3">
      <c r="A49" s="47"/>
      <c r="B49" s="40" t="s">
        <v>86</v>
      </c>
      <c r="C49" s="40"/>
      <c r="D49" s="40"/>
      <c r="E49" s="40"/>
      <c r="F49" s="40"/>
      <c r="G49" s="40"/>
      <c r="H49" s="40"/>
      <c r="I49" s="40"/>
      <c r="J49" s="40"/>
      <c r="K49" s="40"/>
      <c r="L49" s="40"/>
      <c r="M49" s="40"/>
      <c r="N49" s="40"/>
      <c r="O49" s="40"/>
      <c r="P49" s="40"/>
      <c r="Q49" s="40"/>
      <c r="R49" s="40"/>
      <c r="S49" s="40"/>
      <c r="T49" s="40"/>
      <c r="U49" s="40"/>
      <c r="V49" s="40"/>
      <c r="W49" s="40"/>
      <c r="X49" s="40">
        <f>+AB49-Z49+1</f>
        <v>91</v>
      </c>
      <c r="Y49" s="40"/>
      <c r="Z49" s="76">
        <v>44424</v>
      </c>
      <c r="AA49" s="77"/>
      <c r="AB49" s="76">
        <v>44514</v>
      </c>
      <c r="AC49" s="43"/>
      <c r="AD49" s="22"/>
    </row>
    <row r="50" spans="1:31" s="23" customFormat="1" x14ac:dyDescent="0.3">
      <c r="A50" s="47"/>
      <c r="B50" s="40" t="s">
        <v>182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t="s">
        <v>99</v>
      </c>
      <c r="AC50" s="43"/>
      <c r="AD50" s="22"/>
      <c r="AE50" s="78"/>
    </row>
    <row r="51" spans="1:31" s="23" customFormat="1" x14ac:dyDescent="0.3">
      <c r="A51" s="47"/>
      <c r="B51" s="40" t="s">
        <v>12</v>
      </c>
      <c r="C51" s="40"/>
      <c r="D51" s="40"/>
      <c r="E51" s="40"/>
      <c r="F51" s="40"/>
      <c r="G51" s="40"/>
      <c r="H51" s="40"/>
      <c r="I51" s="40"/>
      <c r="J51" s="40"/>
      <c r="K51" s="40"/>
      <c r="L51" s="40"/>
      <c r="M51" s="40"/>
      <c r="N51" s="40"/>
      <c r="O51" s="40"/>
      <c r="P51" s="40"/>
      <c r="Q51" s="40"/>
      <c r="R51" s="40"/>
      <c r="S51" s="40"/>
      <c r="T51" s="40"/>
      <c r="U51" s="40"/>
      <c r="V51" s="40"/>
      <c r="W51" s="40"/>
      <c r="X51" s="40"/>
      <c r="Y51" s="40"/>
      <c r="Z51" s="76"/>
      <c r="AA51" s="77"/>
      <c r="AB51" s="76">
        <v>44514</v>
      </c>
      <c r="AC51" s="43"/>
      <c r="AD51" s="22"/>
    </row>
    <row r="52" spans="1:31" s="23" customFormat="1" x14ac:dyDescent="0.3">
      <c r="A52" s="18"/>
      <c r="B52" s="37"/>
      <c r="C52" s="37"/>
      <c r="D52" s="37"/>
      <c r="E52" s="37"/>
      <c r="F52" s="37"/>
      <c r="G52" s="37"/>
      <c r="H52" s="37"/>
      <c r="I52" s="37"/>
      <c r="J52" s="37"/>
      <c r="K52" s="37"/>
      <c r="L52" s="37"/>
      <c r="M52" s="37"/>
      <c r="N52" s="37"/>
      <c r="O52" s="37"/>
      <c r="P52" s="37"/>
      <c r="Q52" s="37"/>
      <c r="R52" s="37"/>
      <c r="S52" s="37"/>
      <c r="T52" s="37"/>
      <c r="U52" s="37"/>
      <c r="V52" s="37"/>
      <c r="W52" s="37"/>
      <c r="X52" s="37"/>
      <c r="Y52" s="37"/>
      <c r="Z52" s="79"/>
      <c r="AA52" s="80"/>
      <c r="AB52" s="79"/>
      <c r="AC52" s="21"/>
      <c r="AD52" s="22"/>
    </row>
    <row r="53" spans="1:31" s="23" customFormat="1" x14ac:dyDescent="0.3">
      <c r="A53" s="18"/>
      <c r="B53" s="20"/>
      <c r="C53" s="20"/>
      <c r="D53" s="20"/>
      <c r="E53" s="20"/>
      <c r="F53" s="20"/>
      <c r="G53" s="20"/>
      <c r="H53" s="20"/>
      <c r="I53" s="20"/>
      <c r="J53" s="20"/>
      <c r="K53" s="20"/>
      <c r="L53" s="20"/>
      <c r="M53" s="20"/>
      <c r="N53" s="20"/>
      <c r="O53" s="20"/>
      <c r="P53" s="20"/>
      <c r="Q53" s="20"/>
      <c r="R53" s="20"/>
      <c r="S53" s="20"/>
      <c r="T53" s="20"/>
      <c r="U53" s="20"/>
      <c r="V53" s="20"/>
      <c r="W53" s="20"/>
      <c r="X53" s="20"/>
      <c r="Y53" s="20"/>
      <c r="Z53" s="81"/>
      <c r="AA53" s="82"/>
      <c r="AB53" s="81"/>
      <c r="AC53" s="21"/>
      <c r="AD53" s="22"/>
    </row>
    <row r="54" spans="1:31" s="23" customFormat="1" ht="18.600000000000001" thickBot="1" x14ac:dyDescent="0.4">
      <c r="A54" s="83"/>
      <c r="B54" s="84" t="s">
        <v>364</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6"/>
      <c r="AC54" s="87"/>
      <c r="AD54" s="22"/>
    </row>
    <row r="55" spans="1:31" x14ac:dyDescent="0.3">
      <c r="A55" s="33"/>
      <c r="B55" s="88" t="s">
        <v>13</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90"/>
      <c r="AC55" s="89"/>
      <c r="AD55" s="5"/>
    </row>
    <row r="56" spans="1:31" x14ac:dyDescent="0.3">
      <c r="A56" s="7"/>
      <c r="B56" s="17"/>
      <c r="C56" s="9"/>
      <c r="D56" s="9"/>
      <c r="E56" s="9"/>
      <c r="F56" s="9"/>
      <c r="G56" s="9"/>
      <c r="H56" s="9"/>
      <c r="I56" s="9"/>
      <c r="J56" s="9"/>
      <c r="K56" s="9"/>
      <c r="L56" s="9"/>
      <c r="M56" s="9"/>
      <c r="N56" s="9"/>
      <c r="O56" s="9"/>
      <c r="P56" s="9"/>
      <c r="Q56" s="9"/>
      <c r="R56" s="9"/>
      <c r="S56" s="9"/>
      <c r="T56" s="9"/>
      <c r="U56" s="9"/>
      <c r="V56" s="9"/>
      <c r="W56" s="9"/>
      <c r="X56" s="9"/>
      <c r="Y56" s="9"/>
      <c r="Z56" s="9"/>
      <c r="AA56" s="9"/>
      <c r="AB56" s="91"/>
      <c r="AC56" s="10"/>
      <c r="AD56" s="5"/>
    </row>
    <row r="57" spans="1:31" s="65" customFormat="1" ht="46.8" x14ac:dyDescent="0.3">
      <c r="A57" s="92"/>
      <c r="B57" s="93" t="s">
        <v>14</v>
      </c>
      <c r="C57" s="94"/>
      <c r="D57" s="94"/>
      <c r="E57" s="94"/>
      <c r="F57" s="94"/>
      <c r="G57" s="94"/>
      <c r="H57" s="94"/>
      <c r="I57" s="94"/>
      <c r="J57" s="94"/>
      <c r="K57" s="94"/>
      <c r="L57" s="94"/>
      <c r="M57" s="94"/>
      <c r="N57" s="94"/>
      <c r="O57" s="94"/>
      <c r="P57" s="94" t="s">
        <v>63</v>
      </c>
      <c r="Q57" s="94"/>
      <c r="R57" s="94" t="s">
        <v>65</v>
      </c>
      <c r="S57" s="94"/>
      <c r="T57" s="94" t="s">
        <v>135</v>
      </c>
      <c r="U57" s="94"/>
      <c r="V57" s="94" t="s">
        <v>136</v>
      </c>
      <c r="W57" s="94"/>
      <c r="X57" s="94" t="s">
        <v>68</v>
      </c>
      <c r="Y57" s="94"/>
      <c r="Z57" s="94" t="s">
        <v>72</v>
      </c>
      <c r="AA57" s="94"/>
      <c r="AB57" s="95" t="s">
        <v>78</v>
      </c>
      <c r="AC57" s="96"/>
      <c r="AD57" s="64"/>
    </row>
    <row r="58" spans="1:31" s="23" customFormat="1" x14ac:dyDescent="0.3">
      <c r="A58" s="47"/>
      <c r="B58" s="40" t="s">
        <v>15</v>
      </c>
      <c r="C58" s="97"/>
      <c r="D58" s="97"/>
      <c r="E58" s="97"/>
      <c r="F58" s="97"/>
      <c r="G58" s="97"/>
      <c r="H58" s="98"/>
      <c r="I58" s="97"/>
      <c r="J58" s="98"/>
      <c r="K58" s="97"/>
      <c r="L58" s="97"/>
      <c r="M58" s="97"/>
      <c r="N58" s="97"/>
      <c r="O58" s="97"/>
      <c r="P58" s="238">
        <v>618144</v>
      </c>
      <c r="Q58" s="238"/>
      <c r="R58" s="237">
        <v>423631</v>
      </c>
      <c r="S58" s="238"/>
      <c r="T58" s="237">
        <f>155+190</f>
        <v>345</v>
      </c>
      <c r="U58" s="238"/>
      <c r="V58" s="238">
        <v>11685</v>
      </c>
      <c r="W58" s="238"/>
      <c r="X58" s="238">
        <v>0</v>
      </c>
      <c r="Y58" s="238"/>
      <c r="Z58" s="238">
        <v>0</v>
      </c>
      <c r="AA58" s="238"/>
      <c r="AB58" s="237">
        <f>R58-T58-V58+X58-Z58</f>
        <v>411601</v>
      </c>
      <c r="AC58" s="43"/>
      <c r="AD58" s="22"/>
      <c r="AE58" s="271"/>
    </row>
    <row r="59" spans="1:31" s="23" customFormat="1" x14ac:dyDescent="0.3">
      <c r="A59" s="47"/>
      <c r="B59" s="40" t="s">
        <v>16</v>
      </c>
      <c r="C59" s="97"/>
      <c r="D59" s="97"/>
      <c r="E59" s="97"/>
      <c r="F59" s="97"/>
      <c r="G59" s="97"/>
      <c r="H59" s="98"/>
      <c r="I59" s="97"/>
      <c r="J59" s="98"/>
      <c r="K59" s="97"/>
      <c r="L59" s="97"/>
      <c r="M59" s="97"/>
      <c r="N59" s="97"/>
      <c r="O59" s="97"/>
      <c r="P59" s="238">
        <v>0</v>
      </c>
      <c r="Q59" s="238"/>
      <c r="R59" s="237">
        <v>0</v>
      </c>
      <c r="S59" s="238"/>
      <c r="T59" s="237">
        <v>0</v>
      </c>
      <c r="U59" s="238"/>
      <c r="V59" s="238">
        <v>0</v>
      </c>
      <c r="W59" s="238"/>
      <c r="X59" s="238">
        <v>0</v>
      </c>
      <c r="Y59" s="238"/>
      <c r="Z59" s="238">
        <v>0</v>
      </c>
      <c r="AA59" s="238"/>
      <c r="AB59" s="237">
        <f>F59-J59-L59</f>
        <v>0</v>
      </c>
      <c r="AC59" s="43"/>
      <c r="AD59" s="22"/>
    </row>
    <row r="60" spans="1:31" s="23" customFormat="1" x14ac:dyDescent="0.3">
      <c r="A60" s="47"/>
      <c r="B60" s="40"/>
      <c r="C60" s="97"/>
      <c r="D60" s="97"/>
      <c r="E60" s="97"/>
      <c r="F60" s="97"/>
      <c r="G60" s="97"/>
      <c r="H60" s="98"/>
      <c r="I60" s="97"/>
      <c r="J60" s="98"/>
      <c r="K60" s="97"/>
      <c r="L60" s="97"/>
      <c r="M60" s="97"/>
      <c r="N60" s="97"/>
      <c r="O60" s="97"/>
      <c r="P60" s="238"/>
      <c r="Q60" s="238"/>
      <c r="R60" s="237"/>
      <c r="S60" s="238"/>
      <c r="T60" s="237"/>
      <c r="U60" s="238"/>
      <c r="V60" s="238"/>
      <c r="W60" s="238"/>
      <c r="X60" s="238"/>
      <c r="Y60" s="238"/>
      <c r="Z60" s="238"/>
      <c r="AA60" s="238"/>
      <c r="AB60" s="237"/>
      <c r="AC60" s="43"/>
      <c r="AD60" s="22"/>
    </row>
    <row r="61" spans="1:31" s="23" customFormat="1" x14ac:dyDescent="0.3">
      <c r="A61" s="47"/>
      <c r="B61" s="40" t="s">
        <v>17</v>
      </c>
      <c r="C61" s="97"/>
      <c r="D61" s="97"/>
      <c r="E61" s="97"/>
      <c r="F61" s="97"/>
      <c r="G61" s="97"/>
      <c r="H61" s="97"/>
      <c r="I61" s="97"/>
      <c r="J61" s="97"/>
      <c r="K61" s="97"/>
      <c r="L61" s="97"/>
      <c r="M61" s="97"/>
      <c r="N61" s="97"/>
      <c r="O61" s="97"/>
      <c r="P61" s="238">
        <f>SUM(P58:P60)</f>
        <v>618144</v>
      </c>
      <c r="Q61" s="238"/>
      <c r="R61" s="238">
        <f>R58+R59</f>
        <v>423631</v>
      </c>
      <c r="S61" s="238"/>
      <c r="T61" s="238">
        <f>T58+T59</f>
        <v>345</v>
      </c>
      <c r="U61" s="238"/>
      <c r="V61" s="238">
        <f>SUM(V58:V60)</f>
        <v>11685</v>
      </c>
      <c r="W61" s="238"/>
      <c r="X61" s="238">
        <f>SUM(X58:X60)</f>
        <v>0</v>
      </c>
      <c r="Y61" s="238"/>
      <c r="Z61" s="238">
        <f>SUM(Z58:Z60)</f>
        <v>0</v>
      </c>
      <c r="AA61" s="238"/>
      <c r="AB61" s="238">
        <f>SUM(AB58:AB60)</f>
        <v>411601</v>
      </c>
      <c r="AC61" s="43"/>
      <c r="AD61" s="22"/>
    </row>
    <row r="62" spans="1:31" s="23" customFormat="1" ht="32.1" customHeight="1" x14ac:dyDescent="0.3">
      <c r="A62" s="47"/>
      <c r="B62" s="40"/>
      <c r="C62" s="97"/>
      <c r="D62" s="97"/>
      <c r="E62" s="97"/>
      <c r="F62" s="97"/>
      <c r="G62" s="97"/>
      <c r="H62" s="97"/>
      <c r="I62" s="97"/>
      <c r="J62" s="97"/>
      <c r="K62" s="97"/>
      <c r="L62" s="97"/>
      <c r="M62" s="97"/>
      <c r="N62" s="97"/>
      <c r="O62" s="97"/>
      <c r="P62" s="238"/>
      <c r="Q62" s="238"/>
      <c r="R62" s="238"/>
      <c r="S62" s="238"/>
      <c r="T62" s="238"/>
      <c r="U62" s="238"/>
      <c r="V62" s="238"/>
      <c r="W62" s="238"/>
      <c r="X62" s="238"/>
      <c r="Y62" s="238"/>
      <c r="Z62" s="238"/>
      <c r="AA62" s="238"/>
      <c r="AB62" s="238"/>
      <c r="AC62" s="43"/>
      <c r="AD62" s="22"/>
    </row>
    <row r="63" spans="1:31" s="23" customFormat="1" x14ac:dyDescent="0.3">
      <c r="A63" s="47"/>
      <c r="B63" s="40" t="s">
        <v>18</v>
      </c>
      <c r="C63" s="97"/>
      <c r="D63" s="97"/>
      <c r="E63" s="97"/>
      <c r="F63" s="97"/>
      <c r="G63" s="97"/>
      <c r="H63" s="97"/>
      <c r="I63" s="97"/>
      <c r="J63" s="97"/>
      <c r="K63" s="97"/>
      <c r="L63" s="97"/>
      <c r="M63" s="97"/>
      <c r="N63" s="97"/>
      <c r="O63" s="97"/>
      <c r="P63" s="238">
        <v>0</v>
      </c>
      <c r="Q63" s="238"/>
      <c r="R63" s="238">
        <v>0</v>
      </c>
      <c r="S63" s="238"/>
      <c r="T63" s="238"/>
      <c r="U63" s="238"/>
      <c r="V63" s="238"/>
      <c r="W63" s="238"/>
      <c r="X63" s="238"/>
      <c r="Y63" s="238"/>
      <c r="Z63" s="238"/>
      <c r="AA63" s="238"/>
      <c r="AB63" s="237">
        <v>0</v>
      </c>
      <c r="AC63" s="43"/>
      <c r="AD63" s="22"/>
    </row>
    <row r="64" spans="1:31" s="23" customFormat="1" x14ac:dyDescent="0.3">
      <c r="A64" s="47"/>
      <c r="B64" s="40" t="s">
        <v>292</v>
      </c>
      <c r="C64" s="97"/>
      <c r="D64" s="97"/>
      <c r="E64" s="97"/>
      <c r="F64" s="97"/>
      <c r="G64" s="97"/>
      <c r="H64" s="97"/>
      <c r="I64" s="97"/>
      <c r="J64" s="97"/>
      <c r="K64" s="97"/>
      <c r="L64" s="97"/>
      <c r="M64" s="97"/>
      <c r="N64" s="97"/>
      <c r="O64" s="97"/>
      <c r="P64" s="238">
        <v>0</v>
      </c>
      <c r="Q64" s="238"/>
      <c r="R64" s="238">
        <v>0</v>
      </c>
      <c r="S64" s="238"/>
      <c r="T64" s="238">
        <v>0</v>
      </c>
      <c r="U64" s="238"/>
      <c r="V64" s="238">
        <v>0</v>
      </c>
      <c r="W64" s="238"/>
      <c r="X64" s="238"/>
      <c r="Y64" s="238"/>
      <c r="Z64" s="238"/>
      <c r="AA64" s="238"/>
      <c r="AB64" s="238">
        <f>R64+V64</f>
        <v>0</v>
      </c>
      <c r="AC64" s="43"/>
      <c r="AD64" s="22"/>
    </row>
    <row r="65" spans="1:30" s="23" customFormat="1" x14ac:dyDescent="0.3">
      <c r="A65" s="47"/>
      <c r="B65" s="40" t="s">
        <v>171</v>
      </c>
      <c r="C65" s="97"/>
      <c r="D65" s="97"/>
      <c r="E65" s="97"/>
      <c r="F65" s="97"/>
      <c r="G65" s="97"/>
      <c r="H65" s="97"/>
      <c r="I65" s="97"/>
      <c r="J65" s="97"/>
      <c r="K65" s="97"/>
      <c r="L65" s="97"/>
      <c r="M65" s="97"/>
      <c r="N65" s="97"/>
      <c r="O65" s="97"/>
      <c r="P65" s="238">
        <v>388</v>
      </c>
      <c r="Q65" s="238"/>
      <c r="R65" s="238">
        <v>0</v>
      </c>
      <c r="S65" s="238"/>
      <c r="T65" s="238"/>
      <c r="U65" s="238"/>
      <c r="V65" s="238"/>
      <c r="W65" s="238"/>
      <c r="X65" s="238">
        <v>0</v>
      </c>
      <c r="Y65" s="238"/>
      <c r="Z65" s="238"/>
      <c r="AA65" s="238"/>
      <c r="AB65" s="238">
        <f>+R65+X65</f>
        <v>0</v>
      </c>
      <c r="AC65" s="43"/>
      <c r="AD65" s="22"/>
    </row>
    <row r="66" spans="1:30" s="23" customFormat="1" x14ac:dyDescent="0.3">
      <c r="A66" s="47"/>
      <c r="B66" s="40" t="s">
        <v>19</v>
      </c>
      <c r="C66" s="97"/>
      <c r="D66" s="97"/>
      <c r="E66" s="97"/>
      <c r="F66" s="97"/>
      <c r="G66" s="97"/>
      <c r="H66" s="97"/>
      <c r="I66" s="97"/>
      <c r="J66" s="97"/>
      <c r="K66" s="97"/>
      <c r="L66" s="97"/>
      <c r="M66" s="97"/>
      <c r="N66" s="97"/>
      <c r="O66" s="97"/>
      <c r="P66" s="238">
        <v>0</v>
      </c>
      <c r="Q66" s="238"/>
      <c r="R66" s="238">
        <v>0</v>
      </c>
      <c r="S66" s="238"/>
      <c r="T66" s="238"/>
      <c r="U66" s="238"/>
      <c r="V66" s="238"/>
      <c r="W66" s="238"/>
      <c r="X66" s="238"/>
      <c r="Y66" s="238"/>
      <c r="Z66" s="238"/>
      <c r="AA66" s="238"/>
      <c r="AB66" s="238">
        <v>0</v>
      </c>
      <c r="AC66" s="43"/>
      <c r="AD66" s="22"/>
    </row>
    <row r="67" spans="1:30" s="23" customFormat="1" x14ac:dyDescent="0.3">
      <c r="A67" s="47"/>
      <c r="B67" s="40" t="s">
        <v>20</v>
      </c>
      <c r="C67" s="97"/>
      <c r="D67" s="97"/>
      <c r="E67" s="97"/>
      <c r="F67" s="97"/>
      <c r="G67" s="97"/>
      <c r="H67" s="97"/>
      <c r="I67" s="97"/>
      <c r="J67" s="97"/>
      <c r="K67" s="97"/>
      <c r="L67" s="97"/>
      <c r="M67" s="97"/>
      <c r="N67" s="97"/>
      <c r="O67" s="97"/>
      <c r="P67" s="238">
        <f>SUM(P61:P66)</f>
        <v>618532</v>
      </c>
      <c r="Q67" s="238"/>
      <c r="R67" s="238">
        <f>SUM(R61:R66)</f>
        <v>423631</v>
      </c>
      <c r="S67" s="238"/>
      <c r="T67" s="238"/>
      <c r="U67" s="238"/>
      <c r="V67" s="238"/>
      <c r="W67" s="238"/>
      <c r="X67" s="238"/>
      <c r="Y67" s="238"/>
      <c r="Z67" s="238"/>
      <c r="AA67" s="238"/>
      <c r="AB67" s="238">
        <f>SUM(AB61:AB66)</f>
        <v>411601</v>
      </c>
      <c r="AC67" s="43"/>
      <c r="AD67" s="22"/>
    </row>
    <row r="68" spans="1:30" x14ac:dyDescent="0.3">
      <c r="A68" s="7"/>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c r="AC68" s="10"/>
      <c r="AD68" s="5"/>
    </row>
    <row r="69" spans="1:30" x14ac:dyDescent="0.3">
      <c r="A69" s="7"/>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10"/>
      <c r="AD69" s="5"/>
    </row>
    <row r="70" spans="1:30" x14ac:dyDescent="0.3">
      <c r="A70" s="33"/>
      <c r="B70" s="102" t="s">
        <v>21</v>
      </c>
      <c r="C70" s="102"/>
      <c r="D70" s="103"/>
      <c r="E70" s="103"/>
      <c r="F70" s="103"/>
      <c r="G70" s="103"/>
      <c r="H70" s="104"/>
      <c r="I70" s="103"/>
      <c r="J70" s="105"/>
      <c r="K70" s="103"/>
      <c r="L70" s="103"/>
      <c r="M70" s="103"/>
      <c r="N70" s="103"/>
      <c r="O70" s="103"/>
      <c r="P70" s="103"/>
      <c r="Q70" s="103"/>
      <c r="R70" s="104" t="s">
        <v>64</v>
      </c>
      <c r="S70" s="103"/>
      <c r="T70" s="105">
        <f>+Z238</f>
        <v>44498</v>
      </c>
      <c r="U70" s="103"/>
      <c r="V70" s="103"/>
      <c r="W70" s="103"/>
      <c r="X70" s="103"/>
      <c r="Y70" s="103"/>
      <c r="Z70" s="103" t="s">
        <v>73</v>
      </c>
      <c r="AA70" s="103"/>
      <c r="AB70" s="103" t="s">
        <v>79</v>
      </c>
      <c r="AC70" s="36"/>
      <c r="AD70" s="5"/>
    </row>
    <row r="71" spans="1:30" s="23" customFormat="1" x14ac:dyDescent="0.3">
      <c r="A71" s="18"/>
      <c r="B71" s="37" t="s">
        <v>22</v>
      </c>
      <c r="C71" s="37"/>
      <c r="D71" s="37"/>
      <c r="E71" s="37"/>
      <c r="F71" s="37"/>
      <c r="G71" s="37"/>
      <c r="H71" s="37"/>
      <c r="I71" s="37"/>
      <c r="J71" s="37"/>
      <c r="K71" s="37"/>
      <c r="L71" s="37"/>
      <c r="M71" s="37"/>
      <c r="N71" s="37"/>
      <c r="O71" s="37"/>
      <c r="P71" s="37"/>
      <c r="Q71" s="37"/>
      <c r="R71" s="37"/>
      <c r="S71" s="37"/>
      <c r="T71" s="37"/>
      <c r="U71" s="37"/>
      <c r="V71" s="37"/>
      <c r="W71" s="37"/>
      <c r="X71" s="37"/>
      <c r="Y71" s="37"/>
      <c r="Z71" s="100">
        <f>+R64</f>
        <v>0</v>
      </c>
      <c r="AA71" s="37"/>
      <c r="AB71" s="107">
        <v>0</v>
      </c>
      <c r="AC71" s="21"/>
      <c r="AD71" s="22"/>
    </row>
    <row r="72" spans="1:30" s="23" customFormat="1" x14ac:dyDescent="0.3">
      <c r="A72" s="47"/>
      <c r="B72" s="40" t="s">
        <v>360</v>
      </c>
      <c r="C72" s="40"/>
      <c r="D72" s="70"/>
      <c r="E72" s="70"/>
      <c r="F72" s="70"/>
      <c r="G72" s="108"/>
      <c r="H72" s="70"/>
      <c r="I72" s="40"/>
      <c r="J72" s="109"/>
      <c r="K72" s="40"/>
      <c r="L72" s="40"/>
      <c r="M72" s="40"/>
      <c r="N72" s="40"/>
      <c r="O72" s="40"/>
      <c r="P72" s="40"/>
      <c r="Q72" s="40"/>
      <c r="R72" s="40"/>
      <c r="S72" s="40"/>
      <c r="T72" s="40"/>
      <c r="U72" s="40"/>
      <c r="V72" s="40"/>
      <c r="W72" s="40"/>
      <c r="X72" s="40"/>
      <c r="Y72" s="40"/>
      <c r="Z72" s="238">
        <f>-X65</f>
        <v>0</v>
      </c>
      <c r="AA72" s="40"/>
      <c r="AB72" s="98"/>
      <c r="AC72" s="43"/>
      <c r="AD72" s="22"/>
    </row>
    <row r="73" spans="1:30" s="23" customFormat="1" x14ac:dyDescent="0.3">
      <c r="A73" s="47"/>
      <c r="B73" s="40" t="s">
        <v>361</v>
      </c>
      <c r="C73" s="40"/>
      <c r="D73" s="70"/>
      <c r="E73" s="70"/>
      <c r="F73" s="70"/>
      <c r="G73" s="108"/>
      <c r="H73" s="70"/>
      <c r="I73" s="40"/>
      <c r="J73" s="109"/>
      <c r="K73" s="40"/>
      <c r="L73" s="40"/>
      <c r="M73" s="40"/>
      <c r="N73" s="40"/>
      <c r="O73" s="40"/>
      <c r="P73" s="40"/>
      <c r="Q73" s="40"/>
      <c r="R73" s="40"/>
      <c r="S73" s="40"/>
      <c r="T73" s="40"/>
      <c r="U73" s="40"/>
      <c r="V73" s="40"/>
      <c r="W73" s="40"/>
      <c r="X73" s="40"/>
      <c r="Y73" s="40"/>
      <c r="Z73" s="238">
        <v>0</v>
      </c>
      <c r="AA73" s="40"/>
      <c r="AB73" s="98"/>
      <c r="AC73" s="43"/>
      <c r="AD73" s="22"/>
    </row>
    <row r="74" spans="1:30" s="23" customFormat="1" x14ac:dyDescent="0.3">
      <c r="A74" s="47"/>
      <c r="B74" s="40" t="s">
        <v>23</v>
      </c>
      <c r="C74" s="40"/>
      <c r="D74" s="70"/>
      <c r="E74" s="70"/>
      <c r="F74" s="70"/>
      <c r="G74" s="108"/>
      <c r="H74" s="70"/>
      <c r="I74" s="40"/>
      <c r="J74" s="109"/>
      <c r="K74" s="40"/>
      <c r="L74" s="40"/>
      <c r="M74" s="40"/>
      <c r="N74" s="40"/>
      <c r="O74" s="40"/>
      <c r="P74" s="40"/>
      <c r="Q74" s="40"/>
      <c r="R74" s="40"/>
      <c r="S74" s="40"/>
      <c r="T74" s="40"/>
      <c r="U74" s="40"/>
      <c r="V74" s="40"/>
      <c r="W74" s="40"/>
      <c r="X74" s="40"/>
      <c r="Y74" s="40"/>
      <c r="Z74" s="238">
        <f>+T58+V58+Z58</f>
        <v>12030</v>
      </c>
      <c r="AA74" s="40"/>
      <c r="AB74" s="98"/>
      <c r="AC74" s="43"/>
      <c r="AD74" s="22"/>
    </row>
    <row r="75" spans="1:30" s="23" customFormat="1" x14ac:dyDescent="0.3">
      <c r="A75" s="47"/>
      <c r="B75" s="40" t="s">
        <v>115</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3124+1240-194-184</f>
        <v>3986</v>
      </c>
      <c r="AC75" s="43"/>
      <c r="AD75" s="22"/>
    </row>
    <row r="76" spans="1:30" s="23" customFormat="1" x14ac:dyDescent="0.3">
      <c r="A76" s="47"/>
      <c r="B76" s="40" t="s">
        <v>113</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f>151+81</f>
        <v>232</v>
      </c>
      <c r="AC76" s="43"/>
      <c r="AD76" s="22"/>
    </row>
    <row r="77" spans="1:30" s="23" customFormat="1" x14ac:dyDescent="0.3">
      <c r="A77" s="47"/>
      <c r="B77" s="40" t="s">
        <v>114</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40" t="s">
        <v>120</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216</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250</v>
      </c>
      <c r="AC79" s="43"/>
      <c r="AD79" s="22"/>
    </row>
    <row r="80" spans="1:30" s="23" customFormat="1" x14ac:dyDescent="0.3">
      <c r="A80" s="47"/>
      <c r="B80" s="59" t="s">
        <v>217</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v>0</v>
      </c>
      <c r="AC80" s="43"/>
      <c r="AD80" s="22"/>
    </row>
    <row r="81" spans="1:30" s="23" customFormat="1" x14ac:dyDescent="0.3">
      <c r="A81" s="47"/>
      <c r="B81" s="40" t="s">
        <v>224</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f>+AB170</f>
        <v>0</v>
      </c>
      <c r="AC81" s="43"/>
      <c r="AD81" s="22"/>
    </row>
    <row r="82" spans="1:30" s="23" customFormat="1" x14ac:dyDescent="0.3">
      <c r="A82" s="47"/>
      <c r="B82" s="40" t="s">
        <v>238</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59" t="s">
        <v>225</v>
      </c>
      <c r="C83" s="40"/>
      <c r="D83" s="70"/>
      <c r="E83" s="70"/>
      <c r="F83" s="70"/>
      <c r="G83" s="108"/>
      <c r="H83" s="70"/>
      <c r="I83" s="40"/>
      <c r="J83" s="109"/>
      <c r="K83" s="40"/>
      <c r="L83" s="40"/>
      <c r="M83" s="40"/>
      <c r="N83" s="40"/>
      <c r="O83" s="40"/>
      <c r="P83" s="40"/>
      <c r="Q83" s="40"/>
      <c r="R83" s="40"/>
      <c r="S83" s="40"/>
      <c r="T83" s="40"/>
      <c r="U83" s="40"/>
      <c r="V83" s="40"/>
      <c r="W83" s="40"/>
      <c r="X83" s="40"/>
      <c r="Y83" s="40"/>
      <c r="Z83" s="238"/>
      <c r="AA83" s="40"/>
      <c r="AB83" s="98">
        <v>1153</v>
      </c>
      <c r="AC83" s="43"/>
      <c r="AD83" s="22"/>
    </row>
    <row r="84" spans="1:30" s="23" customFormat="1" x14ac:dyDescent="0.3">
      <c r="A84" s="47"/>
      <c r="B84" s="40" t="s">
        <v>24</v>
      </c>
      <c r="C84" s="40"/>
      <c r="D84" s="40"/>
      <c r="E84" s="40"/>
      <c r="F84" s="40"/>
      <c r="G84" s="40"/>
      <c r="H84" s="40"/>
      <c r="I84" s="40"/>
      <c r="J84" s="40"/>
      <c r="K84" s="40"/>
      <c r="L84" s="40"/>
      <c r="M84" s="40"/>
      <c r="N84" s="40"/>
      <c r="O84" s="40"/>
      <c r="P84" s="40"/>
      <c r="Q84" s="40"/>
      <c r="R84" s="40"/>
      <c r="S84" s="40"/>
      <c r="T84" s="40"/>
      <c r="U84" s="40"/>
      <c r="V84" s="40"/>
      <c r="W84" s="40"/>
      <c r="X84" s="40"/>
      <c r="Y84" s="40"/>
      <c r="Z84" s="238">
        <f>SUM(Z71:Z83)</f>
        <v>12030</v>
      </c>
      <c r="AA84" s="40"/>
      <c r="AB84" s="97">
        <f>SUM(AB71:AB83)</f>
        <v>5621</v>
      </c>
      <c r="AC84" s="43"/>
      <c r="AD84" s="22"/>
    </row>
    <row r="85" spans="1:30" s="23" customFormat="1" x14ac:dyDescent="0.3">
      <c r="A85" s="47"/>
      <c r="B85" s="40" t="s">
        <v>25</v>
      </c>
      <c r="C85" s="40"/>
      <c r="D85" s="40"/>
      <c r="E85" s="40"/>
      <c r="F85" s="40"/>
      <c r="G85" s="40"/>
      <c r="H85" s="40"/>
      <c r="I85" s="40"/>
      <c r="J85" s="40"/>
      <c r="K85" s="40"/>
      <c r="L85" s="40"/>
      <c r="M85" s="40"/>
      <c r="N85" s="40"/>
      <c r="O85" s="40"/>
      <c r="P85" s="40"/>
      <c r="Q85" s="40"/>
      <c r="R85" s="40"/>
      <c r="S85" s="40"/>
      <c r="T85" s="40"/>
      <c r="U85" s="40"/>
      <c r="V85" s="40"/>
      <c r="W85" s="40"/>
      <c r="X85" s="40"/>
      <c r="Y85" s="40"/>
      <c r="Z85" s="238">
        <f>-AB85</f>
        <v>0</v>
      </c>
      <c r="AA85" s="40"/>
      <c r="AB85" s="98">
        <v>0</v>
      </c>
      <c r="AC85" s="43"/>
      <c r="AD85" s="22"/>
    </row>
    <row r="86" spans="1:30" s="23" customFormat="1" x14ac:dyDescent="0.3">
      <c r="A86" s="47"/>
      <c r="B86" s="40" t="s">
        <v>124</v>
      </c>
      <c r="C86" s="40"/>
      <c r="D86" s="40"/>
      <c r="E86" s="40"/>
      <c r="F86" s="40"/>
      <c r="G86" s="40"/>
      <c r="H86" s="40"/>
      <c r="I86" s="40"/>
      <c r="J86" s="40"/>
      <c r="K86" s="40"/>
      <c r="L86" s="40"/>
      <c r="M86" s="40"/>
      <c r="N86" s="40"/>
      <c r="O86" s="40"/>
      <c r="P86" s="40"/>
      <c r="Q86" s="40"/>
      <c r="R86" s="40"/>
      <c r="S86" s="40"/>
      <c r="T86" s="40"/>
      <c r="U86" s="40"/>
      <c r="V86" s="40"/>
      <c r="W86" s="40"/>
      <c r="X86" s="40"/>
      <c r="Y86" s="40"/>
      <c r="Z86" s="238"/>
      <c r="AA86" s="40"/>
      <c r="AB86" s="98">
        <v>0</v>
      </c>
      <c r="AC86" s="43"/>
      <c r="AD86" s="22"/>
    </row>
    <row r="87" spans="1:30" s="23" customFormat="1" x14ac:dyDescent="0.3">
      <c r="A87" s="47"/>
      <c r="B87" s="40" t="s">
        <v>26</v>
      </c>
      <c r="C87" s="40"/>
      <c r="D87" s="40"/>
      <c r="E87" s="40"/>
      <c r="F87" s="40"/>
      <c r="G87" s="40"/>
      <c r="H87" s="40"/>
      <c r="I87" s="40"/>
      <c r="J87" s="40"/>
      <c r="K87" s="40"/>
      <c r="L87" s="40"/>
      <c r="M87" s="40"/>
      <c r="N87" s="40"/>
      <c r="O87" s="40"/>
      <c r="P87" s="40"/>
      <c r="Q87" s="40"/>
      <c r="R87" s="40"/>
      <c r="S87" s="40"/>
      <c r="T87" s="40"/>
      <c r="U87" s="40"/>
      <c r="V87" s="40"/>
      <c r="W87" s="40"/>
      <c r="X87" s="40"/>
      <c r="Y87" s="40"/>
      <c r="Z87" s="238">
        <f>Z84+Z85</f>
        <v>12030</v>
      </c>
      <c r="AA87" s="40"/>
      <c r="AB87" s="97">
        <f>AB84+AB85+AB86</f>
        <v>5621</v>
      </c>
      <c r="AC87" s="43"/>
      <c r="AD87" s="22"/>
    </row>
    <row r="88" spans="1:30" x14ac:dyDescent="0.3">
      <c r="A88" s="110"/>
      <c r="B88" s="111" t="s">
        <v>27</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113"/>
      <c r="AC88" s="114"/>
      <c r="AD88" s="5"/>
    </row>
    <row r="89" spans="1:30" x14ac:dyDescent="0.3">
      <c r="A89" s="110">
        <v>1</v>
      </c>
      <c r="B89" s="59" t="s">
        <v>138</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0</v>
      </c>
      <c r="AC89" s="114"/>
      <c r="AD89" s="5"/>
    </row>
    <row r="90" spans="1:30" x14ac:dyDescent="0.3">
      <c r="A90" s="110">
        <v>2</v>
      </c>
      <c r="B90" s="59" t="s">
        <v>293</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v>-2</v>
      </c>
      <c r="AC90" s="114"/>
      <c r="AD90" s="5"/>
    </row>
    <row r="91" spans="1:30" x14ac:dyDescent="0.3">
      <c r="A91" s="110">
        <v>3</v>
      </c>
      <c r="B91" s="59" t="s">
        <v>239</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f>-214-9-7</f>
        <v>-230</v>
      </c>
      <c r="AC91" s="114"/>
      <c r="AD91" s="5"/>
    </row>
    <row r="92" spans="1:30" x14ac:dyDescent="0.3">
      <c r="A92" s="110">
        <v>4</v>
      </c>
      <c r="B92" s="59" t="s">
        <v>82</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-490</v>
      </c>
      <c r="AC92" s="114"/>
      <c r="AD92" s="5"/>
    </row>
    <row r="93" spans="1:30" x14ac:dyDescent="0.3">
      <c r="A93" s="110">
        <v>5</v>
      </c>
      <c r="B93" s="59" t="s">
        <v>294</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-518</v>
      </c>
      <c r="AC93" s="114"/>
      <c r="AD93" s="5"/>
    </row>
    <row r="94" spans="1:30" x14ac:dyDescent="0.3">
      <c r="A94" s="110">
        <v>6</v>
      </c>
      <c r="B94" s="59" t="s">
        <v>295</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-472</v>
      </c>
      <c r="AC94" s="114"/>
      <c r="AD94" s="5"/>
    </row>
    <row r="95" spans="1:30" x14ac:dyDescent="0.3">
      <c r="A95" s="110">
        <v>7</v>
      </c>
      <c r="B95" s="59" t="s">
        <v>150</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-120</v>
      </c>
      <c r="AC95" s="114"/>
      <c r="AD95" s="5"/>
    </row>
    <row r="96" spans="1:30" x14ac:dyDescent="0.3">
      <c r="A96" s="110">
        <v>8</v>
      </c>
      <c r="B96" s="59" t="s">
        <v>196</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0</v>
      </c>
      <c r="AC96" s="114"/>
      <c r="AD96" s="5"/>
    </row>
    <row r="97" spans="1:30" x14ac:dyDescent="0.3">
      <c r="A97" s="110">
        <v>9</v>
      </c>
      <c r="B97" s="59" t="s">
        <v>151</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-106</v>
      </c>
      <c r="AC97" s="114"/>
      <c r="AD97" s="5"/>
    </row>
    <row r="98" spans="1:30" x14ac:dyDescent="0.3">
      <c r="A98" s="110">
        <v>10</v>
      </c>
      <c r="B98" s="59" t="s">
        <v>179</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-133</v>
      </c>
      <c r="AC98" s="114"/>
      <c r="AD98" s="5"/>
    </row>
    <row r="99" spans="1:30" x14ac:dyDescent="0.3">
      <c r="A99" s="110">
        <v>11</v>
      </c>
      <c r="B99" s="59" t="s">
        <v>130</v>
      </c>
      <c r="C99" s="59"/>
      <c r="D99" s="59"/>
      <c r="E99" s="59"/>
      <c r="F99" s="59"/>
      <c r="G99" s="59"/>
      <c r="H99" s="59"/>
      <c r="I99" s="59"/>
      <c r="J99" s="59"/>
      <c r="K99" s="59"/>
      <c r="L99" s="59"/>
      <c r="M99" s="59"/>
      <c r="N99" s="59"/>
      <c r="O99" s="59"/>
      <c r="P99" s="59"/>
      <c r="Q99" s="59"/>
      <c r="R99" s="59"/>
      <c r="S99" s="59"/>
      <c r="T99" s="59"/>
      <c r="U99" s="59"/>
      <c r="V99" s="59"/>
      <c r="W99" s="59"/>
      <c r="X99" s="59"/>
      <c r="Y99" s="59"/>
      <c r="Z99" s="238"/>
      <c r="AA99" s="112"/>
      <c r="AB99" s="98">
        <v>0</v>
      </c>
      <c r="AC99" s="114"/>
      <c r="AD99" s="5"/>
    </row>
    <row r="100" spans="1:30" x14ac:dyDescent="0.3">
      <c r="A100" s="110">
        <v>12</v>
      </c>
      <c r="B100" s="59" t="s">
        <v>195</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13</v>
      </c>
      <c r="B101" s="59" t="s">
        <v>33</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f>-AB101</f>
        <v>0</v>
      </c>
      <c r="AA101" s="112"/>
      <c r="AB101" s="98">
        <v>0</v>
      </c>
      <c r="AC101" s="114"/>
      <c r="AD101" s="5"/>
    </row>
    <row r="102" spans="1:30" x14ac:dyDescent="0.3">
      <c r="A102" s="110">
        <v>14</v>
      </c>
      <c r="B102" s="59" t="s">
        <v>298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0</v>
      </c>
      <c r="AC102" s="114"/>
      <c r="AD102" s="5"/>
    </row>
    <row r="103" spans="1:30" x14ac:dyDescent="0.3">
      <c r="A103" s="110">
        <v>15</v>
      </c>
      <c r="B103" s="59" t="s">
        <v>299</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-2000</v>
      </c>
      <c r="AC103" s="114"/>
      <c r="AD103" s="5"/>
    </row>
    <row r="104" spans="1:30" x14ac:dyDescent="0.3">
      <c r="A104" s="110">
        <v>16</v>
      </c>
      <c r="B104" s="59" t="s">
        <v>28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-19</v>
      </c>
      <c r="AC104" s="114"/>
      <c r="AD104" s="5"/>
    </row>
    <row r="105" spans="1:30" x14ac:dyDescent="0.3">
      <c r="A105" s="110">
        <v>17</v>
      </c>
      <c r="B105" s="59" t="s">
        <v>118</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0</v>
      </c>
      <c r="AC105" s="114"/>
      <c r="AD105" s="5"/>
    </row>
    <row r="106" spans="1:30" x14ac:dyDescent="0.3">
      <c r="A106" s="110">
        <v>18</v>
      </c>
      <c r="B106" s="59" t="s">
        <v>183</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0</v>
      </c>
      <c r="AC106" s="114"/>
      <c r="AD106" s="5"/>
    </row>
    <row r="107" spans="1:30" x14ac:dyDescent="0.3">
      <c r="A107" s="110">
        <v>19</v>
      </c>
      <c r="B107" s="59" t="s">
        <v>161</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-183</v>
      </c>
      <c r="AC107" s="114"/>
      <c r="AD107" s="5"/>
    </row>
    <row r="108" spans="1:30" x14ac:dyDescent="0.3">
      <c r="A108" s="110">
        <v>20</v>
      </c>
      <c r="B108" s="59" t="s">
        <v>251</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-64</v>
      </c>
      <c r="AC108" s="114"/>
      <c r="AD108" s="5"/>
    </row>
    <row r="109" spans="1:30" x14ac:dyDescent="0.3">
      <c r="A109" s="110">
        <v>21</v>
      </c>
      <c r="B109" s="59" t="s">
        <v>252</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-250</v>
      </c>
      <c r="AC109" s="114"/>
      <c r="AD109" s="5"/>
    </row>
    <row r="110" spans="1:30" x14ac:dyDescent="0.3">
      <c r="A110" s="110">
        <v>22</v>
      </c>
      <c r="B110" s="59" t="s">
        <v>253</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23</v>
      </c>
      <c r="B111" s="59" t="s">
        <v>254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24</v>
      </c>
      <c r="B112" s="59" t="s">
        <v>131</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1" x14ac:dyDescent="0.3">
      <c r="A113" s="110">
        <v>25</v>
      </c>
      <c r="B113" s="59" t="s">
        <v>137</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f>-11-89</f>
        <v>-100</v>
      </c>
      <c r="AC113" s="114"/>
      <c r="AD113" s="5"/>
    </row>
    <row r="114" spans="1:31" x14ac:dyDescent="0.3">
      <c r="A114" s="110">
        <v>26</v>
      </c>
      <c r="B114" s="59" t="s">
        <v>248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98">
        <v>-5</v>
      </c>
      <c r="AC114" s="114"/>
      <c r="AD114" s="5"/>
    </row>
    <row r="115" spans="1:31" x14ac:dyDescent="0.3">
      <c r="A115" s="110">
        <v>27</v>
      </c>
      <c r="B115" s="59" t="s">
        <v>218</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238"/>
      <c r="AA115" s="112"/>
      <c r="AB115" s="98">
        <v>-929</v>
      </c>
      <c r="AC115" s="114"/>
      <c r="AD115" s="5"/>
      <c r="AE115" s="301"/>
    </row>
    <row r="116" spans="1:31" x14ac:dyDescent="0.3">
      <c r="A116" s="110"/>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238"/>
      <c r="AA116" s="112"/>
      <c r="AB116" s="113"/>
      <c r="AC116" s="114"/>
      <c r="AD116" s="5"/>
    </row>
    <row r="117" spans="1:31" x14ac:dyDescent="0.3">
      <c r="A117" s="110"/>
      <c r="B117" s="111" t="s">
        <v>29</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112"/>
      <c r="AB117" s="116"/>
      <c r="AC117" s="114"/>
      <c r="AD117" s="5"/>
    </row>
    <row r="118" spans="1:31" x14ac:dyDescent="0.3">
      <c r="A118" s="110"/>
      <c r="B118" s="40" t="s">
        <v>219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v>0</v>
      </c>
      <c r="AA118" s="112"/>
      <c r="AB118" s="116"/>
      <c r="AC118" s="114"/>
      <c r="AD118" s="5"/>
    </row>
    <row r="119" spans="1:31" s="23" customFormat="1" x14ac:dyDescent="0.3">
      <c r="A119" s="47"/>
      <c r="B119" s="40" t="s">
        <v>362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1" s="23" customFormat="1" x14ac:dyDescent="0.3">
      <c r="A120" s="47"/>
      <c r="B120" s="40" t="s">
        <v>363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1" s="23" customFormat="1" x14ac:dyDescent="0.3">
      <c r="A121" s="47"/>
      <c r="B121" s="40" t="s">
        <v>256</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0</v>
      </c>
      <c r="AA121" s="97"/>
      <c r="AB121" s="98"/>
      <c r="AC121" s="43"/>
      <c r="AD121" s="22"/>
    </row>
    <row r="122" spans="1:31" s="23" customFormat="1" x14ac:dyDescent="0.3">
      <c r="A122" s="47"/>
      <c r="B122" s="40" t="s">
        <v>257</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1" s="23" customFormat="1" x14ac:dyDescent="0.3">
      <c r="A123" s="47"/>
      <c r="B123" s="40" t="s">
        <v>296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-12030</v>
      </c>
      <c r="AA123" s="97"/>
      <c r="AB123" s="98"/>
      <c r="AC123" s="43"/>
      <c r="AD123" s="22"/>
    </row>
    <row r="124" spans="1:31" s="23" customFormat="1" x14ac:dyDescent="0.3">
      <c r="A124" s="47"/>
      <c r="B124" s="40" t="s">
        <v>297</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1" s="23" customFormat="1" x14ac:dyDescent="0.3">
      <c r="A125" s="47"/>
      <c r="B125" s="40" t="s">
        <v>142</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1" s="23" customFormat="1" x14ac:dyDescent="0.3">
      <c r="A126" s="47"/>
      <c r="B126" s="40" t="s">
        <v>143</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1" s="23" customFormat="1" x14ac:dyDescent="0.3">
      <c r="A127" s="47"/>
      <c r="B127" s="40" t="s">
        <v>172</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v>0</v>
      </c>
      <c r="AA127" s="97"/>
      <c r="AB127" s="98"/>
      <c r="AC127" s="43"/>
      <c r="AD127" s="22"/>
    </row>
    <row r="128" spans="1:31" s="23" customFormat="1" x14ac:dyDescent="0.3">
      <c r="A128" s="47"/>
      <c r="B128" s="40" t="s">
        <v>162</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v>0</v>
      </c>
      <c r="AA128" s="97"/>
      <c r="AB128" s="98"/>
      <c r="AC128" s="43"/>
      <c r="AD128" s="22"/>
    </row>
    <row r="129" spans="1:30" s="23" customFormat="1" x14ac:dyDescent="0.3">
      <c r="A129" s="47"/>
      <c r="B129" s="40" t="s">
        <v>184</v>
      </c>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238">
        <v>0</v>
      </c>
      <c r="AA129" s="97"/>
      <c r="AB129" s="98"/>
      <c r="AC129" s="43"/>
      <c r="AD129" s="22"/>
    </row>
    <row r="130" spans="1:30" s="23" customFormat="1" x14ac:dyDescent="0.3">
      <c r="A130" s="47"/>
      <c r="B130" s="40" t="s">
        <v>30</v>
      </c>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238">
        <f>SUM(Z118:Z129)</f>
        <v>-12030</v>
      </c>
      <c r="AA130" s="97"/>
      <c r="AB130" s="97">
        <f>SUM(AB88:AB128)</f>
        <v>-5621</v>
      </c>
      <c r="AC130" s="43"/>
      <c r="AD130" s="22"/>
    </row>
    <row r="131" spans="1:30" s="23" customFormat="1" x14ac:dyDescent="0.3">
      <c r="A131" s="47"/>
      <c r="B131" s="40" t="s">
        <v>31</v>
      </c>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238">
        <f>Z87+Z130+Z101</f>
        <v>0</v>
      </c>
      <c r="AA131" s="97"/>
      <c r="AB131" s="97">
        <f>AB87+AB130</f>
        <v>0</v>
      </c>
      <c r="AC131" s="43"/>
      <c r="AD131" s="22"/>
    </row>
    <row r="132" spans="1:30" s="23" customFormat="1" x14ac:dyDescent="0.3">
      <c r="A132" s="18"/>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106"/>
      <c r="AA132" s="106"/>
      <c r="AB132" s="106"/>
      <c r="AC132" s="21"/>
      <c r="AD132" s="22"/>
    </row>
    <row r="133" spans="1:30" s="23" customFormat="1" x14ac:dyDescent="0.3">
      <c r="A133" s="18"/>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117"/>
      <c r="AC133" s="21"/>
      <c r="AD133" s="22"/>
    </row>
    <row r="134" spans="1:30" s="23" customFormat="1" ht="18.600000000000001" thickBot="1" x14ac:dyDescent="0.4">
      <c r="A134" s="83"/>
      <c r="B134" s="84" t="str">
        <f>B54</f>
        <v>PM26 INVESTOR REPORT QUARTER ENDING OCTOBER 2021</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118"/>
      <c r="AC134" s="87"/>
      <c r="AD134" s="22"/>
    </row>
    <row r="135" spans="1:30" x14ac:dyDescent="0.3">
      <c r="A135" s="119"/>
      <c r="B135" s="120" t="s">
        <v>32</v>
      </c>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2"/>
      <c r="AC135" s="123"/>
      <c r="AD135" s="5"/>
    </row>
    <row r="136" spans="1:30" x14ac:dyDescent="0.3">
      <c r="A136" s="7"/>
      <c r="B136" s="124"/>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1"/>
      <c r="AC136" s="10"/>
      <c r="AD136" s="5"/>
    </row>
    <row r="137" spans="1:30" x14ac:dyDescent="0.3">
      <c r="A137" s="7"/>
      <c r="B137" s="125" t="s">
        <v>187</v>
      </c>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1"/>
      <c r="AC137" s="10"/>
      <c r="AD137" s="5"/>
    </row>
    <row r="138" spans="1:30" s="23" customFormat="1" x14ac:dyDescent="0.3">
      <c r="A138" s="47"/>
      <c r="B138" s="40" t="s">
        <v>194</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f>SUM(D29:H29)*1.5%</f>
        <v>8396.5499999999993</v>
      </c>
      <c r="AC138" s="43"/>
      <c r="AD138" s="22"/>
    </row>
    <row r="139" spans="1:30" s="23" customFormat="1" x14ac:dyDescent="0.3">
      <c r="A139" s="47"/>
      <c r="B139" s="40" t="s">
        <v>199</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f>+'July 21'!AB146</f>
        <v>5723.5499999999993</v>
      </c>
      <c r="AC139" s="43"/>
      <c r="AD139" s="22"/>
    </row>
    <row r="140" spans="1:30" s="23" customFormat="1" x14ac:dyDescent="0.3">
      <c r="A140" s="47"/>
      <c r="B140" s="40" t="s">
        <v>240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c r="AC140" s="43"/>
      <c r="AD140" s="22"/>
    </row>
    <row r="141" spans="1:30" s="23" customFormat="1" x14ac:dyDescent="0.3">
      <c r="A141" s="47"/>
      <c r="B141" s="40" t="s">
        <v>242</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193</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150</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v>0</v>
      </c>
      <c r="AC143" s="43"/>
      <c r="AD143" s="22"/>
    </row>
    <row r="144" spans="1:30" s="23" customFormat="1" x14ac:dyDescent="0.3">
      <c r="A144" s="47"/>
      <c r="B144" s="40" t="s">
        <v>87</v>
      </c>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98">
        <v>0</v>
      </c>
      <c r="AC144" s="43"/>
      <c r="AD144" s="22"/>
    </row>
    <row r="145" spans="1:31" s="23" customFormat="1" x14ac:dyDescent="0.3">
      <c r="A145" s="47"/>
      <c r="B145" s="40" t="s">
        <v>243</v>
      </c>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98">
        <v>-250</v>
      </c>
      <c r="AC145" s="43"/>
      <c r="AD145" s="22"/>
    </row>
    <row r="146" spans="1:31" s="23" customFormat="1" x14ac:dyDescent="0.3">
      <c r="A146" s="47"/>
      <c r="B146" s="40" t="s">
        <v>198</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SUM(AB139:AB145)</f>
        <v>5473.5499999999993</v>
      </c>
      <c r="AC146" s="43"/>
      <c r="AD146" s="22"/>
      <c r="AE146" s="115"/>
    </row>
    <row r="147" spans="1:31" x14ac:dyDescent="0.3">
      <c r="A147" s="7"/>
      <c r="B147" s="124"/>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1"/>
      <c r="AC147" s="10"/>
      <c r="AD147" s="5"/>
    </row>
    <row r="148" spans="1:31" x14ac:dyDescent="0.3">
      <c r="A148" s="7"/>
      <c r="B148" s="125" t="s">
        <v>185</v>
      </c>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1"/>
      <c r="AC148" s="10"/>
      <c r="AD148" s="5"/>
    </row>
    <row r="149" spans="1:31" s="23" customFormat="1" x14ac:dyDescent="0.3">
      <c r="A149" s="47"/>
      <c r="B149" s="59" t="s">
        <v>186</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f>SUM(J29:L29)*1.5%</f>
        <v>579.85500000000002</v>
      </c>
      <c r="AC149" s="43"/>
      <c r="AD149" s="22"/>
    </row>
    <row r="150" spans="1:31" s="23" customFormat="1" x14ac:dyDescent="0.3">
      <c r="A150" s="47"/>
      <c r="B150" s="59" t="s">
        <v>200</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f>+'July 21'!AB159</f>
        <v>579.85500000000002</v>
      </c>
      <c r="AC150" s="43"/>
      <c r="AD150" s="22"/>
    </row>
    <row r="151" spans="1:31" s="23" customFormat="1" x14ac:dyDescent="0.3">
      <c r="A151" s="47"/>
      <c r="B151" s="59" t="s">
        <v>93</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c r="AC151" s="43"/>
      <c r="AD151" s="22"/>
    </row>
    <row r="152" spans="1:31" s="23" customFormat="1" x14ac:dyDescent="0.3">
      <c r="A152" s="47"/>
      <c r="B152" s="40" t="s">
        <v>242</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1" s="23" customFormat="1" x14ac:dyDescent="0.3">
      <c r="A153" s="47"/>
      <c r="B153" s="59" t="s">
        <v>129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1" s="23" customFormat="1" x14ac:dyDescent="0.3">
      <c r="A154" s="47"/>
      <c r="B154" s="59" t="s">
        <v>150</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1" s="23" customFormat="1" x14ac:dyDescent="0.3">
      <c r="A155" s="47"/>
      <c r="B155" s="59" t="s">
        <v>151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1" s="23" customFormat="1" x14ac:dyDescent="0.3">
      <c r="A156" s="47"/>
      <c r="B156" s="59" t="s">
        <v>179</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v>0</v>
      </c>
      <c r="AC156" s="43"/>
      <c r="AD156" s="22"/>
    </row>
    <row r="157" spans="1:31" s="23" customFormat="1" x14ac:dyDescent="0.3">
      <c r="A157" s="47"/>
      <c r="B157" s="59" t="s">
        <v>87</v>
      </c>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98">
        <v>0</v>
      </c>
      <c r="AC157" s="43"/>
      <c r="AD157" s="22"/>
    </row>
    <row r="158" spans="1:31" s="23" customFormat="1" x14ac:dyDescent="0.3">
      <c r="A158" s="47"/>
      <c r="B158" s="40" t="s">
        <v>243</v>
      </c>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98">
        <v>0</v>
      </c>
      <c r="AC158" s="43"/>
      <c r="AD158" s="22"/>
    </row>
    <row r="159" spans="1:31" s="23" customFormat="1" x14ac:dyDescent="0.3">
      <c r="A159" s="47"/>
      <c r="B159" s="59" t="s">
        <v>197</v>
      </c>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98">
        <f>SUM(AB150:AB158)</f>
        <v>579.85500000000002</v>
      </c>
      <c r="AC159" s="43"/>
      <c r="AD159" s="22"/>
    </row>
    <row r="160" spans="1:31" x14ac:dyDescent="0.3">
      <c r="A160" s="7"/>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126"/>
      <c r="AC160" s="10"/>
      <c r="AD160" s="5"/>
    </row>
    <row r="161" spans="1:30" x14ac:dyDescent="0.3">
      <c r="A161" s="7"/>
      <c r="B161" s="125" t="s">
        <v>173</v>
      </c>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8"/>
      <c r="AC161" s="10"/>
      <c r="AD161" s="5"/>
    </row>
    <row r="162" spans="1:30" s="23" customFormat="1" x14ac:dyDescent="0.3">
      <c r="A162" s="129"/>
      <c r="B162" s="230" t="s">
        <v>311</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+'July 21'!AB165</f>
        <v>0</v>
      </c>
      <c r="AC162" s="132"/>
      <c r="AD162" s="22"/>
    </row>
    <row r="163" spans="1:30" s="23" customFormat="1" x14ac:dyDescent="0.3">
      <c r="A163" s="129"/>
      <c r="B163" s="230" t="s">
        <v>174</v>
      </c>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1">
        <f>X65</f>
        <v>0</v>
      </c>
      <c r="AC163" s="132"/>
      <c r="AD163" s="22"/>
    </row>
    <row r="164" spans="1:30" s="23" customFormat="1" x14ac:dyDescent="0.3">
      <c r="A164" s="129"/>
      <c r="B164" s="230" t="s">
        <v>241</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1">
        <v>0</v>
      </c>
      <c r="AC164" s="132"/>
      <c r="AD164" s="22"/>
    </row>
    <row r="165" spans="1:30" s="23" customFormat="1" x14ac:dyDescent="0.3">
      <c r="A165" s="129"/>
      <c r="B165" s="230" t="s">
        <v>175</v>
      </c>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1">
        <f>AB162+AB163</f>
        <v>0</v>
      </c>
      <c r="AC165" s="132"/>
      <c r="AD165" s="22"/>
    </row>
    <row r="166" spans="1:30" x14ac:dyDescent="0.3">
      <c r="A166" s="7"/>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126"/>
      <c r="AC166" s="10"/>
      <c r="AD166" s="5"/>
    </row>
    <row r="167" spans="1:30" x14ac:dyDescent="0.3">
      <c r="A167" s="7"/>
      <c r="B167" s="125" t="s">
        <v>34</v>
      </c>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133"/>
      <c r="AC167" s="10"/>
      <c r="AD167" s="5"/>
    </row>
    <row r="168" spans="1:30" s="23" customFormat="1" x14ac:dyDescent="0.3">
      <c r="A168" s="47"/>
      <c r="B168" s="40" t="s">
        <v>35</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+'July 21'!AB173</f>
        <v>0</v>
      </c>
      <c r="AC168" s="43"/>
      <c r="AD168" s="22"/>
    </row>
    <row r="169" spans="1:30" s="23" customFormat="1" x14ac:dyDescent="0.3">
      <c r="A169" s="47"/>
      <c r="B169" s="40" t="s">
        <v>36</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v>0</v>
      </c>
      <c r="AC169" s="43"/>
      <c r="AD169" s="22"/>
    </row>
    <row r="170" spans="1:30" s="23" customFormat="1" x14ac:dyDescent="0.3">
      <c r="A170" s="47"/>
      <c r="B170" s="40" t="s">
        <v>212</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v>0</v>
      </c>
      <c r="AC170" s="43"/>
      <c r="AD170" s="22"/>
    </row>
    <row r="171" spans="1:30" s="23" customFormat="1" x14ac:dyDescent="0.3">
      <c r="A171" s="47"/>
      <c r="B171" s="40" t="s">
        <v>37</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AB169+AB168+AB170</f>
        <v>0</v>
      </c>
      <c r="AC171" s="43"/>
      <c r="AD171" s="22"/>
    </row>
    <row r="172" spans="1:30" s="23" customFormat="1" x14ac:dyDescent="0.3">
      <c r="A172" s="47"/>
      <c r="B172" s="40" t="s">
        <v>262</v>
      </c>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98">
        <f>+AB101</f>
        <v>0</v>
      </c>
      <c r="AC172" s="43"/>
      <c r="AD172" s="22"/>
    </row>
    <row r="173" spans="1:30" s="23" customFormat="1" x14ac:dyDescent="0.3">
      <c r="A173" s="47"/>
      <c r="B173" s="40" t="s">
        <v>38</v>
      </c>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98">
        <f>AB171+AB172</f>
        <v>0</v>
      </c>
      <c r="AC173" s="43"/>
      <c r="AD173" s="22"/>
    </row>
    <row r="174" spans="1:30" s="23" customFormat="1" x14ac:dyDescent="0.3">
      <c r="A174" s="47"/>
      <c r="B174" s="40" t="s">
        <v>124</v>
      </c>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98">
        <f>-AB86</f>
        <v>0</v>
      </c>
      <c r="AC174" s="43"/>
      <c r="AD174" s="22"/>
    </row>
    <row r="175" spans="1:30" ht="16.2" thickBot="1" x14ac:dyDescent="0.35">
      <c r="A175" s="7"/>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126"/>
      <c r="AC175" s="10"/>
      <c r="AD175" s="5"/>
    </row>
    <row r="176" spans="1:30" x14ac:dyDescent="0.3">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134"/>
      <c r="AC176" s="4"/>
      <c r="AD176" s="5"/>
    </row>
    <row r="177" spans="1:262" s="136" customFormat="1" x14ac:dyDescent="0.3">
      <c r="A177" s="7"/>
      <c r="B177" s="125" t="s">
        <v>188</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135"/>
      <c r="AC177" s="10"/>
      <c r="AD177" s="5"/>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row>
    <row r="178" spans="1:262" s="137" customFormat="1" x14ac:dyDescent="0.3">
      <c r="A178" s="47"/>
      <c r="B178" s="40" t="s">
        <v>348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205</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+'July 21'!AB182</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7" customFormat="1" x14ac:dyDescent="0.3">
      <c r="A180" s="47"/>
      <c r="B180" s="40" t="s">
        <v>226</v>
      </c>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98">
        <f>-AB188</f>
        <v>0</v>
      </c>
      <c r="AC180" s="43"/>
      <c r="AD180" s="22"/>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row>
    <row r="181" spans="1:262" s="137" customFormat="1" x14ac:dyDescent="0.3">
      <c r="A181" s="47"/>
      <c r="B181" s="40" t="s">
        <v>228</v>
      </c>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98">
        <f>+AB82</f>
        <v>0</v>
      </c>
      <c r="AC181" s="43"/>
      <c r="AD181" s="22"/>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row>
    <row r="182" spans="1:262" s="137" customFormat="1" x14ac:dyDescent="0.3">
      <c r="A182" s="47"/>
      <c r="B182" s="40" t="s">
        <v>202</v>
      </c>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98">
        <f>+AB179+AB180-AB181</f>
        <v>0</v>
      </c>
      <c r="AC182" s="43"/>
      <c r="AD182" s="22"/>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row>
    <row r="183" spans="1:262" s="139" customFormat="1" ht="16.2" thickBot="1" x14ac:dyDescent="0.35">
      <c r="A183" s="138"/>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126"/>
      <c r="AC183" s="10"/>
      <c r="AD183" s="5"/>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row>
    <row r="184" spans="1:262" x14ac:dyDescent="0.3">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134"/>
      <c r="AC184" s="4"/>
      <c r="AD184" s="5"/>
    </row>
    <row r="185" spans="1:262" s="136" customFormat="1" x14ac:dyDescent="0.3">
      <c r="A185" s="7"/>
      <c r="B185" s="125" t="s">
        <v>201</v>
      </c>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135"/>
      <c r="AC185" s="10"/>
      <c r="AD185" s="5"/>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row>
    <row r="186" spans="1:262" s="137" customFormat="1" x14ac:dyDescent="0.3">
      <c r="A186" s="47"/>
      <c r="B186" s="40" t="s">
        <v>203</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v>300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206</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+'July 21'!AB190</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7" customFormat="1" x14ac:dyDescent="0.3">
      <c r="A188" s="47"/>
      <c r="B188" s="59" t="s">
        <v>220</v>
      </c>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98">
        <v>0</v>
      </c>
      <c r="AC188" s="43"/>
      <c r="AD188" s="22"/>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row>
    <row r="189" spans="1:262" s="137" customFormat="1" x14ac:dyDescent="0.3">
      <c r="A189" s="47"/>
      <c r="B189" s="59" t="s">
        <v>221</v>
      </c>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98">
        <f>-AB102</f>
        <v>0</v>
      </c>
      <c r="AC189" s="43"/>
      <c r="AD189" s="22"/>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row>
    <row r="190" spans="1:262" s="137" customFormat="1" x14ac:dyDescent="0.3">
      <c r="A190" s="47"/>
      <c r="B190" s="40" t="s">
        <v>204</v>
      </c>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98">
        <f>AB186-AB188+AB189</f>
        <v>300</v>
      </c>
      <c r="AC190" s="43"/>
      <c r="AD190" s="22"/>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row>
    <row r="191" spans="1:262" s="139" customFormat="1" ht="16.2" thickBot="1" x14ac:dyDescent="0.35">
      <c r="A191" s="138"/>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126"/>
      <c r="AC191" s="10"/>
      <c r="AD191" s="5"/>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row>
    <row r="192" spans="1:262" x14ac:dyDescent="0.3">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134"/>
      <c r="AC192" s="4"/>
      <c r="AD192" s="5"/>
    </row>
    <row r="193" spans="1:262" s="136" customFormat="1" x14ac:dyDescent="0.3">
      <c r="A193" s="7"/>
      <c r="B193" s="125" t="s">
        <v>207</v>
      </c>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135"/>
      <c r="AC193" s="10"/>
      <c r="AD193" s="5"/>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row>
    <row r="194" spans="1:262" s="137" customFormat="1" x14ac:dyDescent="0.3">
      <c r="A194" s="47"/>
      <c r="B194" s="40" t="s">
        <v>349</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208</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+'July 21'!AB198</f>
        <v>925</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7" customFormat="1" x14ac:dyDescent="0.3">
      <c r="A196" s="47"/>
      <c r="B196" s="40" t="s">
        <v>227</v>
      </c>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98">
        <f>AB204</f>
        <v>990</v>
      </c>
      <c r="AC196" s="43"/>
      <c r="AD196" s="22"/>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row>
    <row r="197" spans="1:262" s="137" customFormat="1" x14ac:dyDescent="0.3">
      <c r="A197" s="47"/>
      <c r="B197" s="40" t="s">
        <v>222</v>
      </c>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98">
        <f>AB83</f>
        <v>1153</v>
      </c>
      <c r="AC197" s="43"/>
      <c r="AD197" s="22"/>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row>
    <row r="198" spans="1:262" s="137" customFormat="1" x14ac:dyDescent="0.3">
      <c r="A198" s="47"/>
      <c r="B198" s="40" t="s">
        <v>356</v>
      </c>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98">
        <f>AB195+AB196-AB197</f>
        <v>762</v>
      </c>
      <c r="AC198" s="43"/>
      <c r="AD198" s="22"/>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row>
    <row r="199" spans="1:262" s="139" customFormat="1" ht="16.2" thickBot="1" x14ac:dyDescent="0.35">
      <c r="A199" s="138"/>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126"/>
      <c r="AC199" s="10"/>
      <c r="AD199" s="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row>
    <row r="200" spans="1:262" x14ac:dyDescent="0.3">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134"/>
      <c r="AC200" s="4"/>
      <c r="AD200" s="5"/>
    </row>
    <row r="201" spans="1:262" s="136" customFormat="1" x14ac:dyDescent="0.3">
      <c r="A201" s="7"/>
      <c r="B201" s="125" t="s">
        <v>350</v>
      </c>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135"/>
      <c r="AC201" s="10"/>
      <c r="AD201" s="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row>
    <row r="202" spans="1:262" s="137" customFormat="1" x14ac:dyDescent="0.3">
      <c r="A202" s="47"/>
      <c r="B202" s="40" t="s">
        <v>209</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v>901</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210</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+'July 21'!AB206</f>
        <v>1033</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7" customFormat="1" x14ac:dyDescent="0.3">
      <c r="A204" s="47"/>
      <c r="B204" s="59" t="s">
        <v>250</v>
      </c>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98">
        <v>990</v>
      </c>
      <c r="AC204" s="43"/>
      <c r="AD204" s="22"/>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row>
    <row r="205" spans="1:262" s="137" customFormat="1" x14ac:dyDescent="0.3">
      <c r="A205" s="47"/>
      <c r="B205" s="59" t="s">
        <v>223</v>
      </c>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98">
        <f>-AB103</f>
        <v>2000</v>
      </c>
      <c r="AC205" s="43"/>
      <c r="AD205" s="22"/>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row>
    <row r="206" spans="1:262" s="137" customFormat="1" x14ac:dyDescent="0.3">
      <c r="A206" s="47"/>
      <c r="B206" s="40" t="s">
        <v>211</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98">
        <f>AB203-AB204+AB205</f>
        <v>2043</v>
      </c>
      <c r="AC206" s="43"/>
      <c r="AD206" s="22"/>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row>
    <row r="207" spans="1:262" s="139" customFormat="1" ht="16.2" thickBot="1" x14ac:dyDescent="0.35">
      <c r="A207" s="138"/>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126"/>
      <c r="AC207" s="10"/>
      <c r="AD207" s="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row>
    <row r="208" spans="1:262" x14ac:dyDescent="0.3">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134"/>
      <c r="AC208" s="4"/>
      <c r="AD208" s="5"/>
    </row>
    <row r="209" spans="1:262" s="136" customFormat="1" x14ac:dyDescent="0.3">
      <c r="A209" s="7"/>
      <c r="B209" s="125" t="s">
        <v>229</v>
      </c>
      <c r="C209" s="99"/>
      <c r="D209" s="99"/>
      <c r="E209" s="99"/>
      <c r="F209" s="99"/>
      <c r="G209" s="99"/>
      <c r="H209" s="99"/>
      <c r="I209" s="99"/>
      <c r="J209" s="99"/>
      <c r="K209" s="99"/>
      <c r="L209" s="99"/>
      <c r="M209" s="99"/>
      <c r="N209" s="99"/>
      <c r="O209" s="99"/>
      <c r="P209" s="99"/>
      <c r="Q209" s="99"/>
      <c r="R209" s="99"/>
      <c r="S209" s="99"/>
      <c r="T209" s="99"/>
      <c r="U209" s="99"/>
      <c r="V209" s="99"/>
      <c r="W209" s="99"/>
      <c r="X209" s="99"/>
      <c r="Y209" s="233" t="s">
        <v>235</v>
      </c>
      <c r="Z209" s="233" t="s">
        <v>236</v>
      </c>
      <c r="AA209" s="12"/>
      <c r="AB209" s="234" t="s">
        <v>80</v>
      </c>
      <c r="AC209" s="10"/>
      <c r="AD209" s="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row>
    <row r="210" spans="1:262" s="137" customFormat="1" x14ac:dyDescent="0.3">
      <c r="A210" s="47"/>
      <c r="B210" s="40" t="s">
        <v>230</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+AB29*0.16</f>
        <v>98965.119999999995</v>
      </c>
      <c r="Z210" s="70"/>
      <c r="AA210" s="40"/>
      <c r="AB210" s="98"/>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231</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+'July 21'!Y213</f>
        <v>0</v>
      </c>
      <c r="Z211" s="98">
        <f>+'July 21'!Z213</f>
        <v>5</v>
      </c>
      <c r="AA211" s="40"/>
      <c r="AB211" s="98">
        <f>Y211+Z211</f>
        <v>5</v>
      </c>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7" customFormat="1" x14ac:dyDescent="0.3">
      <c r="A212" s="47"/>
      <c r="B212" s="40" t="s">
        <v>232</v>
      </c>
      <c r="C212" s="40"/>
      <c r="D212" s="40"/>
      <c r="E212" s="40"/>
      <c r="F212" s="40"/>
      <c r="G212" s="40"/>
      <c r="H212" s="40"/>
      <c r="I212" s="40"/>
      <c r="J212" s="40"/>
      <c r="K212" s="40"/>
      <c r="L212" s="40"/>
      <c r="M212" s="40"/>
      <c r="N212" s="40"/>
      <c r="O212" s="40"/>
      <c r="P212" s="40"/>
      <c r="Q212" s="40"/>
      <c r="R212" s="40"/>
      <c r="S212" s="40"/>
      <c r="T212" s="40"/>
      <c r="U212" s="40"/>
      <c r="V212" s="40"/>
      <c r="W212" s="40"/>
      <c r="X212" s="40"/>
      <c r="Y212" s="97">
        <v>0</v>
      </c>
      <c r="Z212" s="97">
        <v>0</v>
      </c>
      <c r="AA212" s="40"/>
      <c r="AB212" s="98">
        <f>Y212+Z212</f>
        <v>0</v>
      </c>
      <c r="AC212" s="43"/>
      <c r="AD212" s="22"/>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row>
    <row r="213" spans="1:262" s="137" customFormat="1" x14ac:dyDescent="0.3">
      <c r="A213" s="47"/>
      <c r="B213" s="40" t="s">
        <v>233</v>
      </c>
      <c r="C213" s="40"/>
      <c r="D213" s="40"/>
      <c r="E213" s="40"/>
      <c r="F213" s="40"/>
      <c r="G213" s="40"/>
      <c r="H213" s="40"/>
      <c r="I213" s="40"/>
      <c r="J213" s="40"/>
      <c r="K213" s="40"/>
      <c r="L213" s="40"/>
      <c r="M213" s="40"/>
      <c r="N213" s="40"/>
      <c r="O213" s="40"/>
      <c r="P213" s="40"/>
      <c r="Q213" s="40"/>
      <c r="R213" s="40"/>
      <c r="S213" s="40"/>
      <c r="T213" s="40"/>
      <c r="U213" s="40"/>
      <c r="V213" s="40"/>
      <c r="W213" s="40"/>
      <c r="X213" s="40"/>
      <c r="Y213" s="98">
        <f>Y211+Y212</f>
        <v>0</v>
      </c>
      <c r="Z213" s="98">
        <f>Z212+Z211</f>
        <v>5</v>
      </c>
      <c r="AA213" s="40"/>
      <c r="AB213" s="98">
        <f>Y213+Z213</f>
        <v>5</v>
      </c>
      <c r="AC213" s="43"/>
      <c r="AD213" s="22"/>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row>
    <row r="214" spans="1:262" s="137" customFormat="1" x14ac:dyDescent="0.3">
      <c r="A214" s="47"/>
      <c r="B214" s="40" t="s">
        <v>234</v>
      </c>
      <c r="C214" s="40"/>
      <c r="D214" s="40"/>
      <c r="E214" s="40"/>
      <c r="F214" s="40"/>
      <c r="G214" s="40"/>
      <c r="H214" s="40"/>
      <c r="I214" s="40"/>
      <c r="J214" s="40"/>
      <c r="K214" s="40"/>
      <c r="L214" s="40"/>
      <c r="M214" s="40"/>
      <c r="N214" s="40"/>
      <c r="O214" s="40"/>
      <c r="P214" s="40"/>
      <c r="Q214" s="40"/>
      <c r="R214" s="40"/>
      <c r="S214" s="40"/>
      <c r="T214" s="40"/>
      <c r="U214" s="40"/>
      <c r="V214" s="40"/>
      <c r="W214" s="40"/>
      <c r="X214" s="40"/>
      <c r="Y214" s="98">
        <f>Y210-Y213-Z213</f>
        <v>98960.12</v>
      </c>
      <c r="Z214" s="70"/>
      <c r="AA214" s="40"/>
      <c r="AB214" s="98"/>
      <c r="AC214" s="43"/>
      <c r="AD214" s="22"/>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row>
    <row r="215" spans="1:262" s="139" customFormat="1" ht="16.2" thickBot="1" x14ac:dyDescent="0.35">
      <c r="A215" s="138"/>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126"/>
      <c r="AC215" s="10"/>
      <c r="AD215" s="5"/>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row>
    <row r="216" spans="1:262" x14ac:dyDescent="0.3">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134"/>
      <c r="AC216" s="4"/>
      <c r="AD216" s="5"/>
    </row>
    <row r="217" spans="1:262" s="136" customFormat="1" x14ac:dyDescent="0.3">
      <c r="A217" s="7"/>
      <c r="B217" s="125" t="s">
        <v>261</v>
      </c>
      <c r="C217" s="99"/>
      <c r="D217" s="99"/>
      <c r="E217" s="99"/>
      <c r="F217" s="99"/>
      <c r="G217" s="99"/>
      <c r="H217" s="99"/>
      <c r="I217" s="99"/>
      <c r="J217" s="99"/>
      <c r="K217" s="99"/>
      <c r="L217" s="99"/>
      <c r="M217" s="99"/>
      <c r="N217" s="99"/>
      <c r="O217" s="99"/>
      <c r="P217" s="99"/>
      <c r="Q217" s="99"/>
      <c r="R217" s="99"/>
      <c r="S217" s="99"/>
      <c r="T217" s="99"/>
      <c r="U217" s="99"/>
      <c r="V217" s="99"/>
      <c r="W217" s="99"/>
      <c r="X217" s="99"/>
      <c r="Y217" s="233"/>
      <c r="Z217" s="233"/>
      <c r="AA217" s="12"/>
      <c r="AB217" s="234" t="s">
        <v>80</v>
      </c>
      <c r="AC217" s="10"/>
      <c r="AD217" s="5"/>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row>
    <row r="218" spans="1:262" s="137" customFormat="1" x14ac:dyDescent="0.3">
      <c r="A218" s="47"/>
      <c r="B218" s="40" t="s">
        <v>259</v>
      </c>
      <c r="C218" s="40"/>
      <c r="D218" s="40"/>
      <c r="E218" s="40"/>
      <c r="F218" s="40"/>
      <c r="G218" s="40"/>
      <c r="H218" s="40"/>
      <c r="I218" s="40"/>
      <c r="J218" s="40"/>
      <c r="K218" s="40"/>
      <c r="L218" s="40"/>
      <c r="M218" s="40"/>
      <c r="N218" s="40"/>
      <c r="O218" s="40"/>
      <c r="P218" s="40"/>
      <c r="Q218" s="40"/>
      <c r="R218" s="40"/>
      <c r="S218" s="40"/>
      <c r="T218" s="40"/>
      <c r="U218" s="40"/>
      <c r="V218" s="40"/>
      <c r="W218" s="40"/>
      <c r="X218" s="40"/>
      <c r="Y218" s="98"/>
      <c r="Z218" s="70"/>
      <c r="AA218" s="40"/>
      <c r="AB218" s="237">
        <v>356725</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7" customFormat="1" x14ac:dyDescent="0.3">
      <c r="A219" s="47"/>
      <c r="B219" s="40" t="s">
        <v>306</v>
      </c>
      <c r="C219" s="40"/>
      <c r="D219" s="40"/>
      <c r="E219" s="40"/>
      <c r="F219" s="40"/>
      <c r="G219" s="40"/>
      <c r="H219" s="40"/>
      <c r="I219" s="40"/>
      <c r="J219" s="40"/>
      <c r="K219" s="40"/>
      <c r="L219" s="40"/>
      <c r="M219" s="40"/>
      <c r="N219" s="40"/>
      <c r="O219" s="40"/>
      <c r="P219" s="40"/>
      <c r="Q219" s="40"/>
      <c r="R219" s="40"/>
      <c r="S219" s="40"/>
      <c r="T219" s="40"/>
      <c r="U219" s="40"/>
      <c r="V219" s="40"/>
      <c r="W219" s="40"/>
      <c r="X219" s="40"/>
      <c r="Y219" s="98"/>
      <c r="Z219" s="98"/>
      <c r="AA219" s="40"/>
      <c r="AB219" s="237">
        <v>359884</v>
      </c>
      <c r="AC219" s="43"/>
      <c r="AD219" s="22"/>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row>
    <row r="220" spans="1:262" s="137" customFormat="1" x14ac:dyDescent="0.3">
      <c r="A220" s="47"/>
      <c r="B220" s="40" t="s">
        <v>260</v>
      </c>
      <c r="C220" s="40"/>
      <c r="D220" s="40"/>
      <c r="E220" s="40"/>
      <c r="F220" s="40"/>
      <c r="G220" s="40"/>
      <c r="H220" s="40"/>
      <c r="I220" s="40"/>
      <c r="J220" s="40"/>
      <c r="K220" s="40"/>
      <c r="L220" s="40"/>
      <c r="M220" s="40"/>
      <c r="N220" s="40"/>
      <c r="O220" s="40"/>
      <c r="P220" s="40"/>
      <c r="Q220" s="40"/>
      <c r="R220" s="40"/>
      <c r="S220" s="40"/>
      <c r="T220" s="40"/>
      <c r="U220" s="40"/>
      <c r="V220" s="40"/>
      <c r="W220" s="40"/>
      <c r="X220" s="40"/>
      <c r="Y220" s="98"/>
      <c r="Z220" s="98"/>
      <c r="AA220" s="40"/>
      <c r="AB220" s="98">
        <f>AB218-AB219</f>
        <v>-3159</v>
      </c>
      <c r="AC220" s="43"/>
      <c r="AD220" s="22"/>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row>
    <row r="221" spans="1:262" s="137" customFormat="1" x14ac:dyDescent="0.3">
      <c r="A221" s="47"/>
      <c r="B221" s="40" t="s">
        <v>303</v>
      </c>
      <c r="C221" s="40"/>
      <c r="D221" s="40"/>
      <c r="E221" s="40"/>
      <c r="F221" s="40"/>
      <c r="G221" s="40"/>
      <c r="H221" s="40"/>
      <c r="I221" s="40"/>
      <c r="J221" s="40"/>
      <c r="K221" s="40"/>
      <c r="L221" s="40"/>
      <c r="M221" s="40"/>
      <c r="N221" s="40"/>
      <c r="O221" s="40"/>
      <c r="P221" s="40"/>
      <c r="Q221" s="40"/>
      <c r="R221" s="40"/>
      <c r="S221" s="40"/>
      <c r="T221" s="40"/>
      <c r="U221" s="40"/>
      <c r="V221" s="40"/>
      <c r="W221" s="40"/>
      <c r="X221" s="40"/>
      <c r="Y221" s="97"/>
      <c r="Z221" s="97"/>
      <c r="AA221" s="40"/>
      <c r="AB221" s="240">
        <v>6.1000000000000004E-3</v>
      </c>
      <c r="AC221" s="43"/>
      <c r="AD221" s="22"/>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row>
    <row r="222" spans="1:262" s="139" customFormat="1" ht="16.2" thickBot="1" x14ac:dyDescent="0.35">
      <c r="A222" s="138"/>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126"/>
      <c r="AC222" s="10"/>
      <c r="AD222" s="5"/>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row>
    <row r="223" spans="1:262" x14ac:dyDescent="0.3">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134"/>
      <c r="AC223" s="4"/>
      <c r="AD223" s="5"/>
    </row>
    <row r="224" spans="1:262" x14ac:dyDescent="0.3">
      <c r="A224" s="7"/>
      <c r="B224" s="125" t="s">
        <v>39</v>
      </c>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140"/>
      <c r="AC224" s="10"/>
      <c r="AD224" s="5"/>
    </row>
    <row r="225" spans="1:30" s="23" customFormat="1" x14ac:dyDescent="0.3">
      <c r="A225" s="47"/>
      <c r="B225" s="40" t="s">
        <v>40</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f>(AB87+AB89+AB90+AB91+AB92)/-(AB93+AB94)</f>
        <v>4.9484848484848483</v>
      </c>
      <c r="AC225" s="43" t="s">
        <v>81</v>
      </c>
      <c r="AD225" s="22"/>
    </row>
    <row r="226" spans="1:30" s="23" customFormat="1" x14ac:dyDescent="0.3">
      <c r="A226" s="47"/>
      <c r="B226" s="40" t="s">
        <v>41</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2">
        <v>3.43</v>
      </c>
      <c r="AC226" s="43" t="s">
        <v>81</v>
      </c>
      <c r="AD226" s="22"/>
    </row>
    <row r="227" spans="1:30" s="23" customFormat="1" x14ac:dyDescent="0.3">
      <c r="A227" s="47"/>
      <c r="B227" s="40" t="s">
        <v>144</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1">
        <f>(AB87+AB89+AB90+AB91+AB92+AB93+AB94)/-(AB95)</f>
        <v>32.575000000000003</v>
      </c>
      <c r="AC227" s="43" t="s">
        <v>81</v>
      </c>
      <c r="AD227" s="22"/>
    </row>
    <row r="228" spans="1:30" s="23" customFormat="1" x14ac:dyDescent="0.3">
      <c r="A228" s="47"/>
      <c r="B228" s="40" t="s">
        <v>145</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2">
        <v>26.66</v>
      </c>
      <c r="AC228" s="43" t="s">
        <v>81</v>
      </c>
      <c r="AD228" s="22"/>
    </row>
    <row r="229" spans="1:30" s="23" customFormat="1" x14ac:dyDescent="0.3">
      <c r="A229" s="47"/>
      <c r="B229" s="40" t="s">
        <v>146</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1">
        <f>(AB87+AB89+AB90+AB91+AB92+AB93+AB94+AB95)/-(AB97)</f>
        <v>35.745283018867923</v>
      </c>
      <c r="AC229" s="43" t="s">
        <v>81</v>
      </c>
      <c r="AD229" s="22"/>
    </row>
    <row r="230" spans="1:30" s="23" customFormat="1" x14ac:dyDescent="0.3">
      <c r="A230" s="47"/>
      <c r="B230" s="40" t="s">
        <v>147</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2">
        <v>29.41</v>
      </c>
      <c r="AC230" s="43" t="s">
        <v>81</v>
      </c>
      <c r="AD230" s="22"/>
    </row>
    <row r="231" spans="1:30" s="23" customFormat="1" x14ac:dyDescent="0.3">
      <c r="A231" s="47"/>
      <c r="B231" s="40" t="s">
        <v>176</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1">
        <f>(AB87+AB89+AB90+AB91+AB92+AB93+AB94+AB95+AB97)/-(AB98)</f>
        <v>27.69172932330827</v>
      </c>
      <c r="AC231" s="43" t="s">
        <v>81</v>
      </c>
      <c r="AD231" s="22"/>
    </row>
    <row r="232" spans="1:30" s="23" customFormat="1" x14ac:dyDescent="0.3">
      <c r="A232" s="47"/>
      <c r="B232" s="40" t="s">
        <v>177</v>
      </c>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142">
        <v>23</v>
      </c>
      <c r="AC232" s="43" t="s">
        <v>81</v>
      </c>
      <c r="AD232" s="22"/>
    </row>
    <row r="233" spans="1:30" s="23" customFormat="1" x14ac:dyDescent="0.3">
      <c r="A233" s="47"/>
      <c r="B233" s="40" t="s">
        <v>163</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141">
        <f>(AB87+AB89+AB90+AB91+AB92+AB93+AB94+AB95+AB97+AB98)/-(AB107)</f>
        <v>19.398907103825138</v>
      </c>
      <c r="AC233" s="43" t="s">
        <v>81</v>
      </c>
      <c r="AD233" s="22"/>
    </row>
    <row r="234" spans="1:30" s="23" customFormat="1" x14ac:dyDescent="0.3">
      <c r="A234" s="47"/>
      <c r="B234" s="40" t="s">
        <v>164</v>
      </c>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142">
        <v>16.260000000000002</v>
      </c>
      <c r="AC234" s="43" t="s">
        <v>81</v>
      </c>
      <c r="AD234" s="22"/>
    </row>
    <row r="235" spans="1:30" s="23" customFormat="1" x14ac:dyDescent="0.3">
      <c r="A235" s="18"/>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21"/>
      <c r="AD235" s="22"/>
    </row>
    <row r="236" spans="1:30" s="23" customFormat="1" x14ac:dyDescent="0.3">
      <c r="A236" s="18"/>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1"/>
      <c r="AD236" s="22"/>
    </row>
    <row r="237" spans="1:30" s="23" customFormat="1" ht="18.600000000000001" thickBot="1" x14ac:dyDescent="0.4">
      <c r="A237" s="83"/>
      <c r="B237" s="84" t="str">
        <f>B134</f>
        <v>PM26 INVESTOR REPORT QUARTER ENDING OCTOBER 2021</v>
      </c>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7"/>
      <c r="AD237" s="22"/>
    </row>
    <row r="238" spans="1:30" x14ac:dyDescent="0.3">
      <c r="A238" s="119"/>
      <c r="B238" s="120" t="s">
        <v>42</v>
      </c>
      <c r="C238" s="143"/>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v>44498</v>
      </c>
      <c r="AA238" s="121"/>
      <c r="AB238" s="121"/>
      <c r="AC238" s="123"/>
      <c r="AD238" s="5"/>
    </row>
    <row r="239" spans="1:30" x14ac:dyDescent="0.3">
      <c r="A239" s="145"/>
      <c r="B239" s="146"/>
      <c r="C239" s="147"/>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9"/>
      <c r="AB239" s="9"/>
      <c r="AC239" s="10"/>
      <c r="AD239" s="5"/>
    </row>
    <row r="240" spans="1:30" s="23" customFormat="1" x14ac:dyDescent="0.3">
      <c r="A240" s="47"/>
      <c r="B240" s="40" t="s">
        <v>43</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3.773E-2</v>
      </c>
      <c r="AA240" s="40"/>
      <c r="AB240" s="40"/>
      <c r="AC240" s="43"/>
      <c r="AD240" s="22"/>
    </row>
    <row r="241" spans="1:31" s="23" customFormat="1" x14ac:dyDescent="0.3">
      <c r="A241" s="47"/>
      <c r="B241" s="40" t="s">
        <v>132</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v>2.0008281159907649E-2</v>
      </c>
      <c r="AA241" s="40"/>
      <c r="AB241" s="40"/>
      <c r="AC241" s="43"/>
      <c r="AD241" s="22"/>
    </row>
    <row r="242" spans="1:31" s="23" customFormat="1" x14ac:dyDescent="0.3">
      <c r="A242" s="47"/>
      <c r="B242" s="40" t="s">
        <v>44</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1.7721718840092351E-2</v>
      </c>
      <c r="AA242" s="40"/>
      <c r="AB242" s="40"/>
      <c r="AC242" s="43"/>
      <c r="AD242" s="22"/>
    </row>
    <row r="243" spans="1:31" s="23" customFormat="1" x14ac:dyDescent="0.3">
      <c r="A243" s="47"/>
      <c r="B243" s="40" t="s">
        <v>45</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v>3.8030000000000001E-2</v>
      </c>
      <c r="AA243" s="40"/>
      <c r="AB243" s="40"/>
      <c r="AC243" s="43"/>
      <c r="AD243" s="22"/>
    </row>
    <row r="244" spans="1:31" s="23" customFormat="1" x14ac:dyDescent="0.3">
      <c r="A244" s="47"/>
      <c r="B244" s="40" t="s">
        <v>133</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67">
        <f>+AB35</f>
        <v>1.4504489461798793E-2</v>
      </c>
      <c r="AA244" s="40"/>
      <c r="AB244" s="40"/>
      <c r="AC244" s="43"/>
      <c r="AD244" s="22"/>
    </row>
    <row r="245" spans="1:31" s="23" customFormat="1" x14ac:dyDescent="0.3">
      <c r="A245" s="47"/>
      <c r="B245" s="40" t="s">
        <v>46</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67">
        <f>Z243-Z244</f>
        <v>2.3525510538201209E-2</v>
      </c>
      <c r="AA245" s="40"/>
      <c r="AB245" s="40"/>
      <c r="AC245" s="43"/>
      <c r="AD245" s="22"/>
    </row>
    <row r="246" spans="1:31" s="23" customFormat="1" x14ac:dyDescent="0.3">
      <c r="A246" s="47"/>
      <c r="B246" s="40" t="s">
        <v>119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67">
        <f>(+AB87+AB89)/R67</f>
        <v>1.3268622928916911E-2</v>
      </c>
      <c r="AA246" s="40"/>
      <c r="AB246" s="40"/>
      <c r="AC246" s="43"/>
      <c r="AD246" s="22"/>
    </row>
    <row r="247" spans="1:31" s="23" customFormat="1" x14ac:dyDescent="0.3">
      <c r="A247" s="47"/>
      <c r="B247" s="40" t="s">
        <v>112</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53097</v>
      </c>
      <c r="AA247" s="40"/>
      <c r="AB247" s="40"/>
      <c r="AC247" s="43"/>
      <c r="AD247" s="22"/>
    </row>
    <row r="248" spans="1:31" s="23" customFormat="1" x14ac:dyDescent="0.3">
      <c r="A248" s="47"/>
      <c r="B248" s="40" t="s">
        <v>148</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53097</v>
      </c>
      <c r="AA248" s="40"/>
      <c r="AB248" s="40"/>
      <c r="AC248" s="43"/>
      <c r="AD248" s="22"/>
    </row>
    <row r="249" spans="1:31" s="23" customFormat="1" x14ac:dyDescent="0.3">
      <c r="A249" s="47"/>
      <c r="B249" s="40" t="s">
        <v>149</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53097</v>
      </c>
      <c r="AA249" s="40"/>
      <c r="AB249" s="40"/>
      <c r="AC249" s="43"/>
      <c r="AD249" s="22"/>
    </row>
    <row r="250" spans="1:31" s="23" customFormat="1" x14ac:dyDescent="0.3">
      <c r="A250" s="47"/>
      <c r="B250" s="40" t="s">
        <v>178</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53097</v>
      </c>
      <c r="AA250" s="40"/>
      <c r="AB250" s="40"/>
      <c r="AC250" s="43"/>
      <c r="AD250" s="22"/>
    </row>
    <row r="251" spans="1:31" s="23" customFormat="1" x14ac:dyDescent="0.3">
      <c r="A251" s="47"/>
      <c r="B251" s="40" t="s">
        <v>165</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150">
        <v>53097</v>
      </c>
      <c r="AA251" s="40"/>
      <c r="AB251" s="40"/>
      <c r="AC251" s="43"/>
      <c r="AD251" s="22"/>
    </row>
    <row r="252" spans="1:31" s="23" customFormat="1" x14ac:dyDescent="0.3">
      <c r="A252" s="47"/>
      <c r="B252" s="40" t="s">
        <v>189</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150">
        <v>53097</v>
      </c>
      <c r="AA252" s="40"/>
      <c r="AB252" s="40"/>
      <c r="AC252" s="43"/>
      <c r="AD252" s="22"/>
    </row>
    <row r="253" spans="1:31" s="23" customFormat="1" x14ac:dyDescent="0.3">
      <c r="A253" s="47"/>
      <c r="B253" s="40" t="s">
        <v>190</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150">
        <v>53097</v>
      </c>
      <c r="AA253" s="40"/>
      <c r="AB253" s="40"/>
      <c r="AC253" s="43"/>
      <c r="AD253" s="22"/>
    </row>
    <row r="254" spans="1:31" s="23" customFormat="1" x14ac:dyDescent="0.3">
      <c r="A254" s="47"/>
      <c r="B254" s="40" t="s">
        <v>47</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71">
        <v>18.28</v>
      </c>
      <c r="AA254" s="40" t="s">
        <v>76</v>
      </c>
      <c r="AB254" s="40"/>
      <c r="AC254" s="43"/>
      <c r="AD254" s="22"/>
    </row>
    <row r="255" spans="1:31" s="23" customFormat="1" x14ac:dyDescent="0.3">
      <c r="A255" s="47"/>
      <c r="B255" s="40" t="s">
        <v>48</v>
      </c>
      <c r="C255" s="149"/>
      <c r="D255" s="73"/>
      <c r="E255" s="73"/>
      <c r="F255" s="73"/>
      <c r="G255" s="73"/>
      <c r="H255" s="73"/>
      <c r="I255" s="73"/>
      <c r="J255" s="73"/>
      <c r="K255" s="73"/>
      <c r="L255" s="73"/>
      <c r="M255" s="73"/>
      <c r="N255" s="73"/>
      <c r="O255" s="73"/>
      <c r="P255" s="73"/>
      <c r="Q255" s="73"/>
      <c r="R255" s="73"/>
      <c r="S255" s="73"/>
      <c r="T255" s="73"/>
      <c r="U255" s="73"/>
      <c r="V255" s="73"/>
      <c r="W255" s="73"/>
      <c r="X255" s="73"/>
      <c r="Y255" s="73"/>
      <c r="Z255" s="71">
        <v>16.38</v>
      </c>
      <c r="AA255" s="40" t="s">
        <v>76</v>
      </c>
      <c r="AB255" s="40"/>
      <c r="AC255" s="43"/>
      <c r="AD255" s="22"/>
    </row>
    <row r="256" spans="1:31" s="23" customFormat="1" x14ac:dyDescent="0.3">
      <c r="A256" s="47"/>
      <c r="B256" s="40" t="s">
        <v>49</v>
      </c>
      <c r="C256" s="149"/>
      <c r="D256" s="73"/>
      <c r="E256" s="73"/>
      <c r="F256" s="73"/>
      <c r="G256" s="73"/>
      <c r="H256" s="73"/>
      <c r="I256" s="73"/>
      <c r="J256" s="73"/>
      <c r="K256" s="73"/>
      <c r="L256" s="73"/>
      <c r="M256" s="73"/>
      <c r="N256" s="73"/>
      <c r="O256" s="73"/>
      <c r="P256" s="73"/>
      <c r="Q256" s="73"/>
      <c r="R256" s="73"/>
      <c r="S256" s="73"/>
      <c r="T256" s="73"/>
      <c r="U256" s="73"/>
      <c r="V256" s="73"/>
      <c r="W256" s="73"/>
      <c r="X256" s="73"/>
      <c r="Y256" s="73"/>
      <c r="Z256" s="67">
        <f>(+T58+V58+Z58)/(R58+R64+R65)</f>
        <v>2.8397355245484868E-2</v>
      </c>
      <c r="AA256" s="40"/>
      <c r="AB256" s="40"/>
      <c r="AC256" s="43"/>
      <c r="AD256" s="22"/>
      <c r="AE256" s="271"/>
    </row>
    <row r="257" spans="1:30" s="23" customFormat="1" x14ac:dyDescent="0.3">
      <c r="A257" s="47"/>
      <c r="B257" s="40" t="s">
        <v>50</v>
      </c>
      <c r="C257" s="149"/>
      <c r="D257" s="73"/>
      <c r="E257" s="73"/>
      <c r="F257" s="73"/>
      <c r="G257" s="73"/>
      <c r="H257" s="73"/>
      <c r="I257" s="73"/>
      <c r="J257" s="73"/>
      <c r="K257" s="73"/>
      <c r="L257" s="73"/>
      <c r="M257" s="73"/>
      <c r="N257" s="73"/>
      <c r="O257" s="73"/>
      <c r="P257" s="73"/>
      <c r="Q257" s="73"/>
      <c r="R257" s="73"/>
      <c r="S257" s="73"/>
      <c r="T257" s="73"/>
      <c r="U257" s="73"/>
      <c r="V257" s="73"/>
      <c r="W257" s="73"/>
      <c r="X257" s="73"/>
      <c r="Y257" s="73"/>
      <c r="Z257" s="67">
        <v>0.15770000000000001</v>
      </c>
      <c r="AA257" s="40"/>
      <c r="AB257" s="40"/>
      <c r="AC257" s="43"/>
      <c r="AD257" s="22"/>
    </row>
    <row r="258" spans="1:30" x14ac:dyDescent="0.3">
      <c r="A258" s="145"/>
      <c r="B258" s="151"/>
      <c r="C258" s="151"/>
      <c r="D258" s="99"/>
      <c r="E258" s="99"/>
      <c r="F258" s="99"/>
      <c r="G258" s="99"/>
      <c r="H258" s="99"/>
      <c r="I258" s="99"/>
      <c r="J258" s="99"/>
      <c r="K258" s="99"/>
      <c r="L258" s="99"/>
      <c r="M258" s="99"/>
      <c r="N258" s="99"/>
      <c r="O258" s="99"/>
      <c r="P258" s="99"/>
      <c r="Q258" s="99"/>
      <c r="R258" s="99"/>
      <c r="S258" s="99"/>
      <c r="T258" s="99"/>
      <c r="U258" s="99"/>
      <c r="V258" s="99"/>
      <c r="W258" s="99"/>
      <c r="X258" s="99"/>
      <c r="Y258" s="99"/>
      <c r="Z258" s="126"/>
      <c r="AA258" s="99"/>
      <c r="AB258" s="152"/>
      <c r="AC258" s="10"/>
      <c r="AD258" s="5"/>
    </row>
    <row r="259" spans="1:30" x14ac:dyDescent="0.3">
      <c r="A259" s="153"/>
      <c r="B259" s="102" t="s">
        <v>51</v>
      </c>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t="s">
        <v>69</v>
      </c>
      <c r="Z259" s="154" t="s">
        <v>74</v>
      </c>
      <c r="AA259" s="34"/>
      <c r="AB259" s="34"/>
      <c r="AC259" s="36"/>
      <c r="AD259" s="5"/>
    </row>
    <row r="260" spans="1:30" s="23" customFormat="1" x14ac:dyDescent="0.3">
      <c r="A260" s="155"/>
      <c r="B260" s="37" t="s">
        <v>52</v>
      </c>
      <c r="C260" s="10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v>0</v>
      </c>
      <c r="Z260" s="157">
        <v>0</v>
      </c>
      <c r="AA260" s="37"/>
      <c r="AB260" s="158"/>
      <c r="AC260" s="159"/>
      <c r="AD260" s="22"/>
    </row>
    <row r="261" spans="1:30" s="23" customFormat="1" x14ac:dyDescent="0.3">
      <c r="A261" s="160"/>
      <c r="B261" s="40" t="s">
        <v>97</v>
      </c>
      <c r="C261" s="97"/>
      <c r="D261" s="48"/>
      <c r="E261" s="48"/>
      <c r="F261" s="48"/>
      <c r="G261" s="48"/>
      <c r="H261" s="48"/>
      <c r="I261" s="48"/>
      <c r="J261" s="48"/>
      <c r="K261" s="48"/>
      <c r="L261" s="48"/>
      <c r="M261" s="48"/>
      <c r="N261" s="48"/>
      <c r="O261" s="48"/>
      <c r="P261" s="48"/>
      <c r="Q261" s="48"/>
      <c r="R261" s="48"/>
      <c r="S261" s="48"/>
      <c r="T261" s="48"/>
      <c r="U261" s="48"/>
      <c r="V261" s="48"/>
      <c r="W261" s="48"/>
      <c r="X261" s="48"/>
      <c r="Y261" s="161">
        <f>+X313</f>
        <v>0</v>
      </c>
      <c r="Z261" s="162">
        <f>+Z313</f>
        <v>0</v>
      </c>
      <c r="AA261" s="40"/>
      <c r="AB261" s="163"/>
      <c r="AC261" s="164"/>
      <c r="AD261" s="22"/>
    </row>
    <row r="262" spans="1:30" s="23" customFormat="1" x14ac:dyDescent="0.3">
      <c r="A262" s="160"/>
      <c r="B262" s="40" t="s">
        <v>53</v>
      </c>
      <c r="C262" s="97"/>
      <c r="D262" s="48"/>
      <c r="E262" s="48"/>
      <c r="F262" s="48"/>
      <c r="G262" s="48"/>
      <c r="H262" s="48"/>
      <c r="I262" s="48"/>
      <c r="J262" s="48"/>
      <c r="K262" s="48"/>
      <c r="L262" s="48"/>
      <c r="M262" s="48"/>
      <c r="N262" s="48"/>
      <c r="O262" s="48"/>
      <c r="P262" s="48"/>
      <c r="Q262" s="48"/>
      <c r="R262" s="48"/>
      <c r="S262" s="48"/>
      <c r="T262" s="48"/>
      <c r="U262" s="48"/>
      <c r="V262" s="48"/>
      <c r="W262" s="48"/>
      <c r="X262" s="48"/>
      <c r="Y262" s="161">
        <f>+X335</f>
        <v>0</v>
      </c>
      <c r="Z262" s="162">
        <f>+Z335</f>
        <v>0</v>
      </c>
      <c r="AA262" s="40"/>
      <c r="AB262" s="163"/>
      <c r="AC262" s="164"/>
      <c r="AD262" s="22"/>
    </row>
    <row r="263" spans="1:30" x14ac:dyDescent="0.3">
      <c r="A263" s="165"/>
      <c r="B263" s="166" t="s">
        <v>166</v>
      </c>
      <c r="C263" s="167"/>
      <c r="D263" s="59"/>
      <c r="E263" s="59"/>
      <c r="F263" s="59"/>
      <c r="G263" s="59"/>
      <c r="H263" s="59"/>
      <c r="I263" s="59"/>
      <c r="J263" s="59"/>
      <c r="K263" s="59"/>
      <c r="L263" s="59"/>
      <c r="M263" s="59"/>
      <c r="N263" s="59"/>
      <c r="O263" s="59"/>
      <c r="P263" s="59"/>
      <c r="Q263" s="59"/>
      <c r="R263" s="59"/>
      <c r="S263" s="59"/>
      <c r="T263" s="59"/>
      <c r="U263" s="59"/>
      <c r="V263" s="59"/>
      <c r="W263" s="59"/>
      <c r="X263" s="59"/>
      <c r="Y263" s="112"/>
      <c r="Z263" s="162">
        <f>Z58</f>
        <v>0</v>
      </c>
      <c r="AA263" s="59"/>
      <c r="AB263" s="168"/>
      <c r="AC263" s="169"/>
      <c r="AD263" s="5"/>
    </row>
    <row r="264" spans="1:30" x14ac:dyDescent="0.3">
      <c r="A264" s="165"/>
      <c r="B264" s="166" t="s">
        <v>255</v>
      </c>
      <c r="C264" s="167"/>
      <c r="D264" s="59"/>
      <c r="E264" s="59"/>
      <c r="F264" s="59"/>
      <c r="G264" s="59"/>
      <c r="H264" s="59"/>
      <c r="I264" s="59"/>
      <c r="J264" s="59"/>
      <c r="K264" s="59"/>
      <c r="L264" s="59"/>
      <c r="M264" s="59"/>
      <c r="N264" s="59"/>
      <c r="O264" s="59"/>
      <c r="P264" s="59"/>
      <c r="Q264" s="59"/>
      <c r="R264" s="59"/>
      <c r="S264" s="59"/>
      <c r="T264" s="59"/>
      <c r="U264" s="59"/>
      <c r="V264" s="59"/>
      <c r="W264" s="59"/>
      <c r="X264" s="59"/>
      <c r="Y264" s="112"/>
      <c r="Z264" s="162">
        <f>-T64</f>
        <v>0</v>
      </c>
      <c r="AA264" s="59"/>
      <c r="AB264" s="168"/>
      <c r="AC264" s="169"/>
      <c r="AD264" s="5"/>
    </row>
    <row r="265" spans="1:30" x14ac:dyDescent="0.3">
      <c r="A265" s="170"/>
      <c r="B265" s="166" t="s">
        <v>54</v>
      </c>
      <c r="C265" s="171"/>
      <c r="D265" s="59"/>
      <c r="E265" s="59"/>
      <c r="F265" s="59"/>
      <c r="G265" s="59"/>
      <c r="H265" s="59"/>
      <c r="I265" s="59"/>
      <c r="J265" s="59"/>
      <c r="K265" s="59"/>
      <c r="L265" s="59"/>
      <c r="M265" s="59"/>
      <c r="N265" s="59"/>
      <c r="O265" s="59"/>
      <c r="P265" s="59"/>
      <c r="Q265" s="59"/>
      <c r="R265" s="59"/>
      <c r="S265" s="59"/>
      <c r="T265" s="59"/>
      <c r="U265" s="59"/>
      <c r="V265" s="59"/>
      <c r="W265" s="59"/>
      <c r="X265" s="59"/>
      <c r="Y265" s="112"/>
      <c r="Z265" s="172"/>
      <c r="AA265" s="59"/>
      <c r="AB265" s="168"/>
      <c r="AC265" s="173"/>
      <c r="AD265" s="5"/>
    </row>
    <row r="266" spans="1:30" s="23" customFormat="1" x14ac:dyDescent="0.3">
      <c r="A266" s="174"/>
      <c r="B266" s="40" t="s">
        <v>55</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c r="Z266" s="162">
        <f>AB169</f>
        <v>0</v>
      </c>
      <c r="AA266" s="40"/>
      <c r="AB266" s="163"/>
      <c r="AC266" s="175"/>
      <c r="AD266" s="22"/>
    </row>
    <row r="267" spans="1:30" s="23" customFormat="1" x14ac:dyDescent="0.3">
      <c r="A267" s="160"/>
      <c r="B267" s="40" t="s">
        <v>56</v>
      </c>
      <c r="C267" s="97"/>
      <c r="D267" s="40"/>
      <c r="E267" s="40"/>
      <c r="F267" s="40"/>
      <c r="G267" s="40"/>
      <c r="H267" s="40"/>
      <c r="I267" s="40"/>
      <c r="J267" s="40"/>
      <c r="K267" s="40"/>
      <c r="L267" s="40"/>
      <c r="M267" s="40"/>
      <c r="N267" s="40"/>
      <c r="O267" s="40"/>
      <c r="P267" s="40"/>
      <c r="Q267" s="40"/>
      <c r="R267" s="40"/>
      <c r="S267" s="40"/>
      <c r="T267" s="40"/>
      <c r="U267" s="40"/>
      <c r="V267" s="40"/>
      <c r="W267" s="40"/>
      <c r="X267" s="40"/>
      <c r="Y267" s="48"/>
      <c r="Z267" s="162">
        <f>'July 21'!Z267+Z266</f>
        <v>14</v>
      </c>
      <c r="AA267" s="40"/>
      <c r="AB267" s="163"/>
      <c r="AC267" s="175"/>
      <c r="AD267" s="22"/>
    </row>
    <row r="268" spans="1:30" x14ac:dyDescent="0.3">
      <c r="A268" s="170"/>
      <c r="B268" s="166" t="s">
        <v>125</v>
      </c>
      <c r="C268" s="171"/>
      <c r="D268" s="59"/>
      <c r="E268" s="59"/>
      <c r="F268" s="59"/>
      <c r="G268" s="59"/>
      <c r="H268" s="59"/>
      <c r="I268" s="59"/>
      <c r="J268" s="59"/>
      <c r="K268" s="59"/>
      <c r="L268" s="59"/>
      <c r="M268" s="59"/>
      <c r="N268" s="59"/>
      <c r="O268" s="59"/>
      <c r="P268" s="59"/>
      <c r="Q268" s="59"/>
      <c r="R268" s="59"/>
      <c r="S268" s="59"/>
      <c r="T268" s="59"/>
      <c r="U268" s="59"/>
      <c r="V268" s="59"/>
      <c r="W268" s="59"/>
      <c r="X268" s="59"/>
      <c r="Y268" s="176"/>
      <c r="Z268" s="172"/>
      <c r="AA268" s="59"/>
      <c r="AB268" s="168"/>
      <c r="AC268" s="173"/>
      <c r="AD268" s="5"/>
    </row>
    <row r="269" spans="1:30" s="23" customFormat="1" x14ac:dyDescent="0.3">
      <c r="A269" s="174"/>
      <c r="B269" s="40" t="s">
        <v>134</v>
      </c>
      <c r="C269" s="40"/>
      <c r="D269" s="40"/>
      <c r="E269" s="40"/>
      <c r="F269" s="40"/>
      <c r="G269" s="40"/>
      <c r="H269" s="40"/>
      <c r="I269" s="40"/>
      <c r="J269" s="40"/>
      <c r="K269" s="40"/>
      <c r="L269" s="40"/>
      <c r="M269" s="40"/>
      <c r="N269" s="40"/>
      <c r="O269" s="40"/>
      <c r="P269" s="40"/>
      <c r="Q269" s="40"/>
      <c r="R269" s="40"/>
      <c r="S269" s="40"/>
      <c r="T269" s="40"/>
      <c r="U269" s="40"/>
      <c r="V269" s="40"/>
      <c r="W269" s="40"/>
      <c r="X269" s="40"/>
      <c r="Y269" s="48">
        <v>0</v>
      </c>
      <c r="Z269" s="162">
        <v>0</v>
      </c>
      <c r="AA269" s="40"/>
      <c r="AB269" s="163"/>
      <c r="AC269" s="175"/>
      <c r="AD269" s="22"/>
    </row>
    <row r="270" spans="1:30" s="23" customFormat="1" x14ac:dyDescent="0.3">
      <c r="A270" s="160"/>
      <c r="B270" s="40" t="s">
        <v>57</v>
      </c>
      <c r="C270" s="70"/>
      <c r="D270" s="40"/>
      <c r="E270" s="40"/>
      <c r="F270" s="40"/>
      <c r="G270" s="40"/>
      <c r="H270" s="40"/>
      <c r="I270" s="40"/>
      <c r="J270" s="40"/>
      <c r="K270" s="40"/>
      <c r="L270" s="40"/>
      <c r="M270" s="40"/>
      <c r="N270" s="40"/>
      <c r="O270" s="40"/>
      <c r="P270" s="40"/>
      <c r="Q270" s="40"/>
      <c r="R270" s="40"/>
      <c r="S270" s="40"/>
      <c r="T270" s="40"/>
      <c r="U270" s="40"/>
      <c r="V270" s="40"/>
      <c r="W270" s="40"/>
      <c r="X270" s="40"/>
      <c r="Y270" s="40"/>
      <c r="Z270" s="177">
        <v>0</v>
      </c>
      <c r="AA270" s="40"/>
      <c r="AB270" s="163"/>
      <c r="AC270" s="175"/>
      <c r="AD270" s="22"/>
    </row>
    <row r="271" spans="1:30" s="23" customFormat="1" x14ac:dyDescent="0.3">
      <c r="A271" s="160"/>
      <c r="B271" s="40" t="s">
        <v>58</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66" t="s">
        <v>116</v>
      </c>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s="23" customFormat="1" x14ac:dyDescent="0.3">
      <c r="A273" s="160"/>
      <c r="B273" s="40" t="s">
        <v>134</v>
      </c>
      <c r="C273" s="70"/>
      <c r="D273" s="40"/>
      <c r="E273" s="40"/>
      <c r="F273" s="40"/>
      <c r="G273" s="40"/>
      <c r="H273" s="40"/>
      <c r="I273" s="40"/>
      <c r="J273" s="40"/>
      <c r="K273" s="40"/>
      <c r="L273" s="40"/>
      <c r="M273" s="40"/>
      <c r="N273" s="40"/>
      <c r="O273" s="40"/>
      <c r="P273" s="40"/>
      <c r="Q273" s="40"/>
      <c r="R273" s="40"/>
      <c r="S273" s="40"/>
      <c r="T273" s="40"/>
      <c r="U273" s="40"/>
      <c r="V273" s="40"/>
      <c r="W273" s="40"/>
      <c r="X273" s="40"/>
      <c r="Y273" s="48">
        <v>0</v>
      </c>
      <c r="Z273" s="162">
        <v>0</v>
      </c>
      <c r="AA273" s="40"/>
      <c r="AB273" s="163"/>
      <c r="AC273" s="175"/>
      <c r="AD273" s="22"/>
    </row>
    <row r="274" spans="1:30" s="23" customFormat="1" x14ac:dyDescent="0.3">
      <c r="A274" s="160"/>
      <c r="B274" s="40" t="s">
        <v>117</v>
      </c>
      <c r="C274" s="70"/>
      <c r="D274" s="40"/>
      <c r="E274" s="40"/>
      <c r="F274" s="40"/>
      <c r="G274" s="40"/>
      <c r="H274" s="40"/>
      <c r="I274" s="40"/>
      <c r="J274" s="40"/>
      <c r="K274" s="40"/>
      <c r="L274" s="40"/>
      <c r="M274" s="40"/>
      <c r="N274" s="40"/>
      <c r="O274" s="40"/>
      <c r="P274" s="40"/>
      <c r="Q274" s="40"/>
      <c r="R274" s="40"/>
      <c r="S274" s="40"/>
      <c r="T274" s="40"/>
      <c r="U274" s="40"/>
      <c r="V274" s="40"/>
      <c r="W274" s="40"/>
      <c r="X274" s="40"/>
      <c r="Y274" s="40"/>
      <c r="Z274" s="177">
        <v>0</v>
      </c>
      <c r="AA274" s="40"/>
      <c r="AB274" s="163"/>
      <c r="AC274" s="175"/>
      <c r="AD274" s="22"/>
    </row>
    <row r="275" spans="1:30" x14ac:dyDescent="0.3">
      <c r="A275" s="165"/>
      <c r="B275" s="171"/>
      <c r="C275" s="178"/>
      <c r="D275" s="59"/>
      <c r="E275" s="59"/>
      <c r="F275" s="59"/>
      <c r="G275" s="59"/>
      <c r="H275" s="59"/>
      <c r="I275" s="59"/>
      <c r="J275" s="59"/>
      <c r="K275" s="59"/>
      <c r="L275" s="59"/>
      <c r="M275" s="59"/>
      <c r="N275" s="59"/>
      <c r="O275" s="59"/>
      <c r="P275" s="59"/>
      <c r="Q275" s="59"/>
      <c r="R275" s="59"/>
      <c r="S275" s="59"/>
      <c r="T275" s="59"/>
      <c r="U275" s="59"/>
      <c r="V275" s="59"/>
      <c r="W275" s="59"/>
      <c r="X275" s="59"/>
      <c r="Y275" s="112"/>
      <c r="Z275" s="179"/>
      <c r="AA275" s="59"/>
      <c r="AB275" s="168"/>
      <c r="AC275" s="173"/>
      <c r="AD275" s="5"/>
    </row>
    <row r="276" spans="1:30" x14ac:dyDescent="0.3">
      <c r="A276" s="165"/>
      <c r="B276" s="171"/>
      <c r="C276" s="178"/>
      <c r="D276" s="59"/>
      <c r="E276" s="59"/>
      <c r="F276" s="59"/>
      <c r="G276" s="59"/>
      <c r="H276" s="59"/>
      <c r="I276" s="59"/>
      <c r="J276" s="59"/>
      <c r="K276" s="59"/>
      <c r="L276" s="59"/>
      <c r="M276" s="59"/>
      <c r="N276" s="59"/>
      <c r="O276" s="59"/>
      <c r="P276" s="59"/>
      <c r="Q276" s="59"/>
      <c r="R276" s="59"/>
      <c r="S276" s="59"/>
      <c r="T276" s="59"/>
      <c r="U276" s="59"/>
      <c r="V276" s="59"/>
      <c r="W276" s="59"/>
      <c r="X276" s="59"/>
      <c r="Y276" s="59"/>
      <c r="Z276" s="180"/>
      <c r="AA276" s="59"/>
      <c r="AB276" s="168"/>
      <c r="AC276" s="173"/>
      <c r="AD276" s="5"/>
    </row>
    <row r="277" spans="1:30" ht="18" x14ac:dyDescent="0.35">
      <c r="A277" s="165"/>
      <c r="B277" s="181" t="s">
        <v>109</v>
      </c>
      <c r="C277" s="178"/>
      <c r="D277" s="59"/>
      <c r="E277" s="59"/>
      <c r="F277" s="59"/>
      <c r="G277" s="59"/>
      <c r="H277" s="59"/>
      <c r="I277" s="59"/>
      <c r="J277" s="59"/>
      <c r="K277" s="59"/>
      <c r="L277" s="182"/>
      <c r="M277" s="182"/>
      <c r="N277" s="182"/>
      <c r="O277" s="182"/>
      <c r="P277" s="261" t="s">
        <v>167</v>
      </c>
      <c r="Q277" s="182"/>
      <c r="R277" s="182"/>
      <c r="S277" s="182"/>
      <c r="T277" s="182"/>
      <c r="U277" s="182"/>
      <c r="V277" s="182"/>
      <c r="W277" s="59"/>
      <c r="X277" s="183"/>
      <c r="Y277" s="182"/>
      <c r="Z277" s="180"/>
      <c r="AA277" s="59"/>
      <c r="AB277" s="168"/>
      <c r="AC277" s="173"/>
      <c r="AD277" s="5"/>
    </row>
    <row r="278" spans="1:30" ht="18" x14ac:dyDescent="0.35">
      <c r="A278" s="184"/>
      <c r="B278" s="185"/>
      <c r="C278" s="186"/>
      <c r="D278" s="99"/>
      <c r="E278" s="99"/>
      <c r="F278" s="99"/>
      <c r="G278" s="99"/>
      <c r="H278" s="99"/>
      <c r="I278" s="99"/>
      <c r="J278" s="99"/>
      <c r="K278" s="99"/>
      <c r="L278" s="187"/>
      <c r="M278" s="187"/>
      <c r="N278" s="187"/>
      <c r="O278" s="187"/>
      <c r="P278" s="187"/>
      <c r="Q278" s="187"/>
      <c r="R278" s="187"/>
      <c r="S278" s="187"/>
      <c r="T278" s="187"/>
      <c r="U278" s="187"/>
      <c r="V278" s="187"/>
      <c r="W278" s="99"/>
      <c r="X278" s="99"/>
      <c r="Y278" s="99"/>
      <c r="Z278" s="188"/>
      <c r="AA278" s="99"/>
      <c r="AB278" s="152"/>
      <c r="AC278" s="189"/>
      <c r="AD278" s="5"/>
    </row>
    <row r="279" spans="1:30" x14ac:dyDescent="0.3">
      <c r="A279" s="33"/>
      <c r="B279" s="102" t="s">
        <v>126</v>
      </c>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54" t="s">
        <v>69</v>
      </c>
      <c r="Y279" s="103" t="s">
        <v>70</v>
      </c>
      <c r="Z279" s="154" t="s">
        <v>75</v>
      </c>
      <c r="AA279" s="103" t="s">
        <v>70</v>
      </c>
      <c r="AB279" s="34"/>
      <c r="AC279" s="190"/>
      <c r="AD279" s="5"/>
    </row>
    <row r="280" spans="1:30" s="23" customFormat="1" x14ac:dyDescent="0.3">
      <c r="A280" s="18"/>
      <c r="B280" s="106" t="s">
        <v>59</v>
      </c>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06">
        <f t="shared" ref="X280:X287" si="1">+X292+X304+X326</f>
        <v>2290</v>
      </c>
      <c r="Y280" s="192">
        <f>X280/$X$289</f>
        <v>0.99651871192341168</v>
      </c>
      <c r="Z280" s="107">
        <f t="shared" ref="Z280:Z287" si="2">+Z292+Z304+Z326</f>
        <v>409767</v>
      </c>
      <c r="AA280" s="192">
        <f t="shared" ref="AA280:AA287" si="3">Z280/$Z$289</f>
        <v>0.9955442285125643</v>
      </c>
      <c r="AB280" s="158"/>
      <c r="AC280" s="193"/>
      <c r="AD280" s="22"/>
    </row>
    <row r="281" spans="1:30" s="23" customFormat="1" x14ac:dyDescent="0.3">
      <c r="A281" s="47"/>
      <c r="B281" s="97" t="s">
        <v>60</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5">
        <f t="shared" si="1"/>
        <v>1</v>
      </c>
      <c r="Y281" s="196">
        <f t="shared" ref="Y281:Y287" si="4">X281/$X$289</f>
        <v>4.351610095735422E-4</v>
      </c>
      <c r="Z281" s="197">
        <f t="shared" si="2"/>
        <v>110</v>
      </c>
      <c r="AA281" s="198">
        <f t="shared" si="3"/>
        <v>2.6724910775241073E-4</v>
      </c>
      <c r="AB281" s="163"/>
      <c r="AC281" s="175"/>
      <c r="AD281" s="22"/>
    </row>
    <row r="282" spans="1:30" s="23" customFormat="1" x14ac:dyDescent="0.3">
      <c r="A282" s="47"/>
      <c r="B282" s="97" t="s">
        <v>61</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1"/>
        <v>1</v>
      </c>
      <c r="Y282" s="200">
        <f t="shared" si="4"/>
        <v>4.351610095735422E-4</v>
      </c>
      <c r="Z282" s="131">
        <f t="shared" si="2"/>
        <v>100</v>
      </c>
      <c r="AA282" s="198">
        <f t="shared" si="3"/>
        <v>2.4295373432037338E-4</v>
      </c>
      <c r="AB282" s="163"/>
      <c r="AC282" s="175"/>
      <c r="AD282" s="22"/>
    </row>
    <row r="283" spans="1:30" s="23" customFormat="1" x14ac:dyDescent="0.3">
      <c r="A283" s="47"/>
      <c r="B283" s="97" t="s">
        <v>100</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9">
        <f t="shared" si="1"/>
        <v>1</v>
      </c>
      <c r="Y283" s="200">
        <f t="shared" si="4"/>
        <v>4.351610095735422E-4</v>
      </c>
      <c r="Z283" s="131">
        <f t="shared" si="2"/>
        <v>276</v>
      </c>
      <c r="AA283" s="198">
        <f t="shared" si="3"/>
        <v>6.7055230672423047E-4</v>
      </c>
      <c r="AB283" s="163"/>
      <c r="AC283" s="175"/>
      <c r="AD283" s="22"/>
    </row>
    <row r="284" spans="1:30" s="23" customFormat="1" x14ac:dyDescent="0.3">
      <c r="A284" s="47"/>
      <c r="B284" s="97" t="s">
        <v>101</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9">
        <f t="shared" si="1"/>
        <v>1</v>
      </c>
      <c r="Y284" s="200">
        <f t="shared" si="4"/>
        <v>4.351610095735422E-4</v>
      </c>
      <c r="Z284" s="131">
        <f t="shared" si="2"/>
        <v>83</v>
      </c>
      <c r="AA284" s="198">
        <f t="shared" si="3"/>
        <v>2.016515994859099E-4</v>
      </c>
      <c r="AB284" s="163"/>
      <c r="AC284" s="175"/>
      <c r="AD284" s="22"/>
    </row>
    <row r="285" spans="1:30" s="23" customFormat="1" x14ac:dyDescent="0.3">
      <c r="A285" s="47"/>
      <c r="B285" s="97" t="s">
        <v>102</v>
      </c>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9">
        <f t="shared" si="1"/>
        <v>0</v>
      </c>
      <c r="Y285" s="200">
        <f t="shared" si="4"/>
        <v>0</v>
      </c>
      <c r="Z285" s="131">
        <f t="shared" si="2"/>
        <v>0</v>
      </c>
      <c r="AA285" s="198">
        <f t="shared" si="3"/>
        <v>0</v>
      </c>
      <c r="AB285" s="163"/>
      <c r="AC285" s="175"/>
      <c r="AD285" s="22"/>
    </row>
    <row r="286" spans="1:30" s="23" customFormat="1" x14ac:dyDescent="0.3">
      <c r="A286" s="47"/>
      <c r="B286" s="97" t="s">
        <v>103</v>
      </c>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201">
        <f t="shared" si="1"/>
        <v>3</v>
      </c>
      <c r="Y286" s="202">
        <f t="shared" si="4"/>
        <v>1.3054830287206266E-3</v>
      </c>
      <c r="Z286" s="203">
        <f t="shared" si="2"/>
        <v>986</v>
      </c>
      <c r="AA286" s="198">
        <f t="shared" si="3"/>
        <v>2.3955238203988813E-3</v>
      </c>
      <c r="AB286" s="163"/>
      <c r="AC286" s="175"/>
      <c r="AD286" s="22"/>
    </row>
    <row r="287" spans="1:30" s="23" customFormat="1" x14ac:dyDescent="0.3">
      <c r="A287" s="47"/>
      <c r="B287" s="97" t="s">
        <v>104</v>
      </c>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06">
        <f t="shared" si="1"/>
        <v>1</v>
      </c>
      <c r="Y287" s="198">
        <f t="shared" si="4"/>
        <v>4.351610095735422E-4</v>
      </c>
      <c r="Z287" s="107">
        <f t="shared" si="2"/>
        <v>279</v>
      </c>
      <c r="AA287" s="198">
        <f t="shared" si="3"/>
        <v>6.7784091875384175E-4</v>
      </c>
      <c r="AB287" s="163"/>
      <c r="AC287" s="175"/>
      <c r="AD287" s="22"/>
    </row>
    <row r="288" spans="1:30" s="23" customFormat="1" x14ac:dyDescent="0.3">
      <c r="A288" s="47"/>
      <c r="B288" s="97"/>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97"/>
      <c r="Y288" s="198"/>
      <c r="Z288" s="98"/>
      <c r="AA288" s="198"/>
      <c r="AB288" s="163"/>
      <c r="AC288" s="175"/>
      <c r="AD288" s="22"/>
    </row>
    <row r="289" spans="1:31" s="23" customFormat="1" x14ac:dyDescent="0.3">
      <c r="A289" s="47"/>
      <c r="B289" s="40" t="s">
        <v>80</v>
      </c>
      <c r="C289" s="40"/>
      <c r="D289" s="204"/>
      <c r="E289" s="204"/>
      <c r="F289" s="204"/>
      <c r="G289" s="204"/>
      <c r="H289" s="204"/>
      <c r="I289" s="204"/>
      <c r="J289" s="204"/>
      <c r="K289" s="204"/>
      <c r="L289" s="204"/>
      <c r="M289" s="204"/>
      <c r="N289" s="204"/>
      <c r="O289" s="204"/>
      <c r="P289" s="204"/>
      <c r="Q289" s="204"/>
      <c r="R289" s="204"/>
      <c r="S289" s="204"/>
      <c r="T289" s="204"/>
      <c r="U289" s="204"/>
      <c r="V289" s="204"/>
      <c r="W289" s="204"/>
      <c r="X289" s="97">
        <f>SUM(X280:X288)</f>
        <v>2298</v>
      </c>
      <c r="Y289" s="198">
        <f>SUM(Y280:Y288)</f>
        <v>0.99999999999999989</v>
      </c>
      <c r="Z289" s="98">
        <f>SUM(Z280:Z288)</f>
        <v>411601</v>
      </c>
      <c r="AA289" s="198">
        <f>SUM(AA280:AA288)</f>
        <v>1</v>
      </c>
      <c r="AB289" s="40"/>
      <c r="AC289" s="43"/>
      <c r="AD289" s="22"/>
    </row>
    <row r="290" spans="1:31" x14ac:dyDescent="0.3">
      <c r="A290" s="7"/>
      <c r="B290" s="151"/>
      <c r="C290" s="186"/>
      <c r="D290" s="99"/>
      <c r="E290" s="99"/>
      <c r="F290" s="99"/>
      <c r="G290" s="99"/>
      <c r="H290" s="99"/>
      <c r="I290" s="99"/>
      <c r="J290" s="99"/>
      <c r="K290" s="99"/>
      <c r="L290" s="99"/>
      <c r="M290" s="99"/>
      <c r="N290" s="99"/>
      <c r="O290" s="99"/>
      <c r="P290" s="99"/>
      <c r="Q290" s="99"/>
      <c r="R290" s="99"/>
      <c r="S290" s="99"/>
      <c r="T290" s="99"/>
      <c r="U290" s="99"/>
      <c r="V290" s="99"/>
      <c r="W290" s="99"/>
      <c r="X290" s="99"/>
      <c r="Y290" s="99"/>
      <c r="Z290" s="188"/>
      <c r="AA290" s="99"/>
      <c r="AB290" s="99"/>
      <c r="AC290" s="10"/>
      <c r="AD290" s="5"/>
    </row>
    <row r="291" spans="1:31" x14ac:dyDescent="0.3">
      <c r="A291" s="33"/>
      <c r="B291" s="102" t="s">
        <v>105</v>
      </c>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54" t="s">
        <v>69</v>
      </c>
      <c r="Y291" s="103" t="s">
        <v>70</v>
      </c>
      <c r="Z291" s="154" t="s">
        <v>75</v>
      </c>
      <c r="AA291" s="103" t="s">
        <v>70</v>
      </c>
      <c r="AB291" s="34"/>
      <c r="AC291" s="190"/>
      <c r="AD291" s="5"/>
    </row>
    <row r="292" spans="1:31" s="23" customFormat="1" x14ac:dyDescent="0.3">
      <c r="A292" s="18"/>
      <c r="B292" s="106" t="s">
        <v>59</v>
      </c>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06">
        <v>2290</v>
      </c>
      <c r="Y292" s="192">
        <f>X292/$X$301</f>
        <v>0.99651871192341168</v>
      </c>
      <c r="Z292" s="107">
        <v>409767</v>
      </c>
      <c r="AA292" s="192">
        <f>Z292/$Z$301</f>
        <v>0.9955442285125643</v>
      </c>
      <c r="AB292" s="158"/>
      <c r="AC292" s="193"/>
      <c r="AD292" s="22"/>
    </row>
    <row r="293" spans="1:31" s="23" customFormat="1" x14ac:dyDescent="0.3">
      <c r="A293" s="47"/>
      <c r="B293" s="97" t="s">
        <v>60</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1</v>
      </c>
      <c r="Y293" s="198">
        <f t="shared" ref="Y293:Y299" si="5">X293/$X$301</f>
        <v>4.351610095735422E-4</v>
      </c>
      <c r="Z293" s="98">
        <v>110</v>
      </c>
      <c r="AA293" s="198">
        <f t="shared" ref="AA293:AA299" si="6">Z293/$Z$301</f>
        <v>2.6724910775241073E-4</v>
      </c>
      <c r="AB293" s="163"/>
      <c r="AC293" s="175"/>
      <c r="AD293" s="22"/>
      <c r="AE293" s="115"/>
    </row>
    <row r="294" spans="1:31" s="23" customFormat="1" x14ac:dyDescent="0.3">
      <c r="A294" s="47"/>
      <c r="B294" s="97" t="s">
        <v>61</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1</v>
      </c>
      <c r="Y294" s="198">
        <f t="shared" si="5"/>
        <v>4.351610095735422E-4</v>
      </c>
      <c r="Z294" s="98">
        <v>100</v>
      </c>
      <c r="AA294" s="198">
        <f t="shared" si="6"/>
        <v>2.4295373432037338E-4</v>
      </c>
      <c r="AB294" s="163"/>
      <c r="AC294" s="175"/>
      <c r="AD294" s="22"/>
    </row>
    <row r="295" spans="1:31" s="23" customFormat="1" x14ac:dyDescent="0.3">
      <c r="A295" s="47"/>
      <c r="B295" s="97" t="s">
        <v>100</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1</v>
      </c>
      <c r="Y295" s="198">
        <f t="shared" si="5"/>
        <v>4.351610095735422E-4</v>
      </c>
      <c r="Z295" s="98">
        <v>276</v>
      </c>
      <c r="AA295" s="198">
        <f t="shared" si="6"/>
        <v>6.7055230672423047E-4</v>
      </c>
      <c r="AB295" s="163"/>
      <c r="AC295" s="175"/>
      <c r="AD295" s="22"/>
      <c r="AE295" s="115"/>
    </row>
    <row r="296" spans="1:31" s="23" customFormat="1" x14ac:dyDescent="0.3">
      <c r="A296" s="47"/>
      <c r="B296" s="97" t="s">
        <v>101</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1</v>
      </c>
      <c r="Y296" s="198">
        <f t="shared" si="5"/>
        <v>4.351610095735422E-4</v>
      </c>
      <c r="Z296" s="98">
        <v>83</v>
      </c>
      <c r="AA296" s="198">
        <f t="shared" si="6"/>
        <v>2.016515994859099E-4</v>
      </c>
      <c r="AB296" s="163"/>
      <c r="AC296" s="175"/>
      <c r="AD296" s="22"/>
    </row>
    <row r="297" spans="1:31" s="23" customFormat="1" x14ac:dyDescent="0.3">
      <c r="A297" s="47"/>
      <c r="B297" s="97" t="s">
        <v>102</v>
      </c>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v>0</v>
      </c>
      <c r="Y297" s="198">
        <f t="shared" si="5"/>
        <v>0</v>
      </c>
      <c r="Z297" s="98">
        <v>0</v>
      </c>
      <c r="AA297" s="198">
        <f t="shared" si="6"/>
        <v>0</v>
      </c>
      <c r="AB297" s="163"/>
      <c r="AC297" s="175"/>
      <c r="AD297" s="22"/>
      <c r="AE297" s="115"/>
    </row>
    <row r="298" spans="1:31" s="23" customFormat="1" x14ac:dyDescent="0.3">
      <c r="A298" s="47"/>
      <c r="B298" s="97" t="s">
        <v>103</v>
      </c>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97">
        <v>3</v>
      </c>
      <c r="Y298" s="198">
        <f>X298/$X$301</f>
        <v>1.3054830287206266E-3</v>
      </c>
      <c r="Z298" s="98">
        <v>986</v>
      </c>
      <c r="AA298" s="198">
        <f t="shared" si="6"/>
        <v>2.3955238203988813E-3</v>
      </c>
      <c r="AB298" s="163"/>
      <c r="AC298" s="175"/>
      <c r="AD298" s="22"/>
    </row>
    <row r="299" spans="1:31" s="23" customFormat="1" x14ac:dyDescent="0.3">
      <c r="A299" s="47"/>
      <c r="B299" s="97" t="s">
        <v>104</v>
      </c>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97">
        <v>1</v>
      </c>
      <c r="Y299" s="198">
        <f t="shared" si="5"/>
        <v>4.351610095735422E-4</v>
      </c>
      <c r="Z299" s="98">
        <v>279</v>
      </c>
      <c r="AA299" s="198">
        <f t="shared" si="6"/>
        <v>6.7784091875384175E-4</v>
      </c>
      <c r="AB299" s="163"/>
      <c r="AC299" s="175"/>
      <c r="AD299" s="22"/>
      <c r="AE299" s="115"/>
    </row>
    <row r="300" spans="1:31" s="23" customFormat="1" x14ac:dyDescent="0.3">
      <c r="A300" s="47"/>
      <c r="B300" s="97"/>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97"/>
      <c r="Y300" s="198"/>
      <c r="Z300" s="98"/>
      <c r="AA300" s="198"/>
      <c r="AB300" s="163"/>
      <c r="AC300" s="175"/>
      <c r="AD300" s="22"/>
    </row>
    <row r="301" spans="1:31" s="23" customFormat="1" x14ac:dyDescent="0.3">
      <c r="A301" s="47"/>
      <c r="B301" s="40" t="s">
        <v>80</v>
      </c>
      <c r="C301" s="40"/>
      <c r="D301" s="204"/>
      <c r="E301" s="204"/>
      <c r="F301" s="204"/>
      <c r="G301" s="204"/>
      <c r="H301" s="204"/>
      <c r="I301" s="204"/>
      <c r="J301" s="204"/>
      <c r="K301" s="204"/>
      <c r="L301" s="204"/>
      <c r="M301" s="204"/>
      <c r="N301" s="204"/>
      <c r="O301" s="204"/>
      <c r="P301" s="204"/>
      <c r="Q301" s="204"/>
      <c r="R301" s="204"/>
      <c r="S301" s="204"/>
      <c r="T301" s="204"/>
      <c r="U301" s="204"/>
      <c r="V301" s="204"/>
      <c r="W301" s="204"/>
      <c r="X301" s="97">
        <f>SUM(X292:X300)</f>
        <v>2298</v>
      </c>
      <c r="Y301" s="198">
        <f>SUM(Y292:Y300)</f>
        <v>0.99999999999999989</v>
      </c>
      <c r="Z301" s="98">
        <f>SUM(Z292:Z300)</f>
        <v>411601</v>
      </c>
      <c r="AA301" s="198">
        <f>SUM(AA292:AA300)</f>
        <v>1</v>
      </c>
      <c r="AB301" s="40"/>
      <c r="AC301" s="43"/>
      <c r="AD301" s="22"/>
    </row>
    <row r="302" spans="1:31" x14ac:dyDescent="0.3">
      <c r="A302" s="7"/>
      <c r="B302" s="99"/>
      <c r="C302" s="99"/>
      <c r="D302" s="205"/>
      <c r="E302" s="205"/>
      <c r="F302" s="205"/>
      <c r="G302" s="205"/>
      <c r="H302" s="205"/>
      <c r="I302" s="205"/>
      <c r="J302" s="205"/>
      <c r="K302" s="205"/>
      <c r="L302" s="205"/>
      <c r="M302" s="205"/>
      <c r="N302" s="205"/>
      <c r="O302" s="205"/>
      <c r="P302" s="205"/>
      <c r="Q302" s="205"/>
      <c r="R302" s="205"/>
      <c r="S302" s="205"/>
      <c r="T302" s="205"/>
      <c r="U302" s="205"/>
      <c r="V302" s="205"/>
      <c r="W302" s="205"/>
      <c r="X302" s="100"/>
      <c r="Y302" s="206"/>
      <c r="Z302" s="207"/>
      <c r="AA302" s="206"/>
      <c r="AB302" s="99"/>
      <c r="AC302" s="10"/>
      <c r="AD302" s="5"/>
    </row>
    <row r="303" spans="1:31" x14ac:dyDescent="0.3">
      <c r="A303" s="33"/>
      <c r="B303" s="102" t="s">
        <v>121</v>
      </c>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54" t="s">
        <v>69</v>
      </c>
      <c r="Y303" s="103" t="s">
        <v>70</v>
      </c>
      <c r="Z303" s="154" t="s">
        <v>75</v>
      </c>
      <c r="AA303" s="103" t="s">
        <v>70</v>
      </c>
      <c r="AB303" s="34"/>
      <c r="AC303" s="36"/>
      <c r="AD303" s="5"/>
    </row>
    <row r="304" spans="1:31" s="23" customFormat="1" x14ac:dyDescent="0.3">
      <c r="A304" s="18"/>
      <c r="B304" s="106" t="s">
        <v>59</v>
      </c>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06">
        <v>0</v>
      </c>
      <c r="Y304" s="192">
        <v>0</v>
      </c>
      <c r="Z304" s="107">
        <v>0</v>
      </c>
      <c r="AA304" s="192">
        <v>0</v>
      </c>
      <c r="AB304" s="37"/>
      <c r="AC304" s="21"/>
      <c r="AD304" s="22"/>
    </row>
    <row r="305" spans="1:30" s="23" customFormat="1" x14ac:dyDescent="0.3">
      <c r="A305" s="47"/>
      <c r="B305" s="97" t="s">
        <v>60</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61</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100</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101</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t="s">
        <v>102</v>
      </c>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v>0</v>
      </c>
      <c r="Y309" s="198">
        <v>0</v>
      </c>
      <c r="Z309" s="98">
        <v>0</v>
      </c>
      <c r="AA309" s="198">
        <v>0</v>
      </c>
      <c r="AB309" s="40"/>
      <c r="AC309" s="43"/>
      <c r="AD309" s="22"/>
    </row>
    <row r="310" spans="1:30" s="23" customFormat="1" x14ac:dyDescent="0.3">
      <c r="A310" s="47"/>
      <c r="B310" s="97" t="s">
        <v>103</v>
      </c>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97">
        <v>0</v>
      </c>
      <c r="Y310" s="198">
        <v>0</v>
      </c>
      <c r="Z310" s="98">
        <v>0</v>
      </c>
      <c r="AA310" s="198">
        <v>0</v>
      </c>
      <c r="AB310" s="40"/>
      <c r="AC310" s="43"/>
      <c r="AD310" s="22"/>
    </row>
    <row r="311" spans="1:30" s="23" customFormat="1" x14ac:dyDescent="0.3">
      <c r="A311" s="47"/>
      <c r="B311" s="97" t="s">
        <v>104</v>
      </c>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97">
        <v>0</v>
      </c>
      <c r="Y311" s="198">
        <v>0</v>
      </c>
      <c r="Z311" s="98">
        <v>0</v>
      </c>
      <c r="AA311" s="198">
        <v>0</v>
      </c>
      <c r="AB311" s="40"/>
      <c r="AC311" s="43"/>
      <c r="AD311" s="22"/>
    </row>
    <row r="312" spans="1:30" s="23" customFormat="1" x14ac:dyDescent="0.3">
      <c r="A312" s="47"/>
      <c r="B312" s="97"/>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97"/>
      <c r="Y312" s="198"/>
      <c r="Z312" s="98"/>
      <c r="AA312" s="198"/>
      <c r="AB312" s="40"/>
      <c r="AC312" s="43"/>
      <c r="AD312" s="22"/>
    </row>
    <row r="313" spans="1:30" s="23" customFormat="1" x14ac:dyDescent="0.3">
      <c r="A313" s="47"/>
      <c r="B313" s="40" t="s">
        <v>80</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97">
        <f>SUM(X304:X312)</f>
        <v>0</v>
      </c>
      <c r="Y313" s="198">
        <f>SUM(Y304:Y312)</f>
        <v>0</v>
      </c>
      <c r="Z313" s="98">
        <f>SUM(Z304:Z312)</f>
        <v>0</v>
      </c>
      <c r="AA313" s="198">
        <f>SUM(AA304:AA312)</f>
        <v>0</v>
      </c>
      <c r="AB313" s="40"/>
      <c r="AC313" s="43"/>
      <c r="AD313" s="22"/>
    </row>
    <row r="314" spans="1:30" s="23" customFormat="1" x14ac:dyDescent="0.3">
      <c r="A314" s="47"/>
      <c r="B314" s="40"/>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97"/>
      <c r="Y314" s="198"/>
      <c r="Z314" s="98"/>
      <c r="AA314" s="198"/>
      <c r="AB314" s="40"/>
      <c r="AC314" s="43"/>
      <c r="AD314" s="22"/>
    </row>
    <row r="315" spans="1:30" s="23" customFormat="1" x14ac:dyDescent="0.3">
      <c r="A315" s="242"/>
      <c r="B315" s="243" t="s">
        <v>330</v>
      </c>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62" t="s">
        <v>69</v>
      </c>
      <c r="Y315" s="263" t="s">
        <v>70</v>
      </c>
      <c r="Z315" s="262" t="s">
        <v>75</v>
      </c>
      <c r="AA315" s="263" t="s">
        <v>70</v>
      </c>
      <c r="AB315" s="243"/>
      <c r="AC315" s="243"/>
      <c r="AD315" s="22"/>
    </row>
    <row r="316" spans="1:30" s="23" customFormat="1" x14ac:dyDescent="0.3">
      <c r="A316" s="273"/>
      <c r="B316" s="274" t="s">
        <v>326</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6">
        <v>0</v>
      </c>
      <c r="Y316" s="277">
        <v>0</v>
      </c>
      <c r="Z316" s="278">
        <v>0</v>
      </c>
      <c r="AA316" s="277">
        <v>0</v>
      </c>
      <c r="AB316" s="40"/>
      <c r="AC316" s="43"/>
      <c r="AD316" s="22"/>
    </row>
    <row r="317" spans="1:30" s="23" customFormat="1" x14ac:dyDescent="0.3">
      <c r="A317" s="273"/>
      <c r="B317" s="274" t="s">
        <v>327</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6">
        <v>0</v>
      </c>
      <c r="Y317" s="277">
        <v>0</v>
      </c>
      <c r="Z317" s="278">
        <v>0</v>
      </c>
      <c r="AA317" s="277">
        <v>0</v>
      </c>
      <c r="AB317" s="40"/>
      <c r="AC317" s="43"/>
      <c r="AD317" s="22"/>
    </row>
    <row r="318" spans="1:30" s="23" customFormat="1" x14ac:dyDescent="0.3">
      <c r="A318" s="273"/>
      <c r="B318" s="274" t="s">
        <v>328</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6">
        <v>0</v>
      </c>
      <c r="Y318" s="277">
        <v>0</v>
      </c>
      <c r="Z318" s="278">
        <v>0</v>
      </c>
      <c r="AA318" s="277">
        <v>0</v>
      </c>
      <c r="AB318" s="40"/>
      <c r="AC318" s="43"/>
      <c r="AD318" s="22"/>
    </row>
    <row r="319" spans="1:30" s="23" customFormat="1" x14ac:dyDescent="0.3">
      <c r="A319" s="273"/>
      <c r="B319" s="274" t="s">
        <v>329</v>
      </c>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6">
        <v>0</v>
      </c>
      <c r="Y319" s="277">
        <v>0</v>
      </c>
      <c r="Z319" s="278">
        <v>0</v>
      </c>
      <c r="AA319" s="277">
        <v>0</v>
      </c>
      <c r="AB319" s="40"/>
      <c r="AC319" s="43"/>
      <c r="AD319" s="22"/>
    </row>
    <row r="320" spans="1:30" s="23" customFormat="1" x14ac:dyDescent="0.3">
      <c r="A320" s="273"/>
      <c r="B320" s="274" t="s">
        <v>334</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6">
        <v>0</v>
      </c>
      <c r="Y320" s="277">
        <v>0</v>
      </c>
      <c r="Z320" s="278">
        <v>0</v>
      </c>
      <c r="AA320" s="277">
        <v>0</v>
      </c>
      <c r="AB320" s="40"/>
      <c r="AC320" s="43"/>
      <c r="AD320" s="22"/>
    </row>
    <row r="321" spans="1:30" s="23" customFormat="1" x14ac:dyDescent="0.3">
      <c r="A321" s="273"/>
      <c r="B321" s="275" t="s">
        <v>331</v>
      </c>
      <c r="C321" s="40"/>
      <c r="D321" s="204"/>
      <c r="E321" s="204"/>
      <c r="F321" s="204"/>
      <c r="G321" s="204"/>
      <c r="H321" s="204"/>
      <c r="I321" s="204"/>
      <c r="J321" s="204"/>
      <c r="K321" s="204"/>
      <c r="L321" s="204"/>
      <c r="M321" s="204"/>
      <c r="N321" s="204"/>
      <c r="O321" s="204"/>
      <c r="P321" s="204"/>
      <c r="Q321" s="204"/>
      <c r="R321" s="204"/>
      <c r="S321" s="204"/>
      <c r="T321" s="204"/>
      <c r="U321" s="204"/>
      <c r="V321" s="204"/>
      <c r="W321" s="204"/>
      <c r="X321" s="276">
        <v>0</v>
      </c>
      <c r="Y321" s="277">
        <v>0</v>
      </c>
      <c r="Z321" s="278">
        <v>0</v>
      </c>
      <c r="AA321" s="277">
        <v>0</v>
      </c>
      <c r="AB321" s="40"/>
      <c r="AC321" s="43"/>
      <c r="AD321" s="22"/>
    </row>
    <row r="322" spans="1:30" s="23" customFormat="1" x14ac:dyDescent="0.3">
      <c r="A322" s="273"/>
      <c r="B322" s="274"/>
      <c r="C322" s="40"/>
      <c r="D322" s="204"/>
      <c r="E322" s="204"/>
      <c r="F322" s="204"/>
      <c r="G322" s="204"/>
      <c r="H322" s="204"/>
      <c r="I322" s="204"/>
      <c r="J322" s="204"/>
      <c r="K322" s="204"/>
      <c r="L322" s="204"/>
      <c r="M322" s="204"/>
      <c r="N322" s="204"/>
      <c r="O322" s="204"/>
      <c r="P322" s="204"/>
      <c r="Q322" s="204"/>
      <c r="R322" s="204"/>
      <c r="S322" s="204"/>
      <c r="T322" s="204"/>
      <c r="U322" s="204"/>
      <c r="V322" s="204"/>
      <c r="W322" s="204"/>
      <c r="X322" s="276"/>
      <c r="Y322" s="277"/>
      <c r="Z322" s="278"/>
      <c r="AA322" s="277"/>
      <c r="AB322" s="40"/>
      <c r="AC322" s="43"/>
      <c r="AD322" s="22"/>
    </row>
    <row r="323" spans="1:30" s="23" customFormat="1" x14ac:dyDescent="0.3">
      <c r="A323" s="273"/>
      <c r="B323" s="274" t="s">
        <v>80</v>
      </c>
      <c r="C323" s="40"/>
      <c r="D323" s="204"/>
      <c r="E323" s="204"/>
      <c r="F323" s="204"/>
      <c r="G323" s="204"/>
      <c r="H323" s="204"/>
      <c r="I323" s="204"/>
      <c r="J323" s="204"/>
      <c r="K323" s="204"/>
      <c r="L323" s="204"/>
      <c r="M323" s="204"/>
      <c r="N323" s="204"/>
      <c r="O323" s="204"/>
      <c r="P323" s="204"/>
      <c r="Q323" s="204"/>
      <c r="R323" s="204"/>
      <c r="S323" s="204"/>
      <c r="T323" s="204"/>
      <c r="U323" s="204"/>
      <c r="V323" s="204"/>
      <c r="W323" s="204"/>
      <c r="X323" s="276">
        <f>SUM(X316:X322)</f>
        <v>0</v>
      </c>
      <c r="Y323" s="277">
        <f>SUM(Y316:Y321)</f>
        <v>0</v>
      </c>
      <c r="Z323" s="278">
        <f>SUM(Z316:Z321)</f>
        <v>0</v>
      </c>
      <c r="AA323" s="277">
        <f>SUM(AA316:AA322)</f>
        <v>0</v>
      </c>
      <c r="AB323" s="40"/>
      <c r="AC323" s="43"/>
      <c r="AD323" s="22"/>
    </row>
    <row r="324" spans="1:30" x14ac:dyDescent="0.3">
      <c r="A324" s="7"/>
      <c r="B324" s="99"/>
      <c r="C324" s="99"/>
      <c r="D324" s="205"/>
      <c r="E324" s="205"/>
      <c r="F324" s="205"/>
      <c r="G324" s="205"/>
      <c r="H324" s="205"/>
      <c r="I324" s="205"/>
      <c r="J324" s="205"/>
      <c r="K324" s="205"/>
      <c r="L324" s="205"/>
      <c r="M324" s="205"/>
      <c r="N324" s="205"/>
      <c r="O324" s="205"/>
      <c r="P324" s="205"/>
      <c r="Q324" s="205"/>
      <c r="R324" s="205"/>
      <c r="S324" s="205"/>
      <c r="T324" s="205"/>
      <c r="U324" s="205"/>
      <c r="V324" s="205"/>
      <c r="W324" s="205"/>
      <c r="X324" s="100"/>
      <c r="Y324" s="206"/>
      <c r="Z324" s="207"/>
      <c r="AA324" s="206"/>
      <c r="AB324" s="99"/>
      <c r="AC324" s="10"/>
      <c r="AD324" s="5"/>
    </row>
    <row r="325" spans="1:30" x14ac:dyDescent="0.3">
      <c r="A325" s="33"/>
      <c r="B325" s="102" t="s">
        <v>106</v>
      </c>
      <c r="C325" s="34"/>
      <c r="D325" s="208"/>
      <c r="E325" s="208"/>
      <c r="F325" s="208"/>
      <c r="G325" s="208"/>
      <c r="H325" s="208"/>
      <c r="I325" s="208"/>
      <c r="J325" s="208"/>
      <c r="K325" s="208"/>
      <c r="L325" s="208"/>
      <c r="M325" s="208"/>
      <c r="N325" s="208"/>
      <c r="O325" s="208"/>
      <c r="P325" s="208"/>
      <c r="Q325" s="208"/>
      <c r="R325" s="208"/>
      <c r="S325" s="208"/>
      <c r="T325" s="208"/>
      <c r="U325" s="208"/>
      <c r="V325" s="208"/>
      <c r="W325" s="208"/>
      <c r="X325" s="154" t="s">
        <v>69</v>
      </c>
      <c r="Y325" s="103" t="s">
        <v>70</v>
      </c>
      <c r="Z325" s="154" t="s">
        <v>75</v>
      </c>
      <c r="AA325" s="103" t="s">
        <v>70</v>
      </c>
      <c r="AB325" s="34"/>
      <c r="AC325" s="36"/>
      <c r="AD325" s="5"/>
    </row>
    <row r="326" spans="1:30" s="23" customFormat="1" x14ac:dyDescent="0.3">
      <c r="A326" s="18"/>
      <c r="B326" s="106" t="s">
        <v>59</v>
      </c>
      <c r="C326" s="37"/>
      <c r="D326" s="209"/>
      <c r="E326" s="209"/>
      <c r="F326" s="209"/>
      <c r="G326" s="209"/>
      <c r="H326" s="209"/>
      <c r="I326" s="209"/>
      <c r="J326" s="209"/>
      <c r="K326" s="209"/>
      <c r="L326" s="209"/>
      <c r="M326" s="209"/>
      <c r="N326" s="209"/>
      <c r="O326" s="209"/>
      <c r="P326" s="209"/>
      <c r="Q326" s="209"/>
      <c r="R326" s="209"/>
      <c r="S326" s="209"/>
      <c r="T326" s="209"/>
      <c r="U326" s="209"/>
      <c r="V326" s="209"/>
      <c r="W326" s="209"/>
      <c r="X326" s="106">
        <v>0</v>
      </c>
      <c r="Y326" s="192">
        <v>0</v>
      </c>
      <c r="Z326" s="107">
        <v>0</v>
      </c>
      <c r="AA326" s="192">
        <v>0</v>
      </c>
      <c r="AB326" s="37"/>
      <c r="AC326" s="21"/>
      <c r="AD326" s="22"/>
    </row>
    <row r="327" spans="1:30" s="23" customFormat="1" x14ac:dyDescent="0.3">
      <c r="A327" s="47"/>
      <c r="B327" s="97" t="s">
        <v>60</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61</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100</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101</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t="s">
        <v>102</v>
      </c>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v>0</v>
      </c>
      <c r="Y331" s="198">
        <v>0</v>
      </c>
      <c r="Z331" s="98">
        <v>0</v>
      </c>
      <c r="AA331" s="198">
        <v>0</v>
      </c>
      <c r="AB331" s="40"/>
      <c r="AC331" s="43"/>
      <c r="AD331" s="22"/>
    </row>
    <row r="332" spans="1:30" s="23" customFormat="1" x14ac:dyDescent="0.3">
      <c r="A332" s="47"/>
      <c r="B332" s="97" t="s">
        <v>103</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v>0</v>
      </c>
      <c r="Y332" s="198">
        <v>0</v>
      </c>
      <c r="Z332" s="98">
        <v>0</v>
      </c>
      <c r="AA332" s="198">
        <v>0</v>
      </c>
      <c r="AB332" s="40"/>
      <c r="AC332" s="43"/>
      <c r="AD332" s="22"/>
    </row>
    <row r="333" spans="1:30" s="23" customFormat="1" x14ac:dyDescent="0.3">
      <c r="A333" s="47"/>
      <c r="B333" s="97" t="s">
        <v>104</v>
      </c>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v>0</v>
      </c>
      <c r="Y333" s="198">
        <v>0</v>
      </c>
      <c r="Z333" s="98">
        <v>0</v>
      </c>
      <c r="AA333" s="198">
        <v>0</v>
      </c>
      <c r="AB333" s="40"/>
      <c r="AC333" s="43"/>
      <c r="AD333" s="22"/>
    </row>
    <row r="334" spans="1:30" s="23" customFormat="1" x14ac:dyDescent="0.3">
      <c r="A334" s="47"/>
      <c r="B334" s="97"/>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97"/>
      <c r="Y334" s="198"/>
      <c r="Z334" s="98"/>
      <c r="AA334" s="198"/>
      <c r="AB334" s="40"/>
      <c r="AC334" s="43"/>
      <c r="AD334" s="22"/>
    </row>
    <row r="335" spans="1:30" s="23" customFormat="1" x14ac:dyDescent="0.3">
      <c r="A335" s="47"/>
      <c r="B335" s="40" t="s">
        <v>80</v>
      </c>
      <c r="C335" s="40"/>
      <c r="D335" s="204"/>
      <c r="E335" s="204"/>
      <c r="F335" s="204"/>
      <c r="G335" s="204"/>
      <c r="H335" s="204"/>
      <c r="I335" s="204"/>
      <c r="J335" s="204"/>
      <c r="K335" s="204"/>
      <c r="L335" s="204"/>
      <c r="M335" s="204"/>
      <c r="N335" s="204"/>
      <c r="O335" s="204"/>
      <c r="P335" s="204"/>
      <c r="Q335" s="204"/>
      <c r="R335" s="204"/>
      <c r="S335" s="204"/>
      <c r="T335" s="204"/>
      <c r="U335" s="204"/>
      <c r="V335" s="204"/>
      <c r="W335" s="204"/>
      <c r="X335" s="97">
        <f>SUM(X326:X333)</f>
        <v>0</v>
      </c>
      <c r="Y335" s="198">
        <f>SUM(Y326:Y333)</f>
        <v>0</v>
      </c>
      <c r="Z335" s="98">
        <f>SUM(Z326:Z333)</f>
        <v>0</v>
      </c>
      <c r="AA335" s="198">
        <f>SUM(AA326:AA333)</f>
        <v>0</v>
      </c>
      <c r="AB335" s="40"/>
      <c r="AC335" s="43"/>
      <c r="AD335" s="22"/>
    </row>
    <row r="336" spans="1:30" s="23" customFormat="1" x14ac:dyDescent="0.3">
      <c r="A336" s="47"/>
      <c r="B336" s="40"/>
      <c r="C336" s="40"/>
      <c r="D336" s="204"/>
      <c r="E336" s="204"/>
      <c r="F336" s="204"/>
      <c r="G336" s="204"/>
      <c r="H336" s="204"/>
      <c r="I336" s="204"/>
      <c r="J336" s="204"/>
      <c r="K336" s="204"/>
      <c r="L336" s="204"/>
      <c r="M336" s="204"/>
      <c r="N336" s="204"/>
      <c r="O336" s="204"/>
      <c r="P336" s="204"/>
      <c r="Q336" s="204"/>
      <c r="R336" s="204"/>
      <c r="S336" s="204"/>
      <c r="T336" s="204"/>
      <c r="U336" s="204"/>
      <c r="V336" s="204"/>
      <c r="W336" s="204"/>
      <c r="X336" s="97"/>
      <c r="Y336" s="198"/>
      <c r="Z336" s="98"/>
      <c r="AA336" s="198"/>
      <c r="AB336" s="40"/>
      <c r="AC336" s="43"/>
      <c r="AD336" s="22"/>
    </row>
    <row r="337" spans="1:30" s="23" customFormat="1" x14ac:dyDescent="0.3">
      <c r="A337" s="47"/>
      <c r="B337" s="44" t="s">
        <v>139</v>
      </c>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210">
        <f>X335+X313+X301</f>
        <v>2298</v>
      </c>
      <c r="Y337" s="198"/>
      <c r="Z337" s="211">
        <f>+Z335+Z313+Z301</f>
        <v>411601</v>
      </c>
      <c r="AA337" s="198"/>
      <c r="AB337" s="40"/>
      <c r="AC337" s="43"/>
      <c r="AD337" s="22"/>
    </row>
    <row r="338" spans="1:30" s="23" customFormat="1" x14ac:dyDescent="0.3">
      <c r="A338" s="47"/>
      <c r="B338" s="44" t="s">
        <v>304</v>
      </c>
      <c r="C338" s="44"/>
      <c r="D338" s="212"/>
      <c r="E338" s="212"/>
      <c r="F338" s="212"/>
      <c r="G338" s="212"/>
      <c r="H338" s="212"/>
      <c r="I338" s="212"/>
      <c r="J338" s="212"/>
      <c r="K338" s="212"/>
      <c r="L338" s="212"/>
      <c r="M338" s="212"/>
      <c r="N338" s="212"/>
      <c r="O338" s="212"/>
      <c r="P338" s="212"/>
      <c r="Q338" s="212"/>
      <c r="R338" s="212"/>
      <c r="S338" s="212"/>
      <c r="T338" s="212"/>
      <c r="U338" s="212"/>
      <c r="V338" s="212"/>
      <c r="W338" s="212"/>
      <c r="X338" s="210"/>
      <c r="Y338" s="213"/>
      <c r="Z338" s="211">
        <f>+AB65+AB64</f>
        <v>0</v>
      </c>
      <c r="AA338" s="198"/>
      <c r="AB338" s="40"/>
      <c r="AC338" s="43"/>
      <c r="AD338" s="22"/>
    </row>
    <row r="339" spans="1:30" s="23" customFormat="1" x14ac:dyDescent="0.3">
      <c r="A339" s="47"/>
      <c r="B339" s="44" t="s">
        <v>107</v>
      </c>
      <c r="C339" s="44"/>
      <c r="D339" s="212"/>
      <c r="E339" s="212"/>
      <c r="F339" s="212"/>
      <c r="G339" s="212"/>
      <c r="H339" s="212"/>
      <c r="I339" s="212"/>
      <c r="J339" s="212"/>
      <c r="K339" s="212"/>
      <c r="L339" s="212"/>
      <c r="M339" s="212"/>
      <c r="N339" s="212"/>
      <c r="O339" s="212"/>
      <c r="P339" s="212"/>
      <c r="Q339" s="212"/>
      <c r="R339" s="212"/>
      <c r="S339" s="212"/>
      <c r="T339" s="212"/>
      <c r="U339" s="212"/>
      <c r="V339" s="212"/>
      <c r="W339" s="212"/>
      <c r="X339" s="210"/>
      <c r="Y339" s="213"/>
      <c r="Z339" s="211">
        <f>+Z337+Z338</f>
        <v>411601</v>
      </c>
      <c r="AA339" s="198"/>
      <c r="AB339" s="40"/>
      <c r="AC339" s="43"/>
      <c r="AD339" s="22"/>
    </row>
    <row r="340" spans="1:30" s="23" customFormat="1" x14ac:dyDescent="0.3">
      <c r="A340" s="47"/>
      <c r="B340" s="44" t="s">
        <v>237</v>
      </c>
      <c r="C340" s="40"/>
      <c r="D340" s="204"/>
      <c r="E340" s="204"/>
      <c r="F340" s="204"/>
      <c r="G340" s="204"/>
      <c r="H340" s="204"/>
      <c r="I340" s="204"/>
      <c r="J340" s="204"/>
      <c r="K340" s="204"/>
      <c r="L340" s="204"/>
      <c r="M340" s="204"/>
      <c r="N340" s="204"/>
      <c r="O340" s="204"/>
      <c r="P340" s="204"/>
      <c r="Q340" s="204"/>
      <c r="R340" s="204"/>
      <c r="S340" s="204"/>
      <c r="T340" s="204"/>
      <c r="U340" s="204"/>
      <c r="V340" s="204"/>
      <c r="W340" s="204"/>
      <c r="X340" s="210"/>
      <c r="Y340" s="198"/>
      <c r="Z340" s="211">
        <f>+AB67</f>
        <v>411601</v>
      </c>
      <c r="AA340" s="198"/>
      <c r="AB340" s="40"/>
      <c r="AC340" s="43"/>
      <c r="AD340" s="22"/>
    </row>
    <row r="341" spans="1:30" s="23" customFormat="1" x14ac:dyDescent="0.3">
      <c r="A341" s="47"/>
      <c r="B341" s="44"/>
      <c r="C341" s="40"/>
      <c r="D341" s="204"/>
      <c r="E341" s="204"/>
      <c r="F341" s="204"/>
      <c r="G341" s="204"/>
      <c r="H341" s="204"/>
      <c r="I341" s="204"/>
      <c r="J341" s="204"/>
      <c r="K341" s="204"/>
      <c r="L341" s="204"/>
      <c r="M341" s="204"/>
      <c r="N341" s="204"/>
      <c r="O341" s="204"/>
      <c r="P341" s="204"/>
      <c r="Q341" s="204"/>
      <c r="R341" s="204"/>
      <c r="S341" s="204"/>
      <c r="T341" s="204"/>
      <c r="U341" s="204"/>
      <c r="V341" s="204"/>
      <c r="W341" s="204"/>
      <c r="X341" s="210"/>
      <c r="Y341" s="198"/>
      <c r="Z341" s="211"/>
      <c r="AA341" s="198"/>
      <c r="AB341" s="40"/>
      <c r="AC341" s="43"/>
      <c r="AD341" s="22"/>
    </row>
    <row r="342" spans="1:30" s="23" customFormat="1" x14ac:dyDescent="0.3">
      <c r="A342" s="47"/>
      <c r="B342" s="44" t="s">
        <v>305</v>
      </c>
      <c r="C342" s="40"/>
      <c r="D342" s="204"/>
      <c r="E342" s="204"/>
      <c r="F342" s="204"/>
      <c r="G342" s="204"/>
      <c r="H342" s="204"/>
      <c r="I342" s="204"/>
      <c r="J342" s="204"/>
      <c r="K342" s="204"/>
      <c r="L342" s="204"/>
      <c r="M342" s="204"/>
      <c r="N342" s="204"/>
      <c r="O342" s="204"/>
      <c r="P342" s="204"/>
      <c r="Q342" s="204"/>
      <c r="R342" s="204"/>
      <c r="S342" s="204"/>
      <c r="T342" s="204"/>
      <c r="U342" s="204"/>
      <c r="V342" s="204"/>
      <c r="W342" s="204"/>
      <c r="X342" s="210"/>
      <c r="Y342" s="198"/>
      <c r="Z342" s="236">
        <f>(D31*0.05+F31+H31+J31+L31+N31)/AB31</f>
        <v>0.59249301614754046</v>
      </c>
      <c r="AA342" s="198"/>
      <c r="AB342" s="40"/>
      <c r="AC342" s="43"/>
      <c r="AD342" s="22"/>
    </row>
    <row r="343" spans="1:30" s="23" customFormat="1" x14ac:dyDescent="0.3">
      <c r="A343" s="18"/>
      <c r="B343" s="20"/>
      <c r="C343" s="20"/>
      <c r="D343" s="214"/>
      <c r="E343" s="214"/>
      <c r="F343" s="214"/>
      <c r="G343" s="214"/>
      <c r="H343" s="214"/>
      <c r="I343" s="214"/>
      <c r="J343" s="214"/>
      <c r="K343" s="214"/>
      <c r="L343" s="214"/>
      <c r="M343" s="214"/>
      <c r="N343" s="214"/>
      <c r="O343" s="214"/>
      <c r="P343" s="214"/>
      <c r="Q343" s="214"/>
      <c r="R343" s="214"/>
      <c r="S343" s="214"/>
      <c r="T343" s="214"/>
      <c r="U343" s="214"/>
      <c r="V343" s="214"/>
      <c r="W343" s="214"/>
      <c r="X343" s="214"/>
      <c r="Y343" s="214"/>
      <c r="Z343" s="215"/>
      <c r="AA343" s="214"/>
      <c r="AB343" s="20"/>
      <c r="AC343" s="21"/>
      <c r="AD343" s="22"/>
    </row>
    <row r="344" spans="1:30" s="23" customFormat="1" x14ac:dyDescent="0.3">
      <c r="A344" s="18"/>
      <c r="B344" s="19" t="s">
        <v>62</v>
      </c>
      <c r="C344" s="20"/>
      <c r="D344" s="216" t="s">
        <v>66</v>
      </c>
      <c r="E344" s="19"/>
      <c r="F344" s="19" t="s">
        <v>67</v>
      </c>
      <c r="G344" s="20"/>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s="23" customFormat="1" x14ac:dyDescent="0.3">
      <c r="A345" s="18"/>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s="23" customFormat="1" x14ac:dyDescent="0.3">
      <c r="A346" s="18"/>
      <c r="B346" s="19" t="s">
        <v>152</v>
      </c>
      <c r="C346" s="19"/>
      <c r="D346" s="217" t="s">
        <v>122</v>
      </c>
      <c r="E346" s="19"/>
      <c r="F346" s="19" t="s">
        <v>168</v>
      </c>
      <c r="G346" s="19"/>
      <c r="H346" s="19"/>
      <c r="I346" s="20"/>
      <c r="J346" s="20"/>
      <c r="K346" s="20"/>
      <c r="L346" s="20"/>
      <c r="M346" s="20"/>
      <c r="N346" s="20"/>
      <c r="O346" s="20"/>
      <c r="P346" s="20"/>
      <c r="Q346" s="20"/>
      <c r="R346" s="20"/>
      <c r="S346" s="20"/>
      <c r="T346" s="20"/>
      <c r="U346" s="20"/>
      <c r="V346" s="20"/>
      <c r="W346" s="20"/>
      <c r="X346" s="20"/>
      <c r="Y346" s="20"/>
      <c r="Z346" s="20"/>
      <c r="AA346" s="20"/>
      <c r="AB346" s="20"/>
      <c r="AC346" s="21"/>
      <c r="AD346" s="22"/>
    </row>
    <row r="347" spans="1:30" s="23" customFormat="1" x14ac:dyDescent="0.3">
      <c r="A347" s="18"/>
      <c r="B347" s="19" t="s">
        <v>153</v>
      </c>
      <c r="C347" s="19"/>
      <c r="D347" s="217" t="s">
        <v>98</v>
      </c>
      <c r="E347" s="19"/>
      <c r="F347" s="19" t="s">
        <v>169</v>
      </c>
      <c r="G347" s="19"/>
      <c r="H347" s="19"/>
      <c r="I347" s="20"/>
      <c r="J347" s="20"/>
      <c r="K347" s="20"/>
      <c r="L347" s="20"/>
      <c r="M347" s="20"/>
      <c r="N347" s="20"/>
      <c r="O347" s="20"/>
      <c r="P347" s="20"/>
      <c r="Q347" s="20"/>
      <c r="R347" s="20"/>
      <c r="S347" s="20"/>
      <c r="T347" s="20"/>
      <c r="U347" s="20"/>
      <c r="V347" s="20"/>
      <c r="W347" s="20"/>
      <c r="X347" s="20"/>
      <c r="Y347" s="20"/>
      <c r="Z347" s="20"/>
      <c r="AA347" s="20"/>
      <c r="AB347" s="20"/>
      <c r="AC347" s="21"/>
      <c r="AD347" s="22"/>
    </row>
    <row r="348" spans="1:30" x14ac:dyDescent="0.3">
      <c r="A348" s="218"/>
      <c r="B348" s="258"/>
      <c r="C348" s="219"/>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c r="AA348" s="220"/>
      <c r="AB348" s="220"/>
      <c r="AC348" s="221"/>
      <c r="AD348" s="5"/>
    </row>
    <row r="349" spans="1:30" ht="18" x14ac:dyDescent="0.35">
      <c r="A349" s="218"/>
      <c r="B349" s="259" t="s">
        <v>109</v>
      </c>
      <c r="C349" s="219"/>
      <c r="D349" s="220"/>
      <c r="E349" s="220"/>
      <c r="F349" s="220"/>
      <c r="G349" s="220"/>
      <c r="H349" s="220"/>
      <c r="I349" s="220"/>
      <c r="J349" s="220"/>
      <c r="K349" s="220"/>
      <c r="L349" s="220"/>
      <c r="M349" s="220"/>
      <c r="N349" s="220"/>
      <c r="O349" s="220"/>
      <c r="P349" s="260" t="s">
        <v>167</v>
      </c>
      <c r="Q349" s="220"/>
      <c r="R349" s="220"/>
      <c r="S349" s="220"/>
      <c r="T349" s="220"/>
      <c r="U349" s="220"/>
      <c r="V349" s="220"/>
      <c r="W349" s="220"/>
      <c r="X349" s="220"/>
      <c r="Y349" s="220"/>
      <c r="Z349" s="220"/>
      <c r="AA349" s="220"/>
      <c r="AB349" s="220"/>
      <c r="AC349" s="221"/>
      <c r="AD349" s="5"/>
    </row>
    <row r="350" spans="1:30" ht="18" x14ac:dyDescent="0.35">
      <c r="A350" s="218"/>
      <c r="B350" s="259"/>
      <c r="C350" s="219"/>
      <c r="D350" s="220"/>
      <c r="E350" s="220"/>
      <c r="F350" s="220"/>
      <c r="G350" s="220"/>
      <c r="H350" s="220"/>
      <c r="I350" s="220"/>
      <c r="J350" s="220"/>
      <c r="K350" s="220"/>
      <c r="L350" s="220"/>
      <c r="M350" s="220"/>
      <c r="N350" s="220"/>
      <c r="O350" s="220"/>
      <c r="P350" s="260"/>
      <c r="Q350" s="220"/>
      <c r="R350" s="220"/>
      <c r="S350" s="220"/>
      <c r="T350" s="220"/>
      <c r="U350" s="220"/>
      <c r="V350" s="220"/>
      <c r="W350" s="220"/>
      <c r="X350" s="220"/>
      <c r="Y350" s="220"/>
      <c r="Z350" s="220"/>
      <c r="AA350" s="220"/>
      <c r="AB350" s="220"/>
      <c r="AC350" s="221"/>
      <c r="AD350" s="5"/>
    </row>
    <row r="351" spans="1:30" ht="18.600000000000001" thickBot="1" x14ac:dyDescent="0.4">
      <c r="A351" s="218"/>
      <c r="B351" s="222" t="str">
        <f>B237</f>
        <v>PM26 INVESTOR REPORT QUARTER ENDING OCTOBER 2021</v>
      </c>
      <c r="C351" s="219"/>
      <c r="D351" s="220"/>
      <c r="E351" s="220"/>
      <c r="F351" s="220"/>
      <c r="G351" s="220"/>
      <c r="H351" s="220"/>
      <c r="I351" s="220"/>
      <c r="J351" s="220"/>
      <c r="K351" s="220"/>
      <c r="L351" s="220"/>
      <c r="M351" s="220"/>
      <c r="N351" s="220"/>
      <c r="O351" s="220"/>
      <c r="P351" s="220"/>
      <c r="Q351" s="220"/>
      <c r="R351" s="220"/>
      <c r="S351" s="220"/>
      <c r="T351" s="220"/>
      <c r="U351" s="220"/>
      <c r="V351" s="220"/>
      <c r="W351" s="220"/>
      <c r="X351" s="220"/>
      <c r="Y351" s="220"/>
      <c r="Z351" s="220"/>
      <c r="AA351" s="220"/>
      <c r="AB351" s="220"/>
      <c r="AC351" s="223"/>
      <c r="AD351" s="5"/>
    </row>
    <row r="352" spans="1:30" x14ac:dyDescent="0.3">
      <c r="A352" s="224"/>
      <c r="B352" s="224"/>
      <c r="C352" s="224"/>
      <c r="D352" s="224"/>
      <c r="E352" s="224"/>
      <c r="F352" s="224"/>
      <c r="G352" s="224"/>
      <c r="H352" s="224"/>
      <c r="I352" s="224"/>
      <c r="J352" s="224"/>
      <c r="K352" s="224"/>
      <c r="L352" s="224"/>
      <c r="M352" s="224"/>
      <c r="N352" s="224"/>
      <c r="O352" s="224"/>
      <c r="P352" s="224"/>
      <c r="Q352" s="224"/>
      <c r="R352" s="224"/>
      <c r="S352" s="224"/>
      <c r="T352" s="224"/>
      <c r="U352" s="224"/>
      <c r="V352" s="224"/>
      <c r="W352" s="224"/>
      <c r="X352" s="224"/>
      <c r="Y352" s="224"/>
      <c r="Z352" s="224"/>
      <c r="AA352" s="224"/>
      <c r="AB352" s="224"/>
      <c r="AC352" s="224"/>
    </row>
    <row r="353" spans="2:2" x14ac:dyDescent="0.3">
      <c r="B353" s="6" t="s">
        <v>307</v>
      </c>
    </row>
    <row r="355" spans="2:2" x14ac:dyDescent="0.3">
      <c r="B355" s="279" t="s">
        <v>323</v>
      </c>
    </row>
    <row r="356" spans="2:2" x14ac:dyDescent="0.3">
      <c r="B356" s="270" t="s">
        <v>324</v>
      </c>
    </row>
    <row r="357" spans="2:2" x14ac:dyDescent="0.3">
      <c r="B357" s="270" t="s">
        <v>332</v>
      </c>
    </row>
    <row r="358" spans="2:2" x14ac:dyDescent="0.3">
      <c r="B358" s="271"/>
    </row>
    <row r="359" spans="2:2" x14ac:dyDescent="0.3">
      <c r="B359" s="279" t="s">
        <v>354</v>
      </c>
    </row>
    <row r="360" spans="2:2" x14ac:dyDescent="0.3">
      <c r="B360" s="270" t="s">
        <v>352</v>
      </c>
    </row>
    <row r="361" spans="2:2" x14ac:dyDescent="0.3">
      <c r="B361" s="300" t="s">
        <v>353</v>
      </c>
    </row>
  </sheetData>
  <hyperlinks>
    <hyperlink ref="K9" r:id="rId1" display="http://www.paragon-group.co.uk" xr:uid="{ACD485A2-B47F-4B8D-8301-CF20E90ED85A}"/>
    <hyperlink ref="P349" r:id="rId2" xr:uid="{4E1BD3F6-1031-42C3-82CA-12D73EB5B112}"/>
    <hyperlink ref="P277" r:id="rId3" xr:uid="{64045B01-B840-453A-A8BB-A3D1913E833A}"/>
    <hyperlink ref="B361" r:id="rId4" display="https://investorreporting.paragonbankinggroup.co.uk/bondinvestor_viewer/resources/bondinvestor/pdf/investornews/2021/libor-mortgages-transition-july-19" xr:uid="{936C94C6-0F37-4FDB-872F-5F6E7E886EAE}"/>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4" max="18" man="1"/>
    <brk id="134" max="18" man="1"/>
    <brk id="237" max="18" man="1"/>
  </rowBreaks>
  <colBreaks count="1" manualBreakCount="1">
    <brk id="29" max="299" man="1"/>
  </colBreaks>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95</vt:i4>
      </vt:variant>
    </vt:vector>
  </HeadingPairs>
  <TitlesOfParts>
    <vt:vector size="114" baseType="lpstr">
      <vt:lpstr>October 19</vt:lpstr>
      <vt:lpstr>January 20</vt:lpstr>
      <vt:lpstr>April 20</vt:lpstr>
      <vt:lpstr>July 20</vt:lpstr>
      <vt:lpstr>October 20</vt:lpstr>
      <vt:lpstr>January 21</vt:lpstr>
      <vt:lpstr>April 21</vt:lpstr>
      <vt:lpstr>July 21</vt:lpstr>
      <vt:lpstr>October 21</vt:lpstr>
      <vt:lpstr>January 22</vt:lpstr>
      <vt:lpstr>April 22</vt:lpstr>
      <vt:lpstr>July 22</vt:lpstr>
      <vt:lpstr>October 22</vt:lpstr>
      <vt:lpstr>January 23</vt:lpstr>
      <vt:lpstr>April 23</vt:lpstr>
      <vt:lpstr>July 23</vt:lpstr>
      <vt:lpstr>October 23</vt:lpstr>
      <vt:lpstr>January 24</vt:lpstr>
      <vt:lpstr>April 24</vt:lpstr>
      <vt:lpstr>'April 20'!_1PAGE_1</vt:lpstr>
      <vt:lpstr>'April 21'!_1PAGE_1</vt:lpstr>
      <vt:lpstr>'April 22'!_1PAGE_1</vt:lpstr>
      <vt:lpstr>'April 23'!_1PAGE_1</vt:lpstr>
      <vt:lpstr>'April 24'!_1PAGE_1</vt:lpstr>
      <vt:lpstr>'January 20'!_1PAGE_1</vt:lpstr>
      <vt:lpstr>'January 21'!_1PAGE_1</vt:lpstr>
      <vt:lpstr>'January 22'!_1PAGE_1</vt:lpstr>
      <vt:lpstr>'January 23'!_1PAGE_1</vt:lpstr>
      <vt:lpstr>'January 24'!_1PAGE_1</vt:lpstr>
      <vt:lpstr>'July 20'!_1PAGE_1</vt:lpstr>
      <vt:lpstr>'July 21'!_1PAGE_1</vt:lpstr>
      <vt:lpstr>'July 22'!_1PAGE_1</vt:lpstr>
      <vt:lpstr>'July 23'!_1PAGE_1</vt:lpstr>
      <vt:lpstr>'October 19'!_1PAGE_1</vt:lpstr>
      <vt:lpstr>'October 20'!_1PAGE_1</vt:lpstr>
      <vt:lpstr>'October 21'!_1PAGE_1</vt:lpstr>
      <vt:lpstr>'October 22'!_1PAGE_1</vt:lpstr>
      <vt:lpstr>'October 23'!_1PAGE_1</vt:lpstr>
      <vt:lpstr>'April 20'!_3PAGE_2</vt:lpstr>
      <vt:lpstr>'April 21'!_3PAGE_2</vt:lpstr>
      <vt:lpstr>'April 22'!_3PAGE_2</vt:lpstr>
      <vt:lpstr>'April 23'!_3PAGE_2</vt:lpstr>
      <vt:lpstr>'April 24'!_3PAGE_2</vt:lpstr>
      <vt:lpstr>'January 20'!_3PAGE_2</vt:lpstr>
      <vt:lpstr>'January 21'!_3PAGE_2</vt:lpstr>
      <vt:lpstr>'January 22'!_3PAGE_2</vt:lpstr>
      <vt:lpstr>'January 23'!_3PAGE_2</vt:lpstr>
      <vt:lpstr>'January 24'!_3PAGE_2</vt:lpstr>
      <vt:lpstr>'July 20'!_3PAGE_2</vt:lpstr>
      <vt:lpstr>'July 21'!_3PAGE_2</vt:lpstr>
      <vt:lpstr>'July 22'!_3PAGE_2</vt:lpstr>
      <vt:lpstr>'July 23'!_3PAGE_2</vt:lpstr>
      <vt:lpstr>'October 19'!_3PAGE_2</vt:lpstr>
      <vt:lpstr>'October 20'!_3PAGE_2</vt:lpstr>
      <vt:lpstr>'October 21'!_3PAGE_2</vt:lpstr>
      <vt:lpstr>'October 22'!_3PAGE_2</vt:lpstr>
      <vt:lpstr>'October 23'!_3PAGE_2</vt:lpstr>
      <vt:lpstr>'April 20'!_5PAGE_3</vt:lpstr>
      <vt:lpstr>'April 21'!_5PAGE_3</vt:lpstr>
      <vt:lpstr>'April 22'!_5PAGE_3</vt:lpstr>
      <vt:lpstr>'April 23'!_5PAGE_3</vt:lpstr>
      <vt:lpstr>'April 24'!_5PAGE_3</vt:lpstr>
      <vt:lpstr>'January 20'!_5PAGE_3</vt:lpstr>
      <vt:lpstr>'January 21'!_5PAGE_3</vt:lpstr>
      <vt:lpstr>'January 22'!_5PAGE_3</vt:lpstr>
      <vt:lpstr>'January 23'!_5PAGE_3</vt:lpstr>
      <vt:lpstr>'January 24'!_5PAGE_3</vt:lpstr>
      <vt:lpstr>'July 20'!_5PAGE_3</vt:lpstr>
      <vt:lpstr>'July 21'!_5PAGE_3</vt:lpstr>
      <vt:lpstr>'July 22'!_5PAGE_3</vt:lpstr>
      <vt:lpstr>'July 23'!_5PAGE_3</vt:lpstr>
      <vt:lpstr>'October 19'!_5PAGE_3</vt:lpstr>
      <vt:lpstr>'October 20'!_5PAGE_3</vt:lpstr>
      <vt:lpstr>'October 21'!_5PAGE_3</vt:lpstr>
      <vt:lpstr>'October 22'!_5PAGE_3</vt:lpstr>
      <vt:lpstr>'October 23'!_5PAGE_3</vt:lpstr>
      <vt:lpstr>'April 20'!_7PAGE_4</vt:lpstr>
      <vt:lpstr>'April 21'!_7PAGE_4</vt:lpstr>
      <vt:lpstr>'April 22'!_7PAGE_4</vt:lpstr>
      <vt:lpstr>'April 23'!_7PAGE_4</vt:lpstr>
      <vt:lpstr>'April 24'!_7PAGE_4</vt:lpstr>
      <vt:lpstr>'January 20'!_7PAGE_4</vt:lpstr>
      <vt:lpstr>'January 21'!_7PAGE_4</vt:lpstr>
      <vt:lpstr>'January 22'!_7PAGE_4</vt:lpstr>
      <vt:lpstr>'January 23'!_7PAGE_4</vt:lpstr>
      <vt:lpstr>'January 24'!_7PAGE_4</vt:lpstr>
      <vt:lpstr>'July 20'!_7PAGE_4</vt:lpstr>
      <vt:lpstr>'July 21'!_7PAGE_4</vt:lpstr>
      <vt:lpstr>'July 22'!_7PAGE_4</vt:lpstr>
      <vt:lpstr>'July 23'!_7PAGE_4</vt:lpstr>
      <vt:lpstr>'October 19'!_7PAGE_4</vt:lpstr>
      <vt:lpstr>'October 20'!_7PAGE_4</vt:lpstr>
      <vt:lpstr>'October 21'!_7PAGE_4</vt:lpstr>
      <vt:lpstr>'October 22'!_7PAGE_4</vt:lpstr>
      <vt:lpstr>'October 23'!_7PAGE_4</vt:lpstr>
      <vt:lpstr>'April 20'!Print_Area</vt:lpstr>
      <vt:lpstr>'April 21'!Print_Area</vt:lpstr>
      <vt:lpstr>'April 22'!Print_Area</vt:lpstr>
      <vt:lpstr>'April 23'!Print_Area</vt:lpstr>
      <vt:lpstr>'April 24'!Print_Area</vt:lpstr>
      <vt:lpstr>'January 20'!Print_Area</vt:lpstr>
      <vt:lpstr>'January 21'!Print_Area</vt:lpstr>
      <vt:lpstr>'January 22'!Print_Area</vt:lpstr>
      <vt:lpstr>'January 23'!Print_Area</vt:lpstr>
      <vt:lpstr>'January 24'!Print_Area</vt:lpstr>
      <vt:lpstr>'July 20'!Print_Area</vt:lpstr>
      <vt:lpstr>'July 21'!Print_Area</vt:lpstr>
      <vt:lpstr>'July 22'!Print_Area</vt:lpstr>
      <vt:lpstr>'July 23'!Print_Area</vt:lpstr>
      <vt:lpstr>'October 19'!Print_Area</vt:lpstr>
      <vt:lpstr>'October 20'!Print_Area</vt:lpstr>
      <vt:lpstr>'October 21'!Print_Area</vt:lpstr>
      <vt:lpstr>'October 22'!Print_Area</vt:lpstr>
      <vt:lpstr>'October 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Dowler</dc:creator>
  <cp:lastModifiedBy>Andrew Kitching</cp:lastModifiedBy>
  <cp:lastPrinted>2019-11-26T09:11:43Z</cp:lastPrinted>
  <dcterms:created xsi:type="dcterms:W3CDTF">2003-11-18T07:58:35Z</dcterms:created>
  <dcterms:modified xsi:type="dcterms:W3CDTF">2024-06-17T07:22:54Z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tention Period">
    <vt:lpwstr>Keep</vt:lpwstr>
  </property>
</Properties>
</file>