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N:\JPG\Investor Reporting\Paragon Finance\PM24\"/>
    </mc:Choice>
  </mc:AlternateContent>
  <xr:revisionPtr revIDLastSave="0" documentId="13_ncr:1_{B254A593-0BB9-4CD9-9A98-91C81CDF40FE}" xr6:coauthVersionLast="44" xr6:coauthVersionMax="44" xr10:uidLastSave="{00000000-0000-0000-0000-000000000000}"/>
  <bookViews>
    <workbookView xWindow="-108" yWindow="-108" windowWidth="20376" windowHeight="12216" firstSheet="8" activeTab="16" xr2:uid="{00000000-000D-0000-FFFF-FFFF00000000}"/>
  </bookViews>
  <sheets>
    <sheet name="March 16" sheetId="11" r:id="rId1"/>
    <sheet name="June 16" sheetId="12" r:id="rId2"/>
    <sheet name="Sept 16" sheetId="13" r:id="rId3"/>
    <sheet name="Dec 16" sheetId="14" r:id="rId4"/>
    <sheet name="March 17" sheetId="15" r:id="rId5"/>
    <sheet name="June 17" sheetId="16" r:id="rId6"/>
    <sheet name="Sept 17" sheetId="17" r:id="rId7"/>
    <sheet name="Dec 17" sheetId="18" r:id="rId8"/>
    <sheet name="March 18" sheetId="19" r:id="rId9"/>
    <sheet name="June 18" sheetId="20" r:id="rId10"/>
    <sheet name="Sept 18" sheetId="21" r:id="rId11"/>
    <sheet name="Dec 18" sheetId="22" r:id="rId12"/>
    <sheet name="March 19" sheetId="23" r:id="rId13"/>
    <sheet name="June 19" sheetId="24" r:id="rId14"/>
    <sheet name="Sept 19" sheetId="25" r:id="rId15"/>
    <sheet name="Dec 19" sheetId="26" r:id="rId16"/>
    <sheet name="Mar 20" sheetId="27" r:id="rId17"/>
  </sheets>
  <definedNames>
    <definedName name="_1PAGE_1" localSheetId="3">'Dec 16'!$A$1:$S$60</definedName>
    <definedName name="_1PAGE_1" localSheetId="7">'Dec 17'!$A$1:$S$60</definedName>
    <definedName name="_1PAGE_1" localSheetId="11">'Dec 18'!$A$1:$S$60</definedName>
    <definedName name="_1PAGE_1" localSheetId="15">'Dec 19'!$A$1:$S$60</definedName>
    <definedName name="_1PAGE_1" localSheetId="1">'June 16'!$A$1:$S$60</definedName>
    <definedName name="_1PAGE_1" localSheetId="5">'June 17'!$A$1:$S$60</definedName>
    <definedName name="_1PAGE_1" localSheetId="9">'June 18'!$A$1:$S$60</definedName>
    <definedName name="_1PAGE_1" localSheetId="13">'June 19'!$A$1:$S$60</definedName>
    <definedName name="_1PAGE_1" localSheetId="16">'Mar 20'!$A$1:$S$60</definedName>
    <definedName name="_1PAGE_1" localSheetId="0">'March 16'!$A$1:$S$60</definedName>
    <definedName name="_1PAGE_1" localSheetId="4">'March 17'!$A$1:$S$60</definedName>
    <definedName name="_1PAGE_1" localSheetId="8">'March 18'!$A$1:$S$60</definedName>
    <definedName name="_1PAGE_1" localSheetId="12">'March 19'!$A$1:$S$60</definedName>
    <definedName name="_1PAGE_1" localSheetId="2">'Sept 16'!$A$1:$S$60</definedName>
    <definedName name="_1PAGE_1" localSheetId="6">'Sept 17'!$A$1:$S$60</definedName>
    <definedName name="_1PAGE_1" localSheetId="10">'Sept 18'!$A$1:$S$60</definedName>
    <definedName name="_1PAGE_1" localSheetId="14">'Sept 19'!$A$1:$S$60</definedName>
    <definedName name="_2PAGE_1" localSheetId="3">#REF!</definedName>
    <definedName name="_2PAGE_1" localSheetId="7">#REF!</definedName>
    <definedName name="_2PAGE_1" localSheetId="11">#REF!</definedName>
    <definedName name="_2PAGE_1" localSheetId="15">#REF!</definedName>
    <definedName name="_2PAGE_1" localSheetId="1">#REF!</definedName>
    <definedName name="_2PAGE_1" localSheetId="5">#REF!</definedName>
    <definedName name="_2PAGE_1" localSheetId="9">#REF!</definedName>
    <definedName name="_2PAGE_1" localSheetId="13">#REF!</definedName>
    <definedName name="_2PAGE_1" localSheetId="16">#REF!</definedName>
    <definedName name="_2PAGE_1" localSheetId="4">#REF!</definedName>
    <definedName name="_2PAGE_1" localSheetId="8">#REF!</definedName>
    <definedName name="_2PAGE_1" localSheetId="12">#REF!</definedName>
    <definedName name="_2PAGE_1" localSheetId="2">#REF!</definedName>
    <definedName name="_2PAGE_1" localSheetId="6">#REF!</definedName>
    <definedName name="_2PAGE_1" localSheetId="10">#REF!</definedName>
    <definedName name="_2PAGE_1" localSheetId="14">#REF!</definedName>
    <definedName name="_2PAGE_1">#REF!</definedName>
    <definedName name="_3PAGE_2" localSheetId="3">'Dec 16'!$A$61:$S$132</definedName>
    <definedName name="_3PAGE_2" localSheetId="7">'Dec 17'!$A$61:$S$132</definedName>
    <definedName name="_3PAGE_2" localSheetId="11">'Dec 18'!$A$61:$S$132</definedName>
    <definedName name="_3PAGE_2" localSheetId="15">'Dec 19'!$A$61:$S$135</definedName>
    <definedName name="_3PAGE_2" localSheetId="1">'June 16'!$A$61:$S$132</definedName>
    <definedName name="_3PAGE_2" localSheetId="5">'June 17'!$A$61:$S$132</definedName>
    <definedName name="_3PAGE_2" localSheetId="9">'June 18'!$A$61:$S$132</definedName>
    <definedName name="_3PAGE_2" localSheetId="13">'June 19'!$A$61:$S$132</definedName>
    <definedName name="_3PAGE_2" localSheetId="16">'Mar 20'!$A$61:$S$136</definedName>
    <definedName name="_3PAGE_2" localSheetId="0">'March 16'!$A$61:$S$132</definedName>
    <definedName name="_3PAGE_2" localSheetId="4">'March 17'!$A$61:$S$132</definedName>
    <definedName name="_3PAGE_2" localSheetId="8">'March 18'!$A$61:$S$132</definedName>
    <definedName name="_3PAGE_2" localSheetId="12">'March 19'!$A$61:$S$132</definedName>
    <definedName name="_3PAGE_2" localSheetId="2">'Sept 16'!$A$61:$S$132</definedName>
    <definedName name="_3PAGE_2" localSheetId="6">'Sept 17'!$A$61:$S$132</definedName>
    <definedName name="_3PAGE_2" localSheetId="10">'Sept 18'!$A$61:$S$132</definedName>
    <definedName name="_3PAGE_2" localSheetId="14">'Sept 19'!$A$61:$S$135</definedName>
    <definedName name="_4PAGE_2" localSheetId="3">#REF!</definedName>
    <definedName name="_4PAGE_2" localSheetId="7">#REF!</definedName>
    <definedName name="_4PAGE_2" localSheetId="11">#REF!</definedName>
    <definedName name="_4PAGE_2" localSheetId="15">#REF!</definedName>
    <definedName name="_4PAGE_2" localSheetId="1">#REF!</definedName>
    <definedName name="_4PAGE_2" localSheetId="5">#REF!</definedName>
    <definedName name="_4PAGE_2" localSheetId="9">#REF!</definedName>
    <definedName name="_4PAGE_2" localSheetId="13">#REF!</definedName>
    <definedName name="_4PAGE_2" localSheetId="16">#REF!</definedName>
    <definedName name="_4PAGE_2" localSheetId="4">#REF!</definedName>
    <definedName name="_4PAGE_2" localSheetId="8">#REF!</definedName>
    <definedName name="_4PAGE_2" localSheetId="12">#REF!</definedName>
    <definedName name="_4PAGE_2" localSheetId="2">#REF!</definedName>
    <definedName name="_4PAGE_2" localSheetId="6">#REF!</definedName>
    <definedName name="_4PAGE_2" localSheetId="10">#REF!</definedName>
    <definedName name="_4PAGE_2" localSheetId="14">#REF!</definedName>
    <definedName name="_4PAGE_2">#REF!</definedName>
    <definedName name="_5PAGE_3" localSheetId="3">'Dec 16'!$A$133:$S$205</definedName>
    <definedName name="_5PAGE_3" localSheetId="7">'Dec 17'!$A$133:$S$205</definedName>
    <definedName name="_5PAGE_3" localSheetId="11">'Dec 18'!$A$133:$S$205</definedName>
    <definedName name="_5PAGE_3" localSheetId="15">'Dec 19'!$A$136:$S$208</definedName>
    <definedName name="_5PAGE_3" localSheetId="1">'June 16'!$A$133:$S$205</definedName>
    <definedName name="_5PAGE_3" localSheetId="5">'June 17'!$A$133:$S$205</definedName>
    <definedName name="_5PAGE_3" localSheetId="9">'June 18'!$A$133:$S$205</definedName>
    <definedName name="_5PAGE_3" localSheetId="13">'June 19'!$A$133:$S$205</definedName>
    <definedName name="_5PAGE_3" localSheetId="16">'Mar 20'!$A$137:$S$210</definedName>
    <definedName name="_5PAGE_3" localSheetId="0">'March 16'!$A$133:$S$205</definedName>
    <definedName name="_5PAGE_3" localSheetId="4">'March 17'!$A$133:$S$205</definedName>
    <definedName name="_5PAGE_3" localSheetId="8">'March 18'!$A$133:$S$205</definedName>
    <definedName name="_5PAGE_3" localSheetId="12">'March 19'!$A$133:$S$205</definedName>
    <definedName name="_5PAGE_3" localSheetId="2">'Sept 16'!$A$133:$S$205</definedName>
    <definedName name="_5PAGE_3" localSheetId="6">'Sept 17'!$A$133:$S$205</definedName>
    <definedName name="_5PAGE_3" localSheetId="10">'Sept 18'!$A$133:$S$205</definedName>
    <definedName name="_5PAGE_3" localSheetId="14">'Sept 19'!$A$136:$S$208</definedName>
    <definedName name="_6PAGE_3" localSheetId="3">#REF!</definedName>
    <definedName name="_6PAGE_3" localSheetId="7">#REF!</definedName>
    <definedName name="_6PAGE_3" localSheetId="11">#REF!</definedName>
    <definedName name="_6PAGE_3" localSheetId="15">#REF!</definedName>
    <definedName name="_6PAGE_3" localSheetId="1">#REF!</definedName>
    <definedName name="_6PAGE_3" localSheetId="5">#REF!</definedName>
    <definedName name="_6PAGE_3" localSheetId="9">#REF!</definedName>
    <definedName name="_6PAGE_3" localSheetId="13">#REF!</definedName>
    <definedName name="_6PAGE_3" localSheetId="16">#REF!</definedName>
    <definedName name="_6PAGE_3" localSheetId="4">#REF!</definedName>
    <definedName name="_6PAGE_3" localSheetId="8">#REF!</definedName>
    <definedName name="_6PAGE_3" localSheetId="12">#REF!</definedName>
    <definedName name="_6PAGE_3" localSheetId="2">#REF!</definedName>
    <definedName name="_6PAGE_3" localSheetId="6">#REF!</definedName>
    <definedName name="_6PAGE_3" localSheetId="10">#REF!</definedName>
    <definedName name="_6PAGE_3" localSheetId="14">#REF!</definedName>
    <definedName name="_6PAGE_3">#REF!</definedName>
    <definedName name="_7PAGE_4" localSheetId="3">'Dec 16'!$A$206:$S$307</definedName>
    <definedName name="_7PAGE_4" localSheetId="7">'Dec 17'!$A$206:$S$306</definedName>
    <definedName name="_7PAGE_4" localSheetId="11">'Dec 18'!$A$206:$S$306</definedName>
    <definedName name="_7PAGE_4" localSheetId="15">'Dec 19'!$A$209:$S$309</definedName>
    <definedName name="_7PAGE_4" localSheetId="1">'June 16'!$A$206:$S$307</definedName>
    <definedName name="_7PAGE_4" localSheetId="5">'June 17'!$A$206:$S$306</definedName>
    <definedName name="_7PAGE_4" localSheetId="9">'June 18'!$A$206:$S$306</definedName>
    <definedName name="_7PAGE_4" localSheetId="13">'June 19'!$A$206:$S$306</definedName>
    <definedName name="_7PAGE_4" localSheetId="16">'Mar 20'!$A$211:$S$311</definedName>
    <definedName name="_7PAGE_4" localSheetId="0">'March 16'!$A$206:$S$307</definedName>
    <definedName name="_7PAGE_4" localSheetId="4">'March 17'!$A$206:$S$306</definedName>
    <definedName name="_7PAGE_4" localSheetId="8">'March 18'!$A$206:$S$306</definedName>
    <definedName name="_7PAGE_4" localSheetId="12">'March 19'!$A$206:$S$306</definedName>
    <definedName name="_7PAGE_4" localSheetId="2">'Sept 16'!$A$206:$S$307</definedName>
    <definedName name="_7PAGE_4" localSheetId="6">'Sept 17'!$A$206:$S$306</definedName>
    <definedName name="_7PAGE_4" localSheetId="10">'Sept 18'!$A$206:$S$306</definedName>
    <definedName name="_7PAGE_4" localSheetId="14">'Sept 19'!$A$209:$S$309</definedName>
    <definedName name="_8PAGE_4" localSheetId="3">#REF!</definedName>
    <definedName name="_8PAGE_4" localSheetId="7">#REF!</definedName>
    <definedName name="_8PAGE_4" localSheetId="11">#REF!</definedName>
    <definedName name="_8PAGE_4" localSheetId="15">#REF!</definedName>
    <definedName name="_8PAGE_4" localSheetId="1">#REF!</definedName>
    <definedName name="_8PAGE_4" localSheetId="5">#REF!</definedName>
    <definedName name="_8PAGE_4" localSheetId="9">#REF!</definedName>
    <definedName name="_8PAGE_4" localSheetId="13">#REF!</definedName>
    <definedName name="_8PAGE_4" localSheetId="16">#REF!</definedName>
    <definedName name="_8PAGE_4" localSheetId="4">#REF!</definedName>
    <definedName name="_8PAGE_4" localSheetId="8">#REF!</definedName>
    <definedName name="_8PAGE_4" localSheetId="12">#REF!</definedName>
    <definedName name="_8PAGE_4" localSheetId="2">#REF!</definedName>
    <definedName name="_8PAGE_4" localSheetId="6">#REF!</definedName>
    <definedName name="_8PAGE_4" localSheetId="10">#REF!</definedName>
    <definedName name="_8PAGE_4" localSheetId="14">#REF!</definedName>
    <definedName name="_8PAGE_4">#REF!</definedName>
    <definedName name="_xlnm.Print_Area" localSheetId="3">'Dec 16'!$A$1:$S$308</definedName>
    <definedName name="_xlnm.Print_Area" localSheetId="7">'Dec 17'!$A$1:$S$307</definedName>
    <definedName name="_xlnm.Print_Area" localSheetId="11">'Dec 18'!$A$1:$S$307</definedName>
    <definedName name="_xlnm.Print_Area" localSheetId="15">'Dec 19'!$A$1:$S$310</definedName>
    <definedName name="_xlnm.Print_Area" localSheetId="1">'June 16'!$A$1:$S$308</definedName>
    <definedName name="_xlnm.Print_Area" localSheetId="5">'June 17'!$A$1:$S$307</definedName>
    <definedName name="_xlnm.Print_Area" localSheetId="9">'June 18'!$A$1:$S$307</definedName>
    <definedName name="_xlnm.Print_Area" localSheetId="13">'June 19'!$A$1:$S$307</definedName>
    <definedName name="_xlnm.Print_Area" localSheetId="16">'Mar 20'!$A$1:$S$312</definedName>
    <definedName name="_xlnm.Print_Area" localSheetId="0">'March 16'!$A$1:$S$308</definedName>
    <definedName name="_xlnm.Print_Area" localSheetId="4">'March 17'!$A$1:$S$307</definedName>
    <definedName name="_xlnm.Print_Area" localSheetId="8">'March 18'!$A$1:$S$307</definedName>
    <definedName name="_xlnm.Print_Area" localSheetId="12">'March 19'!$A$1:$S$307</definedName>
    <definedName name="_xlnm.Print_Area" localSheetId="2">'Sept 16'!$A$1:$S$308</definedName>
    <definedName name="_xlnm.Print_Area" localSheetId="6">'Sept 17'!$A$1:$S$307</definedName>
    <definedName name="_xlnm.Print_Area" localSheetId="10">'Sept 18'!$A$1:$S$307</definedName>
    <definedName name="_xlnm.Print_Area" localSheetId="14">'Sept 19'!$A$1:$S$310</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8" i="27" l="1"/>
  <c r="P132" i="27" l="1"/>
  <c r="P87" i="27"/>
  <c r="R119" i="27" l="1"/>
  <c r="R105" i="27"/>
  <c r="R88" i="27"/>
  <c r="L41" i="27" l="1"/>
  <c r="J41" i="27"/>
  <c r="H41" i="27"/>
  <c r="F41" i="27"/>
  <c r="R175" i="27" l="1"/>
  <c r="R97" i="27"/>
  <c r="P238" i="27" l="1"/>
  <c r="P192" i="27"/>
  <c r="P194" i="27" s="1"/>
  <c r="O192" i="27"/>
  <c r="Q296" i="27"/>
  <c r="P296" i="27"/>
  <c r="O296" i="27"/>
  <c r="N296" i="27"/>
  <c r="O233" i="27" s="1"/>
  <c r="Q284" i="27"/>
  <c r="P284" i="27"/>
  <c r="O284" i="27"/>
  <c r="N284" i="27"/>
  <c r="P272" i="27"/>
  <c r="N272" i="27"/>
  <c r="P258" i="27"/>
  <c r="N258" i="27"/>
  <c r="P257" i="27"/>
  <c r="N257" i="27"/>
  <c r="P256" i="27"/>
  <c r="N256" i="27"/>
  <c r="P255" i="27"/>
  <c r="N255" i="27"/>
  <c r="P254" i="27"/>
  <c r="N254" i="27"/>
  <c r="P253" i="27"/>
  <c r="N253" i="27"/>
  <c r="P252" i="27"/>
  <c r="N252" i="27"/>
  <c r="P251" i="27"/>
  <c r="P260" i="27" s="1"/>
  <c r="N251" i="27"/>
  <c r="P237" i="27"/>
  <c r="P235" i="27"/>
  <c r="P234" i="27"/>
  <c r="P233" i="27"/>
  <c r="P232" i="27"/>
  <c r="O232" i="27"/>
  <c r="P227" i="27"/>
  <c r="P215" i="27"/>
  <c r="R193" i="27"/>
  <c r="R184" i="27"/>
  <c r="R177" i="27"/>
  <c r="R171" i="27"/>
  <c r="R169" i="27"/>
  <c r="R170" i="27" s="1"/>
  <c r="R168" i="27"/>
  <c r="R161" i="27"/>
  <c r="R163" i="27" s="1"/>
  <c r="R157" i="27"/>
  <c r="R156" i="27"/>
  <c r="R155" i="27"/>
  <c r="B136" i="27"/>
  <c r="B210" i="27" s="1"/>
  <c r="B311" i="27" s="1"/>
  <c r="P125" i="27"/>
  <c r="P112" i="27"/>
  <c r="R101" i="27"/>
  <c r="P99" i="27"/>
  <c r="P85" i="27"/>
  <c r="J83" i="27"/>
  <c r="R78" i="27"/>
  <c r="R185" i="27" s="1"/>
  <c r="P299" i="27" s="1"/>
  <c r="N67" i="27"/>
  <c r="L67" i="27"/>
  <c r="J67" i="27"/>
  <c r="H67" i="27"/>
  <c r="H80" i="27" s="1"/>
  <c r="F67" i="27"/>
  <c r="F80" i="27" s="1"/>
  <c r="R65" i="27"/>
  <c r="R64" i="27"/>
  <c r="R67" i="27" s="1"/>
  <c r="N54" i="27"/>
  <c r="N53" i="27"/>
  <c r="R47" i="27"/>
  <c r="L40" i="27"/>
  <c r="J40" i="27"/>
  <c r="H40" i="27"/>
  <c r="F40" i="27"/>
  <c r="L33" i="27"/>
  <c r="J33" i="27"/>
  <c r="H33" i="27"/>
  <c r="F33" i="27"/>
  <c r="D33" i="27"/>
  <c r="L32" i="27"/>
  <c r="J32" i="27"/>
  <c r="H32" i="27"/>
  <c r="F32" i="27"/>
  <c r="D32" i="27"/>
  <c r="R31" i="27"/>
  <c r="O191" i="27" s="1"/>
  <c r="L30" i="27"/>
  <c r="J30" i="27"/>
  <c r="H30" i="27"/>
  <c r="F30" i="27"/>
  <c r="D30" i="27"/>
  <c r="L29" i="27"/>
  <c r="J29" i="27"/>
  <c r="H29" i="27"/>
  <c r="F29" i="27"/>
  <c r="D29" i="27"/>
  <c r="R132" i="27" l="1"/>
  <c r="R133" i="27" s="1"/>
  <c r="R123" i="27"/>
  <c r="R33" i="27"/>
  <c r="R32" i="27"/>
  <c r="R40" i="27" s="1"/>
  <c r="P219" i="27" s="1"/>
  <c r="P298" i="27"/>
  <c r="P300" i="27" s="1"/>
  <c r="R178" i="27"/>
  <c r="R192" i="27"/>
  <c r="R80" i="27"/>
  <c r="R183" i="27"/>
  <c r="R186" i="27" s="1"/>
  <c r="R143" i="27"/>
  <c r="R142" i="27" s="1"/>
  <c r="R152" i="27" s="1"/>
  <c r="O194" i="27"/>
  <c r="R194" i="27" s="1"/>
  <c r="N260" i="27"/>
  <c r="N298" i="27"/>
  <c r="P67" i="27"/>
  <c r="P98" i="27"/>
  <c r="P101" i="27" s="1"/>
  <c r="P133" i="27" s="1"/>
  <c r="O272" i="27"/>
  <c r="Q260" i="27" l="1"/>
  <c r="Q272" i="27"/>
  <c r="O195" i="27"/>
  <c r="P301" i="27"/>
  <c r="R187" i="27"/>
  <c r="O260" i="27"/>
  <c r="R150" i="26" l="1"/>
  <c r="R173" i="26" l="1"/>
  <c r="R118" i="26"/>
  <c r="R104" i="26"/>
  <c r="R88" i="26"/>
  <c r="P64" i="26"/>
  <c r="L41" i="26" l="1"/>
  <c r="J41" i="26"/>
  <c r="H41" i="26"/>
  <c r="F41" i="26"/>
  <c r="P236" i="26" l="1"/>
  <c r="P190" i="26"/>
  <c r="P192" i="26" s="1"/>
  <c r="O190" i="26"/>
  <c r="O192" i="26" s="1"/>
  <c r="Q294" i="26"/>
  <c r="P294" i="26"/>
  <c r="O294" i="26"/>
  <c r="N294" i="26"/>
  <c r="O231" i="26" s="1"/>
  <c r="Q282" i="26"/>
  <c r="P282" i="26"/>
  <c r="O282" i="26"/>
  <c r="N282" i="26"/>
  <c r="P270" i="26"/>
  <c r="Q265" i="26" s="1"/>
  <c r="N270" i="26"/>
  <c r="O268" i="26" s="1"/>
  <c r="O263" i="26"/>
  <c r="O261" i="26"/>
  <c r="P256" i="26"/>
  <c r="N256" i="26"/>
  <c r="P255" i="26"/>
  <c r="N255" i="26"/>
  <c r="P254" i="26"/>
  <c r="N254" i="26"/>
  <c r="P253" i="26"/>
  <c r="N253" i="26"/>
  <c r="P252" i="26"/>
  <c r="N252" i="26"/>
  <c r="P251" i="26"/>
  <c r="N251" i="26"/>
  <c r="P250" i="26"/>
  <c r="N250" i="26"/>
  <c r="P249" i="26"/>
  <c r="N249" i="26"/>
  <c r="P235" i="26"/>
  <c r="P233" i="26"/>
  <c r="P231" i="26"/>
  <c r="P230" i="26"/>
  <c r="O230" i="26"/>
  <c r="P225" i="26"/>
  <c r="P213" i="26"/>
  <c r="R191" i="26"/>
  <c r="R182" i="26"/>
  <c r="R176" i="26"/>
  <c r="R175" i="26"/>
  <c r="R169" i="26"/>
  <c r="R168" i="26"/>
  <c r="R167" i="26"/>
  <c r="R166" i="26"/>
  <c r="R159" i="26"/>
  <c r="R161" i="26" s="1"/>
  <c r="R154" i="26"/>
  <c r="R153" i="26"/>
  <c r="R155" i="26" s="1"/>
  <c r="B135" i="26"/>
  <c r="B208" i="26" s="1"/>
  <c r="B309" i="26" s="1"/>
  <c r="P124" i="26"/>
  <c r="P131" i="26" s="1"/>
  <c r="P111" i="26"/>
  <c r="P98" i="26"/>
  <c r="R97" i="26"/>
  <c r="R100" i="26" s="1"/>
  <c r="P85" i="26"/>
  <c r="J83" i="26"/>
  <c r="R78" i="26"/>
  <c r="R183" i="26" s="1"/>
  <c r="P297" i="26" s="1"/>
  <c r="N67" i="26"/>
  <c r="L67" i="26"/>
  <c r="J67" i="26"/>
  <c r="H67" i="26"/>
  <c r="H80" i="26" s="1"/>
  <c r="F67" i="26"/>
  <c r="F80" i="26" s="1"/>
  <c r="R65" i="26"/>
  <c r="P87" i="26"/>
  <c r="N54" i="26"/>
  <c r="N53" i="26"/>
  <c r="R47" i="26"/>
  <c r="L40" i="26"/>
  <c r="J40" i="26"/>
  <c r="H40" i="26"/>
  <c r="F40" i="26"/>
  <c r="R33" i="26"/>
  <c r="L33" i="26"/>
  <c r="J33" i="26"/>
  <c r="H33" i="26"/>
  <c r="F33" i="26"/>
  <c r="D33" i="26"/>
  <c r="R142" i="26" s="1"/>
  <c r="R141" i="26" s="1"/>
  <c r="L32" i="26"/>
  <c r="J32" i="26"/>
  <c r="H32" i="26"/>
  <c r="F32" i="26"/>
  <c r="D32" i="26"/>
  <c r="R32" i="26" s="1"/>
  <c r="R31" i="26"/>
  <c r="O189" i="26" s="1"/>
  <c r="L30" i="26"/>
  <c r="J30" i="26"/>
  <c r="H30" i="26"/>
  <c r="F30" i="26"/>
  <c r="D30" i="26"/>
  <c r="L29" i="26"/>
  <c r="J29" i="26"/>
  <c r="H29" i="26"/>
  <c r="F29" i="26"/>
  <c r="D29" i="26"/>
  <c r="P97" i="26" l="1"/>
  <c r="P100" i="26" s="1"/>
  <c r="P132" i="26" s="1"/>
  <c r="R40" i="26"/>
  <c r="P216" i="26" s="1"/>
  <c r="P217" i="26" s="1"/>
  <c r="P258" i="26"/>
  <c r="Q256" i="26" s="1"/>
  <c r="Q263" i="26"/>
  <c r="Q267" i="26"/>
  <c r="Q261" i="26"/>
  <c r="Q264" i="26"/>
  <c r="Q268" i="26"/>
  <c r="Q266" i="26"/>
  <c r="Q262" i="26"/>
  <c r="P296" i="26"/>
  <c r="P298" i="26" s="1"/>
  <c r="O267" i="26"/>
  <c r="O265" i="26"/>
  <c r="P218" i="26"/>
  <c r="R122" i="26"/>
  <c r="R131" i="26" s="1"/>
  <c r="R132" i="26" s="1"/>
  <c r="R203" i="26"/>
  <c r="R201" i="26"/>
  <c r="R199" i="26"/>
  <c r="P301" i="26"/>
  <c r="O193" i="26"/>
  <c r="R192" i="26"/>
  <c r="Q252" i="26"/>
  <c r="Q249" i="26"/>
  <c r="Q255" i="26"/>
  <c r="Q253" i="26"/>
  <c r="Q250" i="26"/>
  <c r="Q254" i="26"/>
  <c r="Q251" i="26"/>
  <c r="R190" i="26"/>
  <c r="P232" i="26"/>
  <c r="N258" i="26"/>
  <c r="O252" i="26" s="1"/>
  <c r="N296" i="26"/>
  <c r="R64" i="26"/>
  <c r="R67" i="26" s="1"/>
  <c r="P67" i="26"/>
  <c r="O262" i="26"/>
  <c r="O264" i="26"/>
  <c r="O266" i="26"/>
  <c r="P87" i="25"/>
  <c r="Q270" i="26" l="1"/>
  <c r="O270" i="26"/>
  <c r="O255" i="26"/>
  <c r="O250" i="26"/>
  <c r="O253" i="26"/>
  <c r="O256" i="26"/>
  <c r="Q258" i="26"/>
  <c r="O249" i="26"/>
  <c r="R80" i="26"/>
  <c r="R181" i="26"/>
  <c r="R184" i="26" s="1"/>
  <c r="O254" i="26"/>
  <c r="O251" i="26"/>
  <c r="R203" i="25"/>
  <c r="R173" i="25"/>
  <c r="R118" i="25"/>
  <c r="R104" i="25"/>
  <c r="R88" i="25"/>
  <c r="P64" i="25"/>
  <c r="L41" i="25"/>
  <c r="J41" i="25"/>
  <c r="H41" i="25"/>
  <c r="F41" i="25"/>
  <c r="R185" i="26" l="1"/>
  <c r="P299" i="26"/>
  <c r="O258" i="26"/>
  <c r="P236" i="25"/>
  <c r="P190" i="25"/>
  <c r="P192" i="25" s="1"/>
  <c r="O190" i="25"/>
  <c r="O192" i="25" s="1"/>
  <c r="Q294" i="25"/>
  <c r="P294" i="25"/>
  <c r="O294" i="25"/>
  <c r="N294" i="25"/>
  <c r="O231" i="25" s="1"/>
  <c r="Q282" i="25"/>
  <c r="P282" i="25"/>
  <c r="O282" i="25"/>
  <c r="N282" i="25"/>
  <c r="P270" i="25"/>
  <c r="Q268" i="25" s="1"/>
  <c r="N270" i="25"/>
  <c r="O268" i="25" s="1"/>
  <c r="Q266" i="25"/>
  <c r="Q265" i="25"/>
  <c r="Q263" i="25"/>
  <c r="Q262" i="25"/>
  <c r="Q261" i="25"/>
  <c r="O261" i="25"/>
  <c r="P256" i="25"/>
  <c r="N256" i="25"/>
  <c r="P255" i="25"/>
  <c r="N255" i="25"/>
  <c r="P254" i="25"/>
  <c r="N254" i="25"/>
  <c r="P253" i="25"/>
  <c r="N253" i="25"/>
  <c r="P252" i="25"/>
  <c r="N252" i="25"/>
  <c r="P251" i="25"/>
  <c r="N251" i="25"/>
  <c r="P250" i="25"/>
  <c r="N250" i="25"/>
  <c r="P249" i="25"/>
  <c r="P258" i="25" s="1"/>
  <c r="N249" i="25"/>
  <c r="P235" i="25"/>
  <c r="P233" i="25"/>
  <c r="P231" i="25"/>
  <c r="P230" i="25"/>
  <c r="O230" i="25"/>
  <c r="P225" i="25"/>
  <c r="P213" i="25"/>
  <c r="R191" i="25"/>
  <c r="R182" i="25"/>
  <c r="R175" i="25"/>
  <c r="R176" i="25"/>
  <c r="R169" i="25"/>
  <c r="R168" i="25"/>
  <c r="R167" i="25"/>
  <c r="R166" i="25"/>
  <c r="R159" i="25"/>
  <c r="R161" i="25" s="1"/>
  <c r="R154" i="25"/>
  <c r="R153" i="25"/>
  <c r="R155" i="25" s="1"/>
  <c r="B135" i="25"/>
  <c r="B208" i="25" s="1"/>
  <c r="B309" i="25" s="1"/>
  <c r="P124" i="25"/>
  <c r="P131" i="25" s="1"/>
  <c r="P111" i="25"/>
  <c r="P98" i="25"/>
  <c r="R97" i="25"/>
  <c r="R100" i="25" s="1"/>
  <c r="R122" i="25" s="1"/>
  <c r="P85" i="25"/>
  <c r="J83" i="25"/>
  <c r="R78" i="25"/>
  <c r="R183" i="25" s="1"/>
  <c r="P297" i="25" s="1"/>
  <c r="N67" i="25"/>
  <c r="L67" i="25"/>
  <c r="J67" i="25"/>
  <c r="H67" i="25"/>
  <c r="H80" i="25" s="1"/>
  <c r="F67" i="25"/>
  <c r="F80" i="25" s="1"/>
  <c r="R65" i="25"/>
  <c r="P232" i="25"/>
  <c r="N54" i="25"/>
  <c r="N53" i="25"/>
  <c r="R47" i="25"/>
  <c r="L40" i="25"/>
  <c r="J40" i="25"/>
  <c r="H40" i="25"/>
  <c r="F40" i="25"/>
  <c r="L33" i="25"/>
  <c r="J33" i="25"/>
  <c r="H33" i="25"/>
  <c r="F33" i="25"/>
  <c r="D33" i="25"/>
  <c r="L32" i="25"/>
  <c r="J32" i="25"/>
  <c r="H32" i="25"/>
  <c r="F32" i="25"/>
  <c r="D32" i="25"/>
  <c r="R32" i="25" s="1"/>
  <c r="R31" i="25"/>
  <c r="O189" i="25" s="1"/>
  <c r="L30" i="25"/>
  <c r="J30" i="25"/>
  <c r="H30" i="25"/>
  <c r="F30" i="25"/>
  <c r="D30" i="25"/>
  <c r="L29" i="25"/>
  <c r="J29" i="25"/>
  <c r="H29" i="25"/>
  <c r="F29" i="25"/>
  <c r="D29" i="25"/>
  <c r="R40" i="25" l="1"/>
  <c r="P216" i="25" s="1"/>
  <c r="P217" i="25" s="1"/>
  <c r="R142" i="25"/>
  <c r="R141" i="25" s="1"/>
  <c r="R150" i="25" s="1"/>
  <c r="Q267" i="25"/>
  <c r="Q264" i="25"/>
  <c r="Q270" i="25" s="1"/>
  <c r="P296" i="25"/>
  <c r="P298" i="25" s="1"/>
  <c r="O267" i="25"/>
  <c r="O265" i="25"/>
  <c r="O263" i="25"/>
  <c r="O193" i="25"/>
  <c r="O253" i="25"/>
  <c r="O255" i="25"/>
  <c r="P218" i="25"/>
  <c r="R197" i="25"/>
  <c r="R201" i="25"/>
  <c r="R199" i="25"/>
  <c r="P301" i="25"/>
  <c r="R131" i="25"/>
  <c r="R132" i="25" s="1"/>
  <c r="R192" i="25"/>
  <c r="Q254" i="25"/>
  <c r="Q250" i="25"/>
  <c r="Q256" i="25"/>
  <c r="Q255" i="25"/>
  <c r="Q253" i="25"/>
  <c r="Q252" i="25"/>
  <c r="Q251" i="25"/>
  <c r="Q249" i="25"/>
  <c r="P67" i="25"/>
  <c r="P97" i="25"/>
  <c r="P100" i="25" s="1"/>
  <c r="P132" i="25" s="1"/>
  <c r="R190" i="25"/>
  <c r="N258" i="25"/>
  <c r="O250" i="25" s="1"/>
  <c r="R64" i="25"/>
  <c r="R67" i="25" s="1"/>
  <c r="N296" i="25"/>
  <c r="R33" i="25"/>
  <c r="O262" i="25"/>
  <c r="O264" i="25"/>
  <c r="O266" i="25"/>
  <c r="R118" i="24"/>
  <c r="R104" i="24"/>
  <c r="R88" i="24"/>
  <c r="P64" i="24"/>
  <c r="P87" i="24" s="1"/>
  <c r="L41" i="24"/>
  <c r="J41" i="24"/>
  <c r="H41" i="24"/>
  <c r="F41" i="24"/>
  <c r="O270" i="25" l="1"/>
  <c r="O256" i="25"/>
  <c r="O254" i="25"/>
  <c r="O251" i="25"/>
  <c r="O252" i="25"/>
  <c r="R80" i="25"/>
  <c r="R181" i="25"/>
  <c r="R184" i="25" s="1"/>
  <c r="Q258" i="25"/>
  <c r="O249" i="25"/>
  <c r="P293" i="24"/>
  <c r="Q291" i="24"/>
  <c r="P291" i="24"/>
  <c r="O291" i="24"/>
  <c r="N291" i="24"/>
  <c r="O228" i="24" s="1"/>
  <c r="Q279" i="24"/>
  <c r="P279" i="24"/>
  <c r="O279" i="24"/>
  <c r="N279" i="24"/>
  <c r="P267" i="24"/>
  <c r="Q262" i="24" s="1"/>
  <c r="N267" i="24"/>
  <c r="O265" i="24" s="1"/>
  <c r="Q264" i="24"/>
  <c r="Q263" i="24"/>
  <c r="Q260" i="24"/>
  <c r="Q259" i="24"/>
  <c r="O258" i="24"/>
  <c r="P253" i="24"/>
  <c r="N253" i="24"/>
  <c r="P252" i="24"/>
  <c r="N252" i="24"/>
  <c r="P251" i="24"/>
  <c r="N251" i="24"/>
  <c r="P250" i="24"/>
  <c r="N250" i="24"/>
  <c r="P249" i="24"/>
  <c r="N249" i="24"/>
  <c r="P248" i="24"/>
  <c r="N248" i="24"/>
  <c r="P247" i="24"/>
  <c r="N247" i="24"/>
  <c r="P246" i="24"/>
  <c r="N246" i="24"/>
  <c r="P232" i="24"/>
  <c r="P230" i="24"/>
  <c r="P228" i="24"/>
  <c r="P227" i="24"/>
  <c r="O227" i="24"/>
  <c r="P222" i="24"/>
  <c r="P210" i="24"/>
  <c r="R188" i="24"/>
  <c r="R179" i="24"/>
  <c r="R172" i="24"/>
  <c r="R166" i="24"/>
  <c r="R164" i="24"/>
  <c r="R163" i="24"/>
  <c r="R165" i="24" s="1"/>
  <c r="R156" i="24"/>
  <c r="R158" i="24" s="1"/>
  <c r="R151" i="24"/>
  <c r="R150" i="24"/>
  <c r="R152" i="24" s="1"/>
  <c r="B132" i="24"/>
  <c r="B205" i="24" s="1"/>
  <c r="B306" i="24" s="1"/>
  <c r="P121" i="24"/>
  <c r="P128" i="24" s="1"/>
  <c r="P111" i="24"/>
  <c r="P98" i="24"/>
  <c r="R97" i="24"/>
  <c r="R100" i="24" s="1"/>
  <c r="P85" i="24"/>
  <c r="J83" i="24"/>
  <c r="R78" i="24"/>
  <c r="R180" i="24" s="1"/>
  <c r="P294" i="24" s="1"/>
  <c r="N67" i="24"/>
  <c r="L67" i="24"/>
  <c r="J67" i="24"/>
  <c r="H67" i="24"/>
  <c r="H80" i="24" s="1"/>
  <c r="F67" i="24"/>
  <c r="F80" i="24" s="1"/>
  <c r="R65" i="24"/>
  <c r="R64" i="24"/>
  <c r="R67" i="24" s="1"/>
  <c r="N54" i="24"/>
  <c r="N53" i="24"/>
  <c r="R47" i="24"/>
  <c r="L40" i="24"/>
  <c r="J40" i="24"/>
  <c r="H40" i="24"/>
  <c r="F40" i="24"/>
  <c r="L33" i="24"/>
  <c r="J33" i="24"/>
  <c r="H33" i="24"/>
  <c r="F33" i="24"/>
  <c r="D33" i="24"/>
  <c r="L32" i="24"/>
  <c r="J32" i="24"/>
  <c r="H32" i="24"/>
  <c r="F32" i="24"/>
  <c r="D32" i="24"/>
  <c r="R31" i="24"/>
  <c r="O186" i="24" s="1"/>
  <c r="L30" i="24"/>
  <c r="J30" i="24"/>
  <c r="H30" i="24"/>
  <c r="F30" i="24"/>
  <c r="D30" i="24"/>
  <c r="L29" i="24"/>
  <c r="J29" i="24"/>
  <c r="H29" i="24"/>
  <c r="F29" i="24"/>
  <c r="D29" i="24"/>
  <c r="O258" i="25" l="1"/>
  <c r="R185" i="25"/>
  <c r="P299" i="25"/>
  <c r="P295" i="24"/>
  <c r="P255" i="24"/>
  <c r="Q253" i="24" s="1"/>
  <c r="R32" i="24"/>
  <c r="R40" i="24" s="1"/>
  <c r="P213" i="24" s="1"/>
  <c r="P214" i="24" s="1"/>
  <c r="R139" i="24"/>
  <c r="R138" i="24" s="1"/>
  <c r="R147" i="24" s="1"/>
  <c r="Q261" i="24"/>
  <c r="Q265" i="24"/>
  <c r="Q258" i="24"/>
  <c r="Q267" i="24" s="1"/>
  <c r="O262" i="24"/>
  <c r="O260" i="24"/>
  <c r="O264" i="24"/>
  <c r="Q251" i="24"/>
  <c r="Q250" i="24"/>
  <c r="Q247" i="24"/>
  <c r="Q246" i="24"/>
  <c r="R80" i="24"/>
  <c r="R178" i="24"/>
  <c r="R181" i="24" s="1"/>
  <c r="P215" i="24"/>
  <c r="R194" i="24"/>
  <c r="R119" i="24"/>
  <c r="R128" i="24" s="1"/>
  <c r="R129" i="24" s="1"/>
  <c r="R200" i="24"/>
  <c r="R198" i="24"/>
  <c r="R196" i="24"/>
  <c r="P67" i="24"/>
  <c r="P97" i="24"/>
  <c r="P100" i="24" s="1"/>
  <c r="P129" i="24" s="1"/>
  <c r="P229" i="24"/>
  <c r="N255" i="24"/>
  <c r="O250" i="24" s="1"/>
  <c r="N293" i="24"/>
  <c r="R48" i="24"/>
  <c r="R33" i="24"/>
  <c r="P298" i="24" s="1"/>
  <c r="O259" i="24"/>
  <c r="O261" i="24"/>
  <c r="O263" i="24"/>
  <c r="R118" i="23"/>
  <c r="R104" i="23"/>
  <c r="R88" i="23"/>
  <c r="P64" i="23"/>
  <c r="L41" i="23"/>
  <c r="J41" i="23"/>
  <c r="H41" i="23"/>
  <c r="F41" i="23"/>
  <c r="Q248" i="24" l="1"/>
  <c r="Q252" i="24"/>
  <c r="O267" i="24"/>
  <c r="Q249" i="24"/>
  <c r="Q255" i="24" s="1"/>
  <c r="O247" i="24"/>
  <c r="O248" i="24"/>
  <c r="O253" i="24"/>
  <c r="O246" i="24"/>
  <c r="O251" i="24"/>
  <c r="P296" i="24"/>
  <c r="R182" i="24"/>
  <c r="O252" i="24"/>
  <c r="O249" i="24"/>
  <c r="Q291" i="23"/>
  <c r="P291" i="23"/>
  <c r="O291" i="23"/>
  <c r="N291" i="23"/>
  <c r="Q279" i="23"/>
  <c r="P279" i="23"/>
  <c r="O279" i="23"/>
  <c r="N279" i="23"/>
  <c r="P267" i="23"/>
  <c r="Q264" i="23" s="1"/>
  <c r="N267" i="23"/>
  <c r="O263" i="23" s="1"/>
  <c r="O264" i="23"/>
  <c r="O262" i="23"/>
  <c r="O260" i="23"/>
  <c r="O258" i="23"/>
  <c r="P253" i="23"/>
  <c r="N253" i="23"/>
  <c r="P252" i="23"/>
  <c r="N252" i="23"/>
  <c r="P251" i="23"/>
  <c r="N251" i="23"/>
  <c r="P250" i="23"/>
  <c r="N250" i="23"/>
  <c r="P249" i="23"/>
  <c r="N249" i="23"/>
  <c r="P248" i="23"/>
  <c r="N248" i="23"/>
  <c r="P247" i="23"/>
  <c r="N247" i="23"/>
  <c r="P246" i="23"/>
  <c r="N246" i="23"/>
  <c r="P232" i="23"/>
  <c r="P230" i="23"/>
  <c r="P228" i="23"/>
  <c r="O228" i="23"/>
  <c r="P227" i="23"/>
  <c r="O227" i="23"/>
  <c r="P210" i="23"/>
  <c r="R188" i="23"/>
  <c r="R179" i="23"/>
  <c r="R172" i="23"/>
  <c r="R166" i="23"/>
  <c r="R164" i="23"/>
  <c r="R163" i="23"/>
  <c r="R165" i="23" s="1"/>
  <c r="R156" i="23"/>
  <c r="R158" i="23" s="1"/>
  <c r="R151" i="23"/>
  <c r="R150" i="23"/>
  <c r="B132" i="23"/>
  <c r="B205" i="23" s="1"/>
  <c r="B306" i="23" s="1"/>
  <c r="P121" i="23"/>
  <c r="P128" i="23" s="1"/>
  <c r="P111" i="23"/>
  <c r="P98" i="23"/>
  <c r="R97" i="23"/>
  <c r="R100" i="23" s="1"/>
  <c r="P85" i="23"/>
  <c r="J83" i="23"/>
  <c r="R78" i="23"/>
  <c r="R180" i="23" s="1"/>
  <c r="P294" i="23" s="1"/>
  <c r="N67" i="23"/>
  <c r="L67" i="23"/>
  <c r="J67" i="23"/>
  <c r="H67" i="23"/>
  <c r="H80" i="23" s="1"/>
  <c r="F67" i="23"/>
  <c r="F80" i="23" s="1"/>
  <c r="R65" i="23"/>
  <c r="R64" i="23"/>
  <c r="R67" i="23" s="1"/>
  <c r="P229" i="23"/>
  <c r="N54" i="23"/>
  <c r="N53" i="23"/>
  <c r="R47" i="23"/>
  <c r="L40" i="23"/>
  <c r="J40" i="23"/>
  <c r="H40" i="23"/>
  <c r="F40" i="23"/>
  <c r="L33" i="23"/>
  <c r="J33" i="23"/>
  <c r="H33" i="23"/>
  <c r="F33" i="23"/>
  <c r="D33" i="23"/>
  <c r="L32" i="23"/>
  <c r="J32" i="23"/>
  <c r="H32" i="23"/>
  <c r="F32" i="23"/>
  <c r="D32" i="23"/>
  <c r="R31" i="23"/>
  <c r="O186" i="23" s="1"/>
  <c r="L30" i="23"/>
  <c r="J30" i="23"/>
  <c r="H30" i="23"/>
  <c r="F30" i="23"/>
  <c r="D30" i="23"/>
  <c r="L29" i="23"/>
  <c r="J29" i="23"/>
  <c r="H29" i="23"/>
  <c r="F29" i="23"/>
  <c r="D29" i="23"/>
  <c r="O255" i="24" l="1"/>
  <c r="P293" i="23"/>
  <c r="P295" i="23" s="1"/>
  <c r="O261" i="23"/>
  <c r="O265" i="23"/>
  <c r="O259" i="23"/>
  <c r="R152" i="23"/>
  <c r="Q259" i="23"/>
  <c r="Q261" i="23"/>
  <c r="Q263" i="23"/>
  <c r="Q265" i="23"/>
  <c r="N293" i="23"/>
  <c r="R32" i="23"/>
  <c r="R40" i="23" s="1"/>
  <c r="P213" i="23" s="1"/>
  <c r="P214" i="23" s="1"/>
  <c r="N255" i="23"/>
  <c r="O253" i="23" s="1"/>
  <c r="R139" i="23"/>
  <c r="R138" i="23" s="1"/>
  <c r="R147" i="23" s="1"/>
  <c r="P222" i="23"/>
  <c r="P255" i="23"/>
  <c r="Q252" i="23" s="1"/>
  <c r="Q258" i="23"/>
  <c r="Q260" i="23"/>
  <c r="Q262" i="23"/>
  <c r="O246" i="23"/>
  <c r="R178" i="23"/>
  <c r="R181" i="23" s="1"/>
  <c r="R80" i="23"/>
  <c r="P215" i="23"/>
  <c r="R198" i="23"/>
  <c r="R194" i="23"/>
  <c r="R119" i="23"/>
  <c r="R128" i="23" s="1"/>
  <c r="R129" i="23" s="1"/>
  <c r="R200" i="23"/>
  <c r="R196" i="23"/>
  <c r="R48" i="23"/>
  <c r="R33" i="23"/>
  <c r="P67" i="23"/>
  <c r="P87" i="23"/>
  <c r="P97" i="23" s="1"/>
  <c r="P100" i="23" s="1"/>
  <c r="P129" i="23" s="1"/>
  <c r="R88" i="22"/>
  <c r="P298" i="23" l="1"/>
  <c r="O267" i="23"/>
  <c r="Q246" i="23"/>
  <c r="Q249" i="23"/>
  <c r="Q267" i="23"/>
  <c r="Q250" i="23"/>
  <c r="Q253" i="23"/>
  <c r="O250" i="23"/>
  <c r="Q247" i="23"/>
  <c r="Q251" i="23"/>
  <c r="O248" i="23"/>
  <c r="O252" i="23"/>
  <c r="O247" i="23"/>
  <c r="O251" i="23"/>
  <c r="Q248" i="23"/>
  <c r="O249" i="23"/>
  <c r="P296" i="23"/>
  <c r="R182" i="23"/>
  <c r="R47" i="22"/>
  <c r="O255" i="23" l="1"/>
  <c r="Q255" i="23"/>
  <c r="R118" i="22"/>
  <c r="R104" i="22"/>
  <c r="P64" i="22"/>
  <c r="L41" i="22"/>
  <c r="J41" i="22"/>
  <c r="H41" i="22"/>
  <c r="F41" i="22"/>
  <c r="Q291" i="22" l="1"/>
  <c r="P291" i="22"/>
  <c r="O291" i="22"/>
  <c r="N291" i="22"/>
  <c r="O228" i="22" s="1"/>
  <c r="Q279" i="22"/>
  <c r="P279" i="22"/>
  <c r="O279" i="22"/>
  <c r="N279" i="22"/>
  <c r="O227" i="22" s="1"/>
  <c r="P267" i="22"/>
  <c r="N267" i="22"/>
  <c r="Q265" i="22"/>
  <c r="O265" i="22"/>
  <c r="Q264" i="22"/>
  <c r="O264" i="22"/>
  <c r="Q263" i="22"/>
  <c r="O263" i="22"/>
  <c r="Q262" i="22"/>
  <c r="O262" i="22"/>
  <c r="Q261" i="22"/>
  <c r="O261" i="22"/>
  <c r="Q260" i="22"/>
  <c r="O260" i="22"/>
  <c r="Q259" i="22"/>
  <c r="O259" i="22"/>
  <c r="Q258" i="22"/>
  <c r="O258" i="22"/>
  <c r="P253" i="22"/>
  <c r="N253" i="22"/>
  <c r="P252" i="22"/>
  <c r="N252" i="22"/>
  <c r="P251" i="22"/>
  <c r="N251" i="22"/>
  <c r="P250" i="22"/>
  <c r="N250" i="22"/>
  <c r="P249" i="22"/>
  <c r="N249" i="22"/>
  <c r="P248" i="22"/>
  <c r="N248" i="22"/>
  <c r="P247" i="22"/>
  <c r="N247" i="22"/>
  <c r="P246" i="22"/>
  <c r="N246" i="22"/>
  <c r="P232" i="22"/>
  <c r="P230" i="22"/>
  <c r="P228" i="22"/>
  <c r="P227" i="22"/>
  <c r="P222" i="22"/>
  <c r="P210" i="22"/>
  <c r="R188" i="22"/>
  <c r="R179" i="22"/>
  <c r="R172" i="22"/>
  <c r="R166" i="22"/>
  <c r="R164" i="22"/>
  <c r="R163" i="22"/>
  <c r="R156" i="22"/>
  <c r="R158" i="22" s="1"/>
  <c r="R151" i="22"/>
  <c r="R150" i="22"/>
  <c r="R152" i="22" s="1"/>
  <c r="B132" i="22"/>
  <c r="B205" i="22" s="1"/>
  <c r="B306" i="22" s="1"/>
  <c r="P121" i="22"/>
  <c r="P128" i="22" s="1"/>
  <c r="P111" i="22"/>
  <c r="P98" i="22"/>
  <c r="R97" i="22"/>
  <c r="R100" i="22" s="1"/>
  <c r="P85" i="22"/>
  <c r="J83" i="22"/>
  <c r="R78" i="22"/>
  <c r="R180" i="22" s="1"/>
  <c r="P294" i="22" s="1"/>
  <c r="N67" i="22"/>
  <c r="L67" i="22"/>
  <c r="J67" i="22"/>
  <c r="H67" i="22"/>
  <c r="H80" i="22" s="1"/>
  <c r="F67" i="22"/>
  <c r="F80" i="22" s="1"/>
  <c r="R65" i="22"/>
  <c r="R64" i="22"/>
  <c r="P229" i="22"/>
  <c r="N54" i="22"/>
  <c r="N53" i="22"/>
  <c r="L40" i="22"/>
  <c r="J40" i="22"/>
  <c r="H40" i="22"/>
  <c r="F40" i="22"/>
  <c r="L33" i="22"/>
  <c r="J33" i="22"/>
  <c r="H33" i="22"/>
  <c r="F33" i="22"/>
  <c r="D33" i="22"/>
  <c r="L32" i="22"/>
  <c r="J32" i="22"/>
  <c r="H32" i="22"/>
  <c r="F32" i="22"/>
  <c r="D32" i="22"/>
  <c r="R31" i="22"/>
  <c r="O186" i="22" s="1"/>
  <c r="L30" i="22"/>
  <c r="J30" i="22"/>
  <c r="H30" i="22"/>
  <c r="F30" i="22"/>
  <c r="D30" i="22"/>
  <c r="L29" i="22"/>
  <c r="J29" i="22"/>
  <c r="H29" i="22"/>
  <c r="F29" i="22"/>
  <c r="D29" i="22"/>
  <c r="Q267" i="22" l="1"/>
  <c r="P293" i="22"/>
  <c r="R32" i="22"/>
  <c r="R40" i="22" s="1"/>
  <c r="P213" i="22" s="1"/>
  <c r="P214" i="22" s="1"/>
  <c r="O267" i="22"/>
  <c r="R48" i="22"/>
  <c r="R67" i="22"/>
  <c r="R178" i="22" s="1"/>
  <c r="R181" i="22" s="1"/>
  <c r="P215" i="22"/>
  <c r="R165" i="22"/>
  <c r="P255" i="22"/>
  <c r="N255" i="22"/>
  <c r="O253" i="22" s="1"/>
  <c r="N293" i="22"/>
  <c r="R139" i="22"/>
  <c r="R138" i="22" s="1"/>
  <c r="R147" i="22" s="1"/>
  <c r="R198" i="22"/>
  <c r="R194" i="22"/>
  <c r="R119" i="22"/>
  <c r="R128" i="22" s="1"/>
  <c r="R129" i="22" s="1"/>
  <c r="R200" i="22"/>
  <c r="R196" i="22"/>
  <c r="Q253" i="22"/>
  <c r="Q252" i="22"/>
  <c r="Q251" i="22"/>
  <c r="Q250" i="22"/>
  <c r="Q249" i="22"/>
  <c r="Q248" i="22"/>
  <c r="Q247" i="22"/>
  <c r="Q246" i="22"/>
  <c r="P295" i="22"/>
  <c r="R33" i="22"/>
  <c r="P67" i="22"/>
  <c r="P87" i="22"/>
  <c r="P97" i="22" s="1"/>
  <c r="P100" i="22" s="1"/>
  <c r="P129" i="22" s="1"/>
  <c r="O250" i="22" l="1"/>
  <c r="R80" i="22"/>
  <c r="O252" i="22"/>
  <c r="O246" i="22"/>
  <c r="O248" i="22"/>
  <c r="O247" i="22"/>
  <c r="O249" i="22"/>
  <c r="O251" i="22"/>
  <c r="P298" i="22"/>
  <c r="P296" i="22"/>
  <c r="R182" i="22"/>
  <c r="Q255" i="22"/>
  <c r="O255" i="22" l="1"/>
  <c r="R118" i="21"/>
  <c r="R104" i="21"/>
  <c r="R88" i="21"/>
  <c r="P64" i="21"/>
  <c r="P87" i="21" s="1"/>
  <c r="L41" i="21"/>
  <c r="J41" i="21"/>
  <c r="H41" i="21"/>
  <c r="F41" i="21"/>
  <c r="Q291" i="21" l="1"/>
  <c r="P291" i="21"/>
  <c r="O291" i="21"/>
  <c r="N291" i="21"/>
  <c r="Q279" i="21"/>
  <c r="P279" i="21"/>
  <c r="P227" i="21" s="1"/>
  <c r="O279" i="21"/>
  <c r="N279" i="21"/>
  <c r="O227" i="21" s="1"/>
  <c r="P267" i="21"/>
  <c r="N267" i="21"/>
  <c r="O265" i="21" s="1"/>
  <c r="Q261" i="21"/>
  <c r="P253" i="21"/>
  <c r="N253" i="21"/>
  <c r="P252" i="21"/>
  <c r="N252" i="21"/>
  <c r="P251" i="21"/>
  <c r="N251" i="21"/>
  <c r="P250" i="21"/>
  <c r="N250" i="21"/>
  <c r="P249" i="21"/>
  <c r="N249" i="21"/>
  <c r="P248" i="21"/>
  <c r="N248" i="21"/>
  <c r="P247" i="21"/>
  <c r="N247" i="21"/>
  <c r="P246" i="21"/>
  <c r="N246" i="21"/>
  <c r="P232" i="21"/>
  <c r="P230" i="21"/>
  <c r="P228" i="21"/>
  <c r="P222" i="21"/>
  <c r="P210" i="21"/>
  <c r="R188" i="21"/>
  <c r="R179" i="21"/>
  <c r="R172" i="21"/>
  <c r="R166" i="21"/>
  <c r="R164" i="21"/>
  <c r="R163" i="21"/>
  <c r="R156" i="21"/>
  <c r="R158" i="21" s="1"/>
  <c r="R151" i="21"/>
  <c r="R150" i="21"/>
  <c r="B132" i="21"/>
  <c r="B205" i="21" s="1"/>
  <c r="B306" i="21" s="1"/>
  <c r="P121" i="21"/>
  <c r="P128" i="21" s="1"/>
  <c r="P111" i="21"/>
  <c r="P98" i="21"/>
  <c r="R97" i="21"/>
  <c r="R100" i="21" s="1"/>
  <c r="P85" i="21"/>
  <c r="J83" i="21"/>
  <c r="R78" i="21"/>
  <c r="R180" i="21" s="1"/>
  <c r="P294" i="21" s="1"/>
  <c r="N67" i="21"/>
  <c r="L67" i="21"/>
  <c r="J67" i="21"/>
  <c r="H67" i="21"/>
  <c r="H80" i="21" s="1"/>
  <c r="F67" i="21"/>
  <c r="F80" i="21" s="1"/>
  <c r="R65" i="21"/>
  <c r="R64" i="21"/>
  <c r="P229" i="21"/>
  <c r="N54" i="21"/>
  <c r="N53" i="21"/>
  <c r="R47" i="21"/>
  <c r="L40" i="21"/>
  <c r="J40" i="21"/>
  <c r="H40" i="21"/>
  <c r="F40" i="21"/>
  <c r="L33" i="21"/>
  <c r="J33" i="21"/>
  <c r="H33" i="21"/>
  <c r="F33" i="21"/>
  <c r="D33" i="21"/>
  <c r="L32" i="21"/>
  <c r="J32" i="21"/>
  <c r="H32" i="21"/>
  <c r="F32" i="21"/>
  <c r="D32" i="21"/>
  <c r="R31" i="21"/>
  <c r="O186" i="21" s="1"/>
  <c r="L30" i="21"/>
  <c r="J30" i="21"/>
  <c r="H30" i="21"/>
  <c r="F30" i="21"/>
  <c r="D30" i="21"/>
  <c r="L29" i="21"/>
  <c r="J29" i="21"/>
  <c r="H29" i="21"/>
  <c r="F29" i="21"/>
  <c r="D29" i="21"/>
  <c r="R152" i="21" l="1"/>
  <c r="P293" i="21"/>
  <c r="R139" i="21"/>
  <c r="R138" i="21" s="1"/>
  <c r="R147" i="21" s="1"/>
  <c r="Q265" i="21"/>
  <c r="Q259" i="21"/>
  <c r="Q263" i="21"/>
  <c r="Q258" i="21"/>
  <c r="Q260" i="21"/>
  <c r="Q262" i="21"/>
  <c r="Q264" i="21"/>
  <c r="N255" i="21"/>
  <c r="O250" i="21" s="1"/>
  <c r="O258" i="21"/>
  <c r="O259" i="21"/>
  <c r="O260" i="21"/>
  <c r="O261" i="21"/>
  <c r="O262" i="21"/>
  <c r="O263" i="21"/>
  <c r="O264" i="21"/>
  <c r="N293" i="21"/>
  <c r="R67" i="21"/>
  <c r="R80" i="21" s="1"/>
  <c r="O228" i="21"/>
  <c r="P255" i="21"/>
  <c r="Q250" i="21" s="1"/>
  <c r="R32" i="21"/>
  <c r="R40" i="21" s="1"/>
  <c r="P213" i="21" s="1"/>
  <c r="P214" i="21" s="1"/>
  <c r="R165" i="21"/>
  <c r="P215" i="21"/>
  <c r="R198" i="21"/>
  <c r="R194" i="21"/>
  <c r="R119" i="21"/>
  <c r="R128" i="21" s="1"/>
  <c r="R129" i="21" s="1"/>
  <c r="R200" i="21"/>
  <c r="R196" i="21"/>
  <c r="Q253" i="21"/>
  <c r="Q252" i="21"/>
  <c r="Q251" i="21"/>
  <c r="Q249" i="21"/>
  <c r="Q248" i="21"/>
  <c r="Q247" i="21"/>
  <c r="P295" i="21"/>
  <c r="R48" i="21"/>
  <c r="R33" i="21"/>
  <c r="P67" i="21"/>
  <c r="P97" i="21"/>
  <c r="P100" i="21" s="1"/>
  <c r="P129" i="21" s="1"/>
  <c r="R178" i="21" l="1"/>
  <c r="R181" i="21" s="1"/>
  <c r="P298" i="21"/>
  <c r="O248" i="21"/>
  <c r="O251" i="21"/>
  <c r="O253" i="21"/>
  <c r="O247" i="21"/>
  <c r="O249" i="21"/>
  <c r="O252" i="21"/>
  <c r="Q267" i="21"/>
  <c r="Q246" i="21"/>
  <c r="Q255" i="21" s="1"/>
  <c r="O246" i="21"/>
  <c r="O267" i="21"/>
  <c r="P296" i="21"/>
  <c r="R182" i="21"/>
  <c r="O255" i="21" l="1"/>
  <c r="P64" i="20"/>
  <c r="R118" i="20" l="1"/>
  <c r="R104" i="20"/>
  <c r="R88" i="20"/>
  <c r="Q291" i="20" l="1"/>
  <c r="P291" i="20"/>
  <c r="O291" i="20"/>
  <c r="N291" i="20"/>
  <c r="O228" i="20" s="1"/>
  <c r="Q279" i="20"/>
  <c r="P279" i="20"/>
  <c r="O279" i="20"/>
  <c r="N279" i="20"/>
  <c r="O227" i="20" s="1"/>
  <c r="P267" i="20"/>
  <c r="Q263" i="20" s="1"/>
  <c r="N267" i="20"/>
  <c r="O265" i="20" s="1"/>
  <c r="Q261" i="20"/>
  <c r="Q258" i="20"/>
  <c r="P253" i="20"/>
  <c r="N253" i="20"/>
  <c r="P252" i="20"/>
  <c r="N252" i="20"/>
  <c r="P251" i="20"/>
  <c r="N251" i="20"/>
  <c r="P250" i="20"/>
  <c r="N250" i="20"/>
  <c r="P249" i="20"/>
  <c r="N249" i="20"/>
  <c r="P248" i="20"/>
  <c r="N248" i="20"/>
  <c r="P247" i="20"/>
  <c r="N247" i="20"/>
  <c r="P246" i="20"/>
  <c r="P255" i="20" s="1"/>
  <c r="N246" i="20"/>
  <c r="N255" i="20" s="1"/>
  <c r="P232" i="20"/>
  <c r="P230" i="20"/>
  <c r="P228" i="20"/>
  <c r="P227" i="20"/>
  <c r="P222" i="20"/>
  <c r="P210" i="20"/>
  <c r="R188" i="20"/>
  <c r="R179" i="20"/>
  <c r="R172" i="20"/>
  <c r="R166" i="20"/>
  <c r="R164" i="20"/>
  <c r="R163" i="20"/>
  <c r="R165" i="20" s="1"/>
  <c r="R156" i="20"/>
  <c r="R158" i="20" s="1"/>
  <c r="R151" i="20"/>
  <c r="R150" i="20"/>
  <c r="B132" i="20"/>
  <c r="B205" i="20" s="1"/>
  <c r="B306" i="20" s="1"/>
  <c r="P121" i="20"/>
  <c r="P128" i="20" s="1"/>
  <c r="P111" i="20"/>
  <c r="P98" i="20"/>
  <c r="R97" i="20"/>
  <c r="R100" i="20" s="1"/>
  <c r="P85" i="20"/>
  <c r="J83" i="20"/>
  <c r="R78" i="20"/>
  <c r="R180" i="20" s="1"/>
  <c r="P294" i="20" s="1"/>
  <c r="N67" i="20"/>
  <c r="L67" i="20"/>
  <c r="J67" i="20"/>
  <c r="H67" i="20"/>
  <c r="H80" i="20" s="1"/>
  <c r="F67" i="20"/>
  <c r="F80" i="20" s="1"/>
  <c r="R65" i="20"/>
  <c r="R64" i="20"/>
  <c r="P229" i="20"/>
  <c r="N54" i="20"/>
  <c r="N53" i="20"/>
  <c r="R47" i="20"/>
  <c r="L41" i="20"/>
  <c r="J41" i="20"/>
  <c r="H41" i="20"/>
  <c r="F41" i="20"/>
  <c r="L40" i="20"/>
  <c r="J40" i="20"/>
  <c r="H40" i="20"/>
  <c r="F40" i="20"/>
  <c r="L33" i="20"/>
  <c r="J33" i="20"/>
  <c r="H33" i="20"/>
  <c r="F33" i="20"/>
  <c r="D33" i="20"/>
  <c r="L32" i="20"/>
  <c r="J32" i="20"/>
  <c r="H32" i="20"/>
  <c r="F32" i="20"/>
  <c r="D32" i="20"/>
  <c r="R31" i="20"/>
  <c r="O186" i="20" s="1"/>
  <c r="L30" i="20"/>
  <c r="J30" i="20"/>
  <c r="H30" i="20"/>
  <c r="F30" i="20"/>
  <c r="D30" i="20"/>
  <c r="L29" i="20"/>
  <c r="J29" i="20"/>
  <c r="H29" i="20"/>
  <c r="F29" i="20"/>
  <c r="D29" i="20"/>
  <c r="R67" i="20" l="1"/>
  <c r="O258" i="20"/>
  <c r="O260" i="20"/>
  <c r="O262" i="20"/>
  <c r="O264" i="20"/>
  <c r="R33" i="20"/>
  <c r="R152" i="20"/>
  <c r="Q259" i="20"/>
  <c r="Q264" i="20"/>
  <c r="P293" i="20"/>
  <c r="Q262" i="20"/>
  <c r="Q265" i="20"/>
  <c r="Q260" i="20"/>
  <c r="N293" i="20"/>
  <c r="O259" i="20"/>
  <c r="O261" i="20"/>
  <c r="O263" i="20"/>
  <c r="R139" i="20"/>
  <c r="R138" i="20" s="1"/>
  <c r="R147" i="20" s="1"/>
  <c r="P298" i="20" s="1"/>
  <c r="R32" i="20"/>
  <c r="R40" i="20" s="1"/>
  <c r="P213" i="20" s="1"/>
  <c r="P214" i="20" s="1"/>
  <c r="O253" i="20"/>
  <c r="O252" i="20"/>
  <c r="O251" i="20"/>
  <c r="O250" i="20"/>
  <c r="O249" i="20"/>
  <c r="O248" i="20"/>
  <c r="O247" i="20"/>
  <c r="O246" i="20"/>
  <c r="R178" i="20"/>
  <c r="R181" i="20" s="1"/>
  <c r="R80" i="20"/>
  <c r="P215" i="20"/>
  <c r="R198" i="20"/>
  <c r="R194" i="20"/>
  <c r="R119" i="20"/>
  <c r="R200" i="20"/>
  <c r="R196" i="20"/>
  <c r="Q253" i="20"/>
  <c r="Q252" i="20"/>
  <c r="Q251" i="20"/>
  <c r="Q250" i="20"/>
  <c r="Q249" i="20"/>
  <c r="Q248" i="20"/>
  <c r="Q247" i="20"/>
  <c r="Q246" i="20"/>
  <c r="P295" i="20"/>
  <c r="R48" i="20"/>
  <c r="P67" i="20"/>
  <c r="P87" i="20"/>
  <c r="P97" i="20" s="1"/>
  <c r="P100" i="20" s="1"/>
  <c r="P129" i="20" s="1"/>
  <c r="O255" i="20" l="1"/>
  <c r="O267" i="20"/>
  <c r="Q267" i="20"/>
  <c r="R128" i="20"/>
  <c r="R129" i="20" s="1"/>
  <c r="P296" i="20"/>
  <c r="R182" i="20"/>
  <c r="Q255" i="20"/>
  <c r="R118" i="19"/>
  <c r="R104" i="19"/>
  <c r="R88" i="19"/>
  <c r="P64" i="19"/>
  <c r="P87" i="19" s="1"/>
  <c r="Q291" i="19" l="1"/>
  <c r="P291" i="19"/>
  <c r="O291" i="19"/>
  <c r="N291" i="19"/>
  <c r="O228" i="19" s="1"/>
  <c r="Q279" i="19"/>
  <c r="P279" i="19"/>
  <c r="P227" i="19" s="1"/>
  <c r="O279" i="19"/>
  <c r="N279" i="19"/>
  <c r="O227" i="19" s="1"/>
  <c r="P267" i="19"/>
  <c r="Q265" i="19" s="1"/>
  <c r="N267" i="19"/>
  <c r="O265" i="19" s="1"/>
  <c r="O258" i="19"/>
  <c r="P253" i="19"/>
  <c r="N253" i="19"/>
  <c r="P252" i="19"/>
  <c r="N252" i="19"/>
  <c r="P251" i="19"/>
  <c r="N251" i="19"/>
  <c r="P250" i="19"/>
  <c r="N250" i="19"/>
  <c r="P249" i="19"/>
  <c r="N249" i="19"/>
  <c r="P248" i="19"/>
  <c r="N248" i="19"/>
  <c r="P247" i="19"/>
  <c r="N247" i="19"/>
  <c r="P246" i="19"/>
  <c r="N246" i="19"/>
  <c r="P232" i="19"/>
  <c r="P230" i="19"/>
  <c r="P229" i="19"/>
  <c r="P210" i="19"/>
  <c r="R188" i="19"/>
  <c r="R179" i="19"/>
  <c r="R172" i="19"/>
  <c r="R166" i="19"/>
  <c r="R164" i="19"/>
  <c r="R163" i="19"/>
  <c r="R156" i="19"/>
  <c r="R158" i="19" s="1"/>
  <c r="R151" i="19"/>
  <c r="R150" i="19"/>
  <c r="B132" i="19"/>
  <c r="B205" i="19" s="1"/>
  <c r="B306" i="19" s="1"/>
  <c r="P121" i="19"/>
  <c r="P128" i="19" s="1"/>
  <c r="P111" i="19"/>
  <c r="P98" i="19"/>
  <c r="R97" i="19"/>
  <c r="R100" i="19" s="1"/>
  <c r="P85" i="19"/>
  <c r="J83" i="19"/>
  <c r="R78" i="19"/>
  <c r="R180" i="19" s="1"/>
  <c r="P294" i="19" s="1"/>
  <c r="N67" i="19"/>
  <c r="L67" i="19"/>
  <c r="J67" i="19"/>
  <c r="H67" i="19"/>
  <c r="H80" i="19" s="1"/>
  <c r="F67" i="19"/>
  <c r="F80" i="19" s="1"/>
  <c r="R65" i="19"/>
  <c r="R64" i="19"/>
  <c r="P222" i="19"/>
  <c r="N54" i="19"/>
  <c r="N53" i="19"/>
  <c r="R47" i="19"/>
  <c r="L41" i="19"/>
  <c r="J41" i="19"/>
  <c r="H41" i="19"/>
  <c r="F41" i="19"/>
  <c r="L40" i="19"/>
  <c r="J40" i="19"/>
  <c r="H40" i="19"/>
  <c r="F40" i="19"/>
  <c r="L33" i="19"/>
  <c r="J33" i="19"/>
  <c r="H33" i="19"/>
  <c r="F33" i="19"/>
  <c r="D33" i="19"/>
  <c r="L32" i="19"/>
  <c r="J32" i="19"/>
  <c r="H32" i="19"/>
  <c r="F32" i="19"/>
  <c r="D32" i="19"/>
  <c r="R31" i="19"/>
  <c r="O186" i="19" s="1"/>
  <c r="L30" i="19"/>
  <c r="J30" i="19"/>
  <c r="H30" i="19"/>
  <c r="F30" i="19"/>
  <c r="D30" i="19"/>
  <c r="L29" i="19"/>
  <c r="J29" i="19"/>
  <c r="H29" i="19"/>
  <c r="F29" i="19"/>
  <c r="D29" i="19"/>
  <c r="R67" i="19" l="1"/>
  <c r="R152" i="19"/>
  <c r="R165" i="19"/>
  <c r="O260" i="19"/>
  <c r="R33" i="19"/>
  <c r="O262" i="19"/>
  <c r="O264" i="19"/>
  <c r="R32" i="19"/>
  <c r="R40" i="19" s="1"/>
  <c r="P213" i="19" s="1"/>
  <c r="P214" i="19" s="1"/>
  <c r="P293" i="19"/>
  <c r="P295" i="19" s="1"/>
  <c r="O259" i="19"/>
  <c r="O261" i="19"/>
  <c r="O263" i="19"/>
  <c r="N293" i="19"/>
  <c r="R178" i="19"/>
  <c r="R181" i="19" s="1"/>
  <c r="R80" i="19"/>
  <c r="R200" i="19"/>
  <c r="R196" i="19"/>
  <c r="P215" i="19"/>
  <c r="R198" i="19"/>
  <c r="R194" i="19"/>
  <c r="R119" i="19"/>
  <c r="R128" i="19" s="1"/>
  <c r="R129" i="19" s="1"/>
  <c r="R48" i="19"/>
  <c r="R139" i="19"/>
  <c r="R138" i="19" s="1"/>
  <c r="R147" i="19" s="1"/>
  <c r="P298" i="19" s="1"/>
  <c r="N255" i="19"/>
  <c r="O247" i="19" s="1"/>
  <c r="P255" i="19"/>
  <c r="Q246" i="19" s="1"/>
  <c r="P67" i="19"/>
  <c r="P97" i="19"/>
  <c r="P100" i="19" s="1"/>
  <c r="P129" i="19" s="1"/>
  <c r="P228" i="19"/>
  <c r="Q258" i="19"/>
  <c r="Q259" i="19"/>
  <c r="Q260" i="19"/>
  <c r="Q261" i="19"/>
  <c r="Q262" i="19"/>
  <c r="Q263" i="19"/>
  <c r="Q264" i="19"/>
  <c r="O267" i="19" l="1"/>
  <c r="Q251" i="19"/>
  <c r="Q247" i="19"/>
  <c r="Q253" i="19"/>
  <c r="Q249" i="19"/>
  <c r="P296" i="19"/>
  <c r="R182" i="19"/>
  <c r="O252" i="19"/>
  <c r="O250" i="19"/>
  <c r="O248" i="19"/>
  <c r="O246" i="19"/>
  <c r="Q267" i="19"/>
  <c r="Q252" i="19"/>
  <c r="Q250" i="19"/>
  <c r="Q248" i="19"/>
  <c r="O253" i="19"/>
  <c r="O251" i="19"/>
  <c r="O249" i="19"/>
  <c r="Q255" i="19" l="1"/>
  <c r="O255" i="19"/>
  <c r="R118" i="18"/>
  <c r="R104" i="18"/>
  <c r="R89" i="18"/>
  <c r="R88" i="18"/>
  <c r="P64" i="18"/>
  <c r="L41" i="18"/>
  <c r="J41" i="18"/>
  <c r="H41" i="18"/>
  <c r="F41" i="18"/>
  <c r="Q291" i="18" l="1"/>
  <c r="P291" i="18"/>
  <c r="O291" i="18"/>
  <c r="N291" i="18"/>
  <c r="O228" i="18" s="1"/>
  <c r="Q279" i="18"/>
  <c r="P279" i="18"/>
  <c r="P227" i="18" s="1"/>
  <c r="O279" i="18"/>
  <c r="N279" i="18"/>
  <c r="O227" i="18" s="1"/>
  <c r="P267" i="18"/>
  <c r="Q264" i="18" s="1"/>
  <c r="N267" i="18"/>
  <c r="O265" i="18" s="1"/>
  <c r="Q265" i="18"/>
  <c r="Q263" i="18"/>
  <c r="Q261" i="18"/>
  <c r="Q259" i="18"/>
  <c r="Q258" i="18"/>
  <c r="P253" i="18"/>
  <c r="N253" i="18"/>
  <c r="P252" i="18"/>
  <c r="N252" i="18"/>
  <c r="P251" i="18"/>
  <c r="N251" i="18"/>
  <c r="P250" i="18"/>
  <c r="N250" i="18"/>
  <c r="P249" i="18"/>
  <c r="N249" i="18"/>
  <c r="P248" i="18"/>
  <c r="N248" i="18"/>
  <c r="P247" i="18"/>
  <c r="N247" i="18"/>
  <c r="P246" i="18"/>
  <c r="N246" i="18"/>
  <c r="N255" i="18" s="1"/>
  <c r="P232" i="18"/>
  <c r="P230" i="18"/>
  <c r="P228" i="18"/>
  <c r="P210" i="18"/>
  <c r="R188" i="18"/>
  <c r="R179" i="18"/>
  <c r="R172" i="18"/>
  <c r="R166" i="18"/>
  <c r="R164" i="18"/>
  <c r="R163" i="18"/>
  <c r="R156" i="18"/>
  <c r="R158" i="18" s="1"/>
  <c r="R151" i="18"/>
  <c r="R150" i="18"/>
  <c r="B132" i="18"/>
  <c r="B205" i="18" s="1"/>
  <c r="B306" i="18" s="1"/>
  <c r="P121" i="18"/>
  <c r="P128" i="18" s="1"/>
  <c r="P111" i="18"/>
  <c r="P98" i="18"/>
  <c r="R97" i="18"/>
  <c r="R100" i="18" s="1"/>
  <c r="P85" i="18"/>
  <c r="J83" i="18"/>
  <c r="R78" i="18"/>
  <c r="R180" i="18" s="1"/>
  <c r="P294" i="18" s="1"/>
  <c r="N67" i="18"/>
  <c r="L67" i="18"/>
  <c r="J67" i="18"/>
  <c r="H67" i="18"/>
  <c r="H80" i="18" s="1"/>
  <c r="F67" i="18"/>
  <c r="F80" i="18" s="1"/>
  <c r="R65" i="18"/>
  <c r="P229" i="18"/>
  <c r="N54" i="18"/>
  <c r="N53" i="18"/>
  <c r="R47" i="18"/>
  <c r="L40" i="18"/>
  <c r="J40" i="18"/>
  <c r="H40" i="18"/>
  <c r="F40" i="18"/>
  <c r="L33" i="18"/>
  <c r="J33" i="18"/>
  <c r="H33" i="18"/>
  <c r="F33" i="18"/>
  <c r="D33" i="18"/>
  <c r="L32" i="18"/>
  <c r="J32" i="18"/>
  <c r="H32" i="18"/>
  <c r="F32" i="18"/>
  <c r="D32" i="18"/>
  <c r="R31" i="18"/>
  <c r="O186" i="18" s="1"/>
  <c r="L30" i="18"/>
  <c r="J30" i="18"/>
  <c r="H30" i="18"/>
  <c r="F30" i="18"/>
  <c r="D30" i="18"/>
  <c r="L29" i="18"/>
  <c r="J29" i="18"/>
  <c r="H29" i="18"/>
  <c r="F29" i="18"/>
  <c r="D29" i="18"/>
  <c r="P255" i="18" l="1"/>
  <c r="R165" i="18"/>
  <c r="R152" i="18"/>
  <c r="O258" i="18"/>
  <c r="O259" i="18"/>
  <c r="R32" i="18"/>
  <c r="R40" i="18" s="1"/>
  <c r="P213" i="18" s="1"/>
  <c r="P214" i="18" s="1"/>
  <c r="R48" i="18"/>
  <c r="Q260" i="18"/>
  <c r="Q262" i="18"/>
  <c r="P293" i="18"/>
  <c r="O260" i="18"/>
  <c r="O261" i="18"/>
  <c r="O262" i="18"/>
  <c r="O263" i="18"/>
  <c r="O264" i="18"/>
  <c r="N293" i="18"/>
  <c r="O247" i="18"/>
  <c r="O248" i="18"/>
  <c r="O249" i="18"/>
  <c r="O250" i="18"/>
  <c r="O251" i="18"/>
  <c r="O252" i="18"/>
  <c r="O253" i="18"/>
  <c r="P295" i="18"/>
  <c r="P215" i="18"/>
  <c r="R198" i="18"/>
  <c r="R194" i="18"/>
  <c r="R200" i="18"/>
  <c r="R196" i="18"/>
  <c r="R119" i="18"/>
  <c r="Q247" i="18"/>
  <c r="Q248" i="18"/>
  <c r="Q249" i="18"/>
  <c r="Q250" i="18"/>
  <c r="Q251" i="18"/>
  <c r="Q252" i="18"/>
  <c r="Q253" i="18"/>
  <c r="R33" i="18"/>
  <c r="P67" i="18"/>
  <c r="P87" i="18"/>
  <c r="P97" i="18" s="1"/>
  <c r="P100" i="18" s="1"/>
  <c r="P129" i="18" s="1"/>
  <c r="R139" i="18"/>
  <c r="R138" i="18" s="1"/>
  <c r="R147" i="18" s="1"/>
  <c r="P222" i="18"/>
  <c r="O246" i="18"/>
  <c r="Q246" i="18"/>
  <c r="R64" i="18"/>
  <c r="R67" i="18" s="1"/>
  <c r="R156" i="17"/>
  <c r="O255" i="18" l="1"/>
  <c r="P298" i="18"/>
  <c r="O267" i="18"/>
  <c r="Q267" i="18"/>
  <c r="R128" i="18"/>
  <c r="R129" i="18" s="1"/>
  <c r="Q255" i="18"/>
  <c r="R178" i="18"/>
  <c r="R181" i="18" s="1"/>
  <c r="R80" i="18"/>
  <c r="P296" i="18" l="1"/>
  <c r="R182" i="18"/>
  <c r="R88" i="17" l="1"/>
  <c r="R118" i="17"/>
  <c r="R104" i="17"/>
  <c r="P64" i="17" l="1"/>
  <c r="R64" i="17" s="1"/>
  <c r="L41" i="17"/>
  <c r="J41" i="17"/>
  <c r="H41" i="17"/>
  <c r="F41" i="17"/>
  <c r="P229" i="17" l="1"/>
  <c r="P87" i="17"/>
  <c r="P222" i="17"/>
  <c r="Q291" i="17"/>
  <c r="P291" i="17"/>
  <c r="P228" i="17" s="1"/>
  <c r="O291" i="17"/>
  <c r="N291" i="17"/>
  <c r="Q279" i="17"/>
  <c r="P279" i="17"/>
  <c r="P227" i="17" s="1"/>
  <c r="O279" i="17"/>
  <c r="N279" i="17"/>
  <c r="P267" i="17"/>
  <c r="Q260" i="17" s="1"/>
  <c r="N267" i="17"/>
  <c r="O260" i="17" s="1"/>
  <c r="P253" i="17"/>
  <c r="N253" i="17"/>
  <c r="P252" i="17"/>
  <c r="N252" i="17"/>
  <c r="P251" i="17"/>
  <c r="N251" i="17"/>
  <c r="P250" i="17"/>
  <c r="N250" i="17"/>
  <c r="P249" i="17"/>
  <c r="N249" i="17"/>
  <c r="P248" i="17"/>
  <c r="N248" i="17"/>
  <c r="P247" i="17"/>
  <c r="N247" i="17"/>
  <c r="P246" i="17"/>
  <c r="N246" i="17"/>
  <c r="P232" i="17"/>
  <c r="P230" i="17"/>
  <c r="O228" i="17"/>
  <c r="O227" i="17"/>
  <c r="P210" i="17"/>
  <c r="R188" i="17"/>
  <c r="R179" i="17"/>
  <c r="R172" i="17"/>
  <c r="R166" i="17"/>
  <c r="R164" i="17"/>
  <c r="R163" i="17"/>
  <c r="R165" i="17" s="1"/>
  <c r="R151" i="17"/>
  <c r="R150" i="17"/>
  <c r="B132" i="17"/>
  <c r="B205" i="17" s="1"/>
  <c r="B306" i="17" s="1"/>
  <c r="P121" i="17"/>
  <c r="P128" i="17" s="1"/>
  <c r="P111" i="17"/>
  <c r="P98" i="17"/>
  <c r="R97" i="17"/>
  <c r="R100" i="17" s="1"/>
  <c r="P85" i="17"/>
  <c r="P97" i="17" s="1"/>
  <c r="J83" i="17"/>
  <c r="R78" i="17"/>
  <c r="R180" i="17" s="1"/>
  <c r="P294" i="17" s="1"/>
  <c r="P67" i="17"/>
  <c r="L67" i="17"/>
  <c r="J67" i="17"/>
  <c r="H67" i="17"/>
  <c r="H80" i="17" s="1"/>
  <c r="F67" i="17"/>
  <c r="F80" i="17" s="1"/>
  <c r="R65" i="17"/>
  <c r="N67" i="17"/>
  <c r="N54" i="17"/>
  <c r="N53" i="17"/>
  <c r="R47" i="17"/>
  <c r="L40" i="17"/>
  <c r="J40" i="17"/>
  <c r="H40" i="17"/>
  <c r="F40" i="17"/>
  <c r="L33" i="17"/>
  <c r="J33" i="17"/>
  <c r="H33" i="17"/>
  <c r="F33" i="17"/>
  <c r="D33" i="17"/>
  <c r="L32" i="17"/>
  <c r="J32" i="17"/>
  <c r="H32" i="17"/>
  <c r="F32" i="17"/>
  <c r="D32" i="17"/>
  <c r="R31" i="17"/>
  <c r="O186" i="17" s="1"/>
  <c r="L30" i="17"/>
  <c r="J30" i="17"/>
  <c r="H30" i="17"/>
  <c r="F30" i="17"/>
  <c r="D30" i="17"/>
  <c r="L29" i="17"/>
  <c r="J29" i="17"/>
  <c r="H29" i="17"/>
  <c r="F29" i="17"/>
  <c r="D29" i="17"/>
  <c r="N255" i="17" l="1"/>
  <c r="R32" i="17"/>
  <c r="R40" i="17" s="1"/>
  <c r="P213" i="17" s="1"/>
  <c r="P214" i="17" s="1"/>
  <c r="Q258" i="17"/>
  <c r="Q262" i="17"/>
  <c r="Q261" i="17"/>
  <c r="P255" i="17"/>
  <c r="Q252" i="17" s="1"/>
  <c r="Q259" i="17"/>
  <c r="Q264" i="17"/>
  <c r="O258" i="17"/>
  <c r="O262" i="17"/>
  <c r="O264" i="17"/>
  <c r="P293" i="17"/>
  <c r="O259" i="17"/>
  <c r="O261" i="17"/>
  <c r="O263" i="17"/>
  <c r="O265" i="17"/>
  <c r="R152" i="17"/>
  <c r="Q263" i="17"/>
  <c r="Q265" i="17"/>
  <c r="P100" i="17"/>
  <c r="P129" i="17" s="1"/>
  <c r="R139" i="17"/>
  <c r="R138" i="17" s="1"/>
  <c r="R147" i="17" s="1"/>
  <c r="R33" i="17"/>
  <c r="N293" i="17"/>
  <c r="R200" i="17"/>
  <c r="R196" i="17"/>
  <c r="R119" i="17"/>
  <c r="R128" i="17" s="1"/>
  <c r="R129" i="17" s="1"/>
  <c r="P215" i="17"/>
  <c r="R198" i="17"/>
  <c r="R194" i="17"/>
  <c r="O253" i="17"/>
  <c r="O252" i="17"/>
  <c r="O251" i="17"/>
  <c r="O250" i="17"/>
  <c r="O249" i="17"/>
  <c r="O248" i="17"/>
  <c r="O247" i="17"/>
  <c r="O246" i="17"/>
  <c r="Q253" i="17"/>
  <c r="Q251" i="17"/>
  <c r="Q250" i="17"/>
  <c r="Q247" i="17"/>
  <c r="Q246" i="17"/>
  <c r="P295" i="17"/>
  <c r="R48" i="17"/>
  <c r="R67" i="17"/>
  <c r="Q249" i="17" l="1"/>
  <c r="P298" i="17"/>
  <c r="Q248" i="17"/>
  <c r="Q255" i="17" s="1"/>
  <c r="Q267" i="17"/>
  <c r="O267" i="17"/>
  <c r="O255" i="17"/>
  <c r="R80" i="17"/>
  <c r="R178" i="17"/>
  <c r="R181" i="17" s="1"/>
  <c r="R118" i="16"/>
  <c r="R104" i="16"/>
  <c r="R88" i="16"/>
  <c r="R97" i="16" s="1"/>
  <c r="R100" i="16" s="1"/>
  <c r="P87" i="16"/>
  <c r="N64" i="16"/>
  <c r="L41" i="16"/>
  <c r="J41" i="16"/>
  <c r="H41" i="16"/>
  <c r="F41" i="16"/>
  <c r="P296" i="17" l="1"/>
  <c r="R182" i="17"/>
  <c r="Q291" i="16"/>
  <c r="P291" i="16"/>
  <c r="P228" i="16" s="1"/>
  <c r="O291" i="16"/>
  <c r="N291" i="16"/>
  <c r="Q279" i="16"/>
  <c r="P279" i="16"/>
  <c r="P227" i="16" s="1"/>
  <c r="O279" i="16"/>
  <c r="N279" i="16"/>
  <c r="O227" i="16" s="1"/>
  <c r="P267" i="16"/>
  <c r="Q264" i="16" s="1"/>
  <c r="N267" i="16"/>
  <c r="O265" i="16" s="1"/>
  <c r="Q260" i="16"/>
  <c r="Q259" i="16"/>
  <c r="P253" i="16"/>
  <c r="N253" i="16"/>
  <c r="P252" i="16"/>
  <c r="N252" i="16"/>
  <c r="P251" i="16"/>
  <c r="N251" i="16"/>
  <c r="P250" i="16"/>
  <c r="N250" i="16"/>
  <c r="P249" i="16"/>
  <c r="N249" i="16"/>
  <c r="P248" i="16"/>
  <c r="N248" i="16"/>
  <c r="P247" i="16"/>
  <c r="N247" i="16"/>
  <c r="P246" i="16"/>
  <c r="N246" i="16"/>
  <c r="P232" i="16"/>
  <c r="P230" i="16"/>
  <c r="O228" i="16"/>
  <c r="P222" i="16"/>
  <c r="P210" i="16"/>
  <c r="R188" i="16"/>
  <c r="R179" i="16"/>
  <c r="R172" i="16"/>
  <c r="R166" i="16"/>
  <c r="R164" i="16"/>
  <c r="R163" i="16"/>
  <c r="R156" i="16"/>
  <c r="R151" i="16"/>
  <c r="R150" i="16"/>
  <c r="B132" i="16"/>
  <c r="B205" i="16" s="1"/>
  <c r="B306" i="16" s="1"/>
  <c r="P121" i="16"/>
  <c r="P128" i="16" s="1"/>
  <c r="P111" i="16"/>
  <c r="P98" i="16"/>
  <c r="P85" i="16"/>
  <c r="P86" i="16" s="1"/>
  <c r="J83" i="16"/>
  <c r="R78" i="16"/>
  <c r="R180" i="16" s="1"/>
  <c r="P294" i="16" s="1"/>
  <c r="P67" i="16"/>
  <c r="L67" i="16"/>
  <c r="J67" i="16"/>
  <c r="H67" i="16"/>
  <c r="H80" i="16" s="1"/>
  <c r="F67" i="16"/>
  <c r="F80" i="16" s="1"/>
  <c r="R65" i="16"/>
  <c r="N67" i="16"/>
  <c r="N54" i="16"/>
  <c r="N53" i="16"/>
  <c r="R47" i="16"/>
  <c r="L40" i="16"/>
  <c r="J40" i="16"/>
  <c r="H40" i="16"/>
  <c r="F40" i="16"/>
  <c r="L33" i="16"/>
  <c r="J33" i="16"/>
  <c r="H33" i="16"/>
  <c r="F33" i="16"/>
  <c r="D33" i="16"/>
  <c r="L32" i="16"/>
  <c r="J32" i="16"/>
  <c r="H32" i="16"/>
  <c r="F32" i="16"/>
  <c r="D32" i="16"/>
  <c r="R31" i="16"/>
  <c r="O186" i="16" s="1"/>
  <c r="L30" i="16"/>
  <c r="J30" i="16"/>
  <c r="H30" i="16"/>
  <c r="F30" i="16"/>
  <c r="D30" i="16"/>
  <c r="L29" i="16"/>
  <c r="J29" i="16"/>
  <c r="H29" i="16"/>
  <c r="F29" i="16"/>
  <c r="D29" i="16"/>
  <c r="Q262" i="16" l="1"/>
  <c r="N255" i="16"/>
  <c r="Q258" i="16"/>
  <c r="Q263" i="16"/>
  <c r="O260" i="16"/>
  <c r="O264" i="16"/>
  <c r="Q261" i="16"/>
  <c r="R165" i="16"/>
  <c r="O258" i="16"/>
  <c r="O262" i="16"/>
  <c r="P293" i="16"/>
  <c r="P295" i="16" s="1"/>
  <c r="O259" i="16"/>
  <c r="O261" i="16"/>
  <c r="O263" i="16"/>
  <c r="R152" i="16"/>
  <c r="Q265" i="16"/>
  <c r="Q267" i="16" s="1"/>
  <c r="P255" i="16"/>
  <c r="Q253" i="16" s="1"/>
  <c r="R32" i="16"/>
  <c r="R40" i="16" s="1"/>
  <c r="P213" i="16" s="1"/>
  <c r="P214" i="16" s="1"/>
  <c r="P97" i="16"/>
  <c r="P100" i="16" s="1"/>
  <c r="P129" i="16" s="1"/>
  <c r="R139" i="16"/>
  <c r="R33" i="16"/>
  <c r="N293" i="16"/>
  <c r="R200" i="16"/>
  <c r="R196" i="16"/>
  <c r="R119" i="16"/>
  <c r="R128" i="16" s="1"/>
  <c r="R129" i="16" s="1"/>
  <c r="P215" i="16"/>
  <c r="R198" i="16"/>
  <c r="R194" i="16"/>
  <c r="O253" i="16"/>
  <c r="O252" i="16"/>
  <c r="O251" i="16"/>
  <c r="O250" i="16"/>
  <c r="O249" i="16"/>
  <c r="O248" i="16"/>
  <c r="O247" i="16"/>
  <c r="O246" i="16"/>
  <c r="Q250" i="16"/>
  <c r="R48" i="16"/>
  <c r="R64" i="16"/>
  <c r="R67" i="16" s="1"/>
  <c r="Q246" i="16" l="1"/>
  <c r="O267" i="16"/>
  <c r="Q247" i="16"/>
  <c r="Q251" i="16"/>
  <c r="Q252" i="16"/>
  <c r="Q248" i="16"/>
  <c r="Q249" i="16"/>
  <c r="O255" i="16"/>
  <c r="R138" i="16"/>
  <c r="R147" i="16" s="1"/>
  <c r="P298" i="16" s="1"/>
  <c r="R80" i="16"/>
  <c r="R178" i="16"/>
  <c r="R181" i="16" s="1"/>
  <c r="R118" i="15"/>
  <c r="R104" i="15"/>
  <c r="R88" i="15"/>
  <c r="N64" i="15"/>
  <c r="L41" i="15"/>
  <c r="J41" i="15"/>
  <c r="H41" i="15"/>
  <c r="F41" i="15"/>
  <c r="Q255" i="16" l="1"/>
  <c r="P296" i="16"/>
  <c r="R182" i="16"/>
  <c r="Q291" i="15"/>
  <c r="P291" i="15"/>
  <c r="P228" i="15" s="1"/>
  <c r="O291" i="15"/>
  <c r="N291" i="15"/>
  <c r="O228" i="15" s="1"/>
  <c r="Q279" i="15"/>
  <c r="P279" i="15"/>
  <c r="P227" i="15" s="1"/>
  <c r="O279" i="15"/>
  <c r="N279" i="15"/>
  <c r="P267" i="15"/>
  <c r="Q265" i="15" s="1"/>
  <c r="N267" i="15"/>
  <c r="O260" i="15" s="1"/>
  <c r="P253" i="15"/>
  <c r="N253" i="15"/>
  <c r="P252" i="15"/>
  <c r="N252" i="15"/>
  <c r="P251" i="15"/>
  <c r="N251" i="15"/>
  <c r="P250" i="15"/>
  <c r="N250" i="15"/>
  <c r="P249" i="15"/>
  <c r="N249" i="15"/>
  <c r="P248" i="15"/>
  <c r="N248" i="15"/>
  <c r="P247" i="15"/>
  <c r="N247" i="15"/>
  <c r="P246" i="15"/>
  <c r="N246" i="15"/>
  <c r="P232" i="15"/>
  <c r="P230" i="15"/>
  <c r="O227" i="15"/>
  <c r="P210" i="15"/>
  <c r="R188" i="15"/>
  <c r="R179" i="15"/>
  <c r="R172" i="15"/>
  <c r="R166" i="15"/>
  <c r="R164" i="15"/>
  <c r="R163" i="15"/>
  <c r="R156" i="15"/>
  <c r="R151" i="15"/>
  <c r="R150" i="15"/>
  <c r="B132" i="15"/>
  <c r="B205" i="15" s="1"/>
  <c r="B306" i="15" s="1"/>
  <c r="P121" i="15"/>
  <c r="P128" i="15" s="1"/>
  <c r="P111" i="15"/>
  <c r="P98" i="15"/>
  <c r="R97" i="15"/>
  <c r="R100" i="15" s="1"/>
  <c r="P85" i="15"/>
  <c r="P86" i="15" s="1"/>
  <c r="J83" i="15"/>
  <c r="R78" i="15"/>
  <c r="R180" i="15" s="1"/>
  <c r="P294" i="15" s="1"/>
  <c r="P67" i="15"/>
  <c r="N67" i="15"/>
  <c r="J67" i="15"/>
  <c r="H67" i="15"/>
  <c r="H80" i="15" s="1"/>
  <c r="F67" i="15"/>
  <c r="F80" i="15" s="1"/>
  <c r="R65" i="15"/>
  <c r="P222" i="15"/>
  <c r="N54" i="15"/>
  <c r="N53" i="15"/>
  <c r="R47" i="15"/>
  <c r="L40" i="15"/>
  <c r="J40" i="15"/>
  <c r="H40" i="15"/>
  <c r="F40" i="15"/>
  <c r="L33" i="15"/>
  <c r="J33" i="15"/>
  <c r="H33" i="15"/>
  <c r="F33" i="15"/>
  <c r="D33" i="15"/>
  <c r="L32" i="15"/>
  <c r="J32" i="15"/>
  <c r="H32" i="15"/>
  <c r="F32" i="15"/>
  <c r="D32" i="15"/>
  <c r="R31" i="15"/>
  <c r="O186" i="15" s="1"/>
  <c r="L30" i="15"/>
  <c r="J30" i="15"/>
  <c r="H30" i="15"/>
  <c r="F30" i="15"/>
  <c r="D30" i="15"/>
  <c r="L29" i="15"/>
  <c r="J29" i="15"/>
  <c r="H29" i="15"/>
  <c r="F29" i="15"/>
  <c r="D29" i="15"/>
  <c r="Q261" i="15" l="1"/>
  <c r="Q258" i="15"/>
  <c r="Q262" i="15"/>
  <c r="P255" i="15"/>
  <c r="Q253" i="15" s="1"/>
  <c r="Q259" i="15"/>
  <c r="Q264" i="15"/>
  <c r="Q260" i="15"/>
  <c r="O258" i="15"/>
  <c r="O267" i="15" s="1"/>
  <c r="O262" i="15"/>
  <c r="O264" i="15"/>
  <c r="R33" i="15"/>
  <c r="O259" i="15"/>
  <c r="O261" i="15"/>
  <c r="O263" i="15"/>
  <c r="O265" i="15"/>
  <c r="Q263" i="15"/>
  <c r="N255" i="15"/>
  <c r="O253" i="15" s="1"/>
  <c r="R32" i="15"/>
  <c r="R152" i="15"/>
  <c r="P293" i="15"/>
  <c r="P295" i="15" s="1"/>
  <c r="N293" i="15"/>
  <c r="R40" i="15"/>
  <c r="P213" i="15" s="1"/>
  <c r="P214" i="15" s="1"/>
  <c r="R139" i="15"/>
  <c r="R138" i="15" s="1"/>
  <c r="R147" i="15" s="1"/>
  <c r="P298" i="15" s="1"/>
  <c r="R165" i="15"/>
  <c r="O250" i="15"/>
  <c r="O246" i="15"/>
  <c r="R200" i="15"/>
  <c r="R196" i="15"/>
  <c r="R119" i="15"/>
  <c r="R128" i="15" s="1"/>
  <c r="R129" i="15" s="1"/>
  <c r="P215" i="15"/>
  <c r="R198" i="15"/>
  <c r="R194" i="15"/>
  <c r="Q250" i="15"/>
  <c r="Q246" i="15"/>
  <c r="L67" i="15"/>
  <c r="R48" i="15"/>
  <c r="R64" i="15"/>
  <c r="R67" i="15" s="1"/>
  <c r="P87" i="15"/>
  <c r="P97" i="15" s="1"/>
  <c r="P100" i="15" s="1"/>
  <c r="P129" i="15" s="1"/>
  <c r="Q251" i="15" l="1"/>
  <c r="Q247" i="15"/>
  <c r="Q248" i="15"/>
  <c r="Q252" i="15"/>
  <c r="Q255" i="15" s="1"/>
  <c r="Q249" i="15"/>
  <c r="O247" i="15"/>
  <c r="O251" i="15"/>
  <c r="Q267" i="15"/>
  <c r="O252" i="15"/>
  <c r="O248" i="15"/>
  <c r="O249" i="15"/>
  <c r="R80" i="15"/>
  <c r="R178" i="15"/>
  <c r="R181" i="15" s="1"/>
  <c r="F29" i="14"/>
  <c r="O255" i="15" l="1"/>
  <c r="P296" i="15"/>
  <c r="R182" i="15"/>
  <c r="R118" i="14"/>
  <c r="R104" i="14"/>
  <c r="R88" i="14"/>
  <c r="L64" i="14"/>
  <c r="L41" i="14"/>
  <c r="J41" i="14"/>
  <c r="H41" i="14"/>
  <c r="F41" i="14"/>
  <c r="Q291" i="14" l="1"/>
  <c r="P291" i="14"/>
  <c r="P228" i="14" s="1"/>
  <c r="O291" i="14"/>
  <c r="N291" i="14"/>
  <c r="O228" i="14" s="1"/>
  <c r="Q279" i="14"/>
  <c r="P279" i="14"/>
  <c r="O279" i="14"/>
  <c r="N279" i="14"/>
  <c r="O227" i="14" s="1"/>
  <c r="P267" i="14"/>
  <c r="N267" i="14"/>
  <c r="O265" i="14" s="1"/>
  <c r="O260" i="14"/>
  <c r="O258" i="14"/>
  <c r="P253" i="14"/>
  <c r="N253" i="14"/>
  <c r="P252" i="14"/>
  <c r="N252" i="14"/>
  <c r="P251" i="14"/>
  <c r="N251" i="14"/>
  <c r="P250" i="14"/>
  <c r="N250" i="14"/>
  <c r="P249" i="14"/>
  <c r="N249" i="14"/>
  <c r="P248" i="14"/>
  <c r="N248" i="14"/>
  <c r="P247" i="14"/>
  <c r="N247" i="14"/>
  <c r="P246" i="14"/>
  <c r="N246" i="14"/>
  <c r="P232" i="14"/>
  <c r="P230" i="14"/>
  <c r="P227" i="14"/>
  <c r="P210" i="14"/>
  <c r="R188" i="14"/>
  <c r="R179" i="14"/>
  <c r="R172" i="14"/>
  <c r="R166" i="14"/>
  <c r="R164" i="14"/>
  <c r="R163" i="14"/>
  <c r="R156" i="14"/>
  <c r="R151" i="14"/>
  <c r="R150" i="14"/>
  <c r="B132" i="14"/>
  <c r="B205" i="14" s="1"/>
  <c r="B307" i="14" s="1"/>
  <c r="P121" i="14"/>
  <c r="P128" i="14" s="1"/>
  <c r="P111" i="14"/>
  <c r="P98" i="14"/>
  <c r="R97" i="14"/>
  <c r="R100" i="14" s="1"/>
  <c r="P85" i="14"/>
  <c r="J83" i="14"/>
  <c r="R78" i="14"/>
  <c r="R180" i="14" s="1"/>
  <c r="P294" i="14" s="1"/>
  <c r="P67" i="14"/>
  <c r="N67" i="14"/>
  <c r="J67" i="14"/>
  <c r="H67" i="14"/>
  <c r="H80" i="14" s="1"/>
  <c r="F67" i="14"/>
  <c r="F80" i="14" s="1"/>
  <c r="R65" i="14"/>
  <c r="P222" i="14"/>
  <c r="N54" i="14"/>
  <c r="N53" i="14"/>
  <c r="R47" i="14"/>
  <c r="L40" i="14"/>
  <c r="J40" i="14"/>
  <c r="H40" i="14"/>
  <c r="F40" i="14"/>
  <c r="L33" i="14"/>
  <c r="J33" i="14"/>
  <c r="H33" i="14"/>
  <c r="F33" i="14"/>
  <c r="D33" i="14"/>
  <c r="L32" i="14"/>
  <c r="J32" i="14"/>
  <c r="H32" i="14"/>
  <c r="F32" i="14"/>
  <c r="D32" i="14"/>
  <c r="R31" i="14"/>
  <c r="O186" i="14" s="1"/>
  <c r="L30" i="14"/>
  <c r="J30" i="14"/>
  <c r="H30" i="14"/>
  <c r="F30" i="14"/>
  <c r="D30" i="14"/>
  <c r="L29" i="14"/>
  <c r="J29" i="14"/>
  <c r="H29" i="14"/>
  <c r="D29" i="14"/>
  <c r="N255" i="14" l="1"/>
  <c r="R152" i="14"/>
  <c r="P215" i="14"/>
  <c r="R165" i="14"/>
  <c r="O259" i="14"/>
  <c r="O261" i="14"/>
  <c r="O262" i="14"/>
  <c r="O267" i="14" s="1"/>
  <c r="P255" i="14"/>
  <c r="Q248" i="14" s="1"/>
  <c r="O263" i="14"/>
  <c r="R32" i="14"/>
  <c r="R40" i="14" s="1"/>
  <c r="P213" i="14" s="1"/>
  <c r="P214" i="14" s="1"/>
  <c r="O264" i="14"/>
  <c r="Q264" i="14"/>
  <c r="P293" i="14"/>
  <c r="P295" i="14" s="1"/>
  <c r="Q259" i="14"/>
  <c r="Q265" i="14"/>
  <c r="Q258" i="14"/>
  <c r="R139" i="14"/>
  <c r="R138" i="14" s="1"/>
  <c r="R147" i="14" s="1"/>
  <c r="Q260" i="14"/>
  <c r="Q261" i="14"/>
  <c r="Q262" i="14"/>
  <c r="Q263" i="14"/>
  <c r="N293" i="14"/>
  <c r="R200" i="14"/>
  <c r="R196" i="14"/>
  <c r="R119" i="14"/>
  <c r="R128" i="14" s="1"/>
  <c r="R129" i="14" s="1"/>
  <c r="R198" i="14"/>
  <c r="R194" i="14"/>
  <c r="O247" i="14"/>
  <c r="O248" i="14"/>
  <c r="O249" i="14"/>
  <c r="O250" i="14"/>
  <c r="O251" i="14"/>
  <c r="O252" i="14"/>
  <c r="O253" i="14"/>
  <c r="Q247" i="14"/>
  <c r="R48" i="14"/>
  <c r="L67" i="14"/>
  <c r="P86" i="14"/>
  <c r="O246" i="14"/>
  <c r="R33" i="14"/>
  <c r="R64" i="14"/>
  <c r="R67" i="14" s="1"/>
  <c r="P87" i="14"/>
  <c r="R118" i="13"/>
  <c r="R104" i="13"/>
  <c r="R88" i="13"/>
  <c r="L64" i="13"/>
  <c r="N64" i="13"/>
  <c r="L41" i="13"/>
  <c r="J41" i="13"/>
  <c r="H41" i="13"/>
  <c r="F41" i="13"/>
  <c r="Q253" i="14" l="1"/>
  <c r="Q251" i="14"/>
  <c r="Q249" i="14"/>
  <c r="Q246" i="14"/>
  <c r="Q255" i="14" s="1"/>
  <c r="Q252" i="14"/>
  <c r="Q250" i="14"/>
  <c r="Q267" i="14"/>
  <c r="O255" i="14"/>
  <c r="P97" i="14"/>
  <c r="P100" i="14" s="1"/>
  <c r="P129" i="14" s="1"/>
  <c r="P298" i="14"/>
  <c r="R80" i="14"/>
  <c r="R178" i="14"/>
  <c r="R181" i="14" s="1"/>
  <c r="Q291" i="13"/>
  <c r="P291" i="13"/>
  <c r="P228" i="13" s="1"/>
  <c r="O291" i="13"/>
  <c r="N291" i="13"/>
  <c r="O228" i="13" s="1"/>
  <c r="Q279" i="13"/>
  <c r="P279" i="13"/>
  <c r="O279" i="13"/>
  <c r="N279" i="13"/>
  <c r="O227" i="13" s="1"/>
  <c r="P267" i="13"/>
  <c r="Q265" i="13" s="1"/>
  <c r="N267" i="13"/>
  <c r="O265" i="13" s="1"/>
  <c r="O262" i="13"/>
  <c r="O260" i="13"/>
  <c r="P253" i="13"/>
  <c r="N253" i="13"/>
  <c r="P252" i="13"/>
  <c r="N252" i="13"/>
  <c r="P251" i="13"/>
  <c r="N251" i="13"/>
  <c r="P250" i="13"/>
  <c r="N250" i="13"/>
  <c r="P249" i="13"/>
  <c r="N249" i="13"/>
  <c r="P248" i="13"/>
  <c r="N248" i="13"/>
  <c r="P247" i="13"/>
  <c r="N247" i="13"/>
  <c r="P246" i="13"/>
  <c r="N246" i="13"/>
  <c r="P232" i="13"/>
  <c r="P230" i="13"/>
  <c r="P227" i="13"/>
  <c r="P210" i="13"/>
  <c r="R188" i="13"/>
  <c r="R179" i="13"/>
  <c r="R172" i="13"/>
  <c r="R166" i="13"/>
  <c r="R164" i="13"/>
  <c r="R163" i="13"/>
  <c r="R156" i="13"/>
  <c r="R151" i="13"/>
  <c r="R150" i="13"/>
  <c r="R152" i="13" s="1"/>
  <c r="B132" i="13"/>
  <c r="B205" i="13" s="1"/>
  <c r="B307" i="13" s="1"/>
  <c r="P121" i="13"/>
  <c r="P128" i="13" s="1"/>
  <c r="P111" i="13"/>
  <c r="P98" i="13"/>
  <c r="R97" i="13"/>
  <c r="R100" i="13" s="1"/>
  <c r="P85" i="13"/>
  <c r="P86" i="13" s="1"/>
  <c r="J83" i="13"/>
  <c r="R78" i="13"/>
  <c r="R180" i="13" s="1"/>
  <c r="P294" i="13" s="1"/>
  <c r="P67" i="13"/>
  <c r="N67" i="13"/>
  <c r="J67" i="13"/>
  <c r="H67" i="13"/>
  <c r="H80" i="13" s="1"/>
  <c r="F67" i="13"/>
  <c r="F80" i="13" s="1"/>
  <c r="R65" i="13"/>
  <c r="L67" i="13"/>
  <c r="N54" i="13"/>
  <c r="N53" i="13"/>
  <c r="R47" i="13"/>
  <c r="L40" i="13"/>
  <c r="J40" i="13"/>
  <c r="H40" i="13"/>
  <c r="F40" i="13"/>
  <c r="L33" i="13"/>
  <c r="J33" i="13"/>
  <c r="H33" i="13"/>
  <c r="F33" i="13"/>
  <c r="D33" i="13"/>
  <c r="L32" i="13"/>
  <c r="J32" i="13"/>
  <c r="H32" i="13"/>
  <c r="F32" i="13"/>
  <c r="D32" i="13"/>
  <c r="R31" i="13"/>
  <c r="O186" i="13" s="1"/>
  <c r="L30" i="13"/>
  <c r="J30" i="13"/>
  <c r="H30" i="13"/>
  <c r="F30" i="13"/>
  <c r="D30" i="13"/>
  <c r="L29" i="13"/>
  <c r="J29" i="13"/>
  <c r="H29" i="13"/>
  <c r="F29" i="13"/>
  <c r="D29" i="13"/>
  <c r="O258" i="13" l="1"/>
  <c r="P215" i="13"/>
  <c r="O259" i="13"/>
  <c r="O261" i="13"/>
  <c r="O263" i="13"/>
  <c r="O264" i="13"/>
  <c r="P296" i="14"/>
  <c r="R182" i="14"/>
  <c r="R165" i="13"/>
  <c r="R32" i="13"/>
  <c r="R40" i="13" s="1"/>
  <c r="P213" i="13" s="1"/>
  <c r="P214" i="13" s="1"/>
  <c r="P293" i="13"/>
  <c r="P295" i="13" s="1"/>
  <c r="R139" i="13"/>
  <c r="R138" i="13" s="1"/>
  <c r="R147" i="13" s="1"/>
  <c r="R33" i="13"/>
  <c r="R198" i="13"/>
  <c r="R194" i="13"/>
  <c r="R200" i="13"/>
  <c r="R196" i="13"/>
  <c r="R119" i="13"/>
  <c r="R128" i="13" s="1"/>
  <c r="R129" i="13" s="1"/>
  <c r="R48" i="13"/>
  <c r="R64" i="13"/>
  <c r="R67" i="13" s="1"/>
  <c r="P87" i="13"/>
  <c r="P97" i="13" s="1"/>
  <c r="P100" i="13" s="1"/>
  <c r="P129" i="13" s="1"/>
  <c r="P222" i="13"/>
  <c r="N255" i="13"/>
  <c r="O246" i="13" s="1"/>
  <c r="P255" i="13"/>
  <c r="Q246" i="13" s="1"/>
  <c r="N293" i="13"/>
  <c r="Q258" i="13"/>
  <c r="Q259" i="13"/>
  <c r="Q260" i="13"/>
  <c r="Q261" i="13"/>
  <c r="Q262" i="13"/>
  <c r="Q263" i="13"/>
  <c r="Q264" i="13"/>
  <c r="O267" i="13" l="1"/>
  <c r="P298" i="13"/>
  <c r="O253" i="13"/>
  <c r="O249" i="13"/>
  <c r="O251" i="13"/>
  <c r="O247" i="13"/>
  <c r="Q253" i="13"/>
  <c r="Q251" i="13"/>
  <c r="Q249" i="13"/>
  <c r="Q247" i="13"/>
  <c r="Q267" i="13"/>
  <c r="R178" i="13"/>
  <c r="R181" i="13" s="1"/>
  <c r="R80" i="13"/>
  <c r="Q252" i="13"/>
  <c r="Q250" i="13"/>
  <c r="Q248" i="13"/>
  <c r="O252" i="13"/>
  <c r="O250" i="13"/>
  <c r="O248" i="13"/>
  <c r="R156" i="12"/>
  <c r="R47" i="12"/>
  <c r="Q255" i="13" l="1"/>
  <c r="O255" i="13"/>
  <c r="R182" i="13"/>
  <c r="P296" i="13"/>
  <c r="R118" i="12"/>
  <c r="R104" i="12"/>
  <c r="R88" i="12"/>
  <c r="L64" i="12"/>
  <c r="R64" i="12" s="1"/>
  <c r="N64" i="12"/>
  <c r="N53" i="12"/>
  <c r="L29" i="12"/>
  <c r="J29" i="12"/>
  <c r="H29" i="12"/>
  <c r="F29" i="12"/>
  <c r="D29" i="12"/>
  <c r="D30" i="12"/>
  <c r="L32" i="12"/>
  <c r="J32" i="12"/>
  <c r="H32" i="12"/>
  <c r="F32" i="12"/>
  <c r="D32" i="12"/>
  <c r="D33" i="12"/>
  <c r="L41" i="12"/>
  <c r="J41" i="12"/>
  <c r="H41" i="12"/>
  <c r="F41" i="12"/>
  <c r="P87" i="12" l="1"/>
  <c r="Q291" i="12" l="1"/>
  <c r="P291" i="12"/>
  <c r="P228" i="12" s="1"/>
  <c r="O291" i="12"/>
  <c r="N291" i="12"/>
  <c r="O228" i="12" s="1"/>
  <c r="Q279" i="12"/>
  <c r="P279" i="12"/>
  <c r="P227" i="12" s="1"/>
  <c r="O279" i="12"/>
  <c r="N279" i="12"/>
  <c r="O227" i="12" s="1"/>
  <c r="P267" i="12"/>
  <c r="N267" i="12"/>
  <c r="O265" i="12" s="1"/>
  <c r="P253" i="12"/>
  <c r="N253" i="12"/>
  <c r="P252" i="12"/>
  <c r="N252" i="12"/>
  <c r="P251" i="12"/>
  <c r="N251" i="12"/>
  <c r="P250" i="12"/>
  <c r="N250" i="12"/>
  <c r="P249" i="12"/>
  <c r="N249" i="12"/>
  <c r="P248" i="12"/>
  <c r="N248" i="12"/>
  <c r="P247" i="12"/>
  <c r="N247" i="12"/>
  <c r="P246" i="12"/>
  <c r="N246" i="12"/>
  <c r="P232" i="12"/>
  <c r="P230" i="12"/>
  <c r="R188" i="12"/>
  <c r="R179" i="12"/>
  <c r="R172" i="12"/>
  <c r="R166" i="12"/>
  <c r="R164" i="12"/>
  <c r="R163" i="12"/>
  <c r="R151" i="12"/>
  <c r="R150" i="12"/>
  <c r="B132" i="12"/>
  <c r="B205" i="12" s="1"/>
  <c r="B307" i="12" s="1"/>
  <c r="P121" i="12"/>
  <c r="P111" i="12"/>
  <c r="P98" i="12"/>
  <c r="R97" i="12"/>
  <c r="R100" i="12" s="1"/>
  <c r="P85" i="12"/>
  <c r="J83" i="12"/>
  <c r="R78" i="12"/>
  <c r="R180" i="12" s="1"/>
  <c r="P294" i="12" s="1"/>
  <c r="P67" i="12"/>
  <c r="N67" i="12"/>
  <c r="J67" i="12"/>
  <c r="H67" i="12"/>
  <c r="H80" i="12" s="1"/>
  <c r="F67" i="12"/>
  <c r="F80" i="12" s="1"/>
  <c r="R65" i="12"/>
  <c r="R67" i="12" s="1"/>
  <c r="P222" i="12"/>
  <c r="N54" i="12"/>
  <c r="L40" i="12"/>
  <c r="J40" i="12"/>
  <c r="H40" i="12"/>
  <c r="F40" i="12"/>
  <c r="L33" i="12"/>
  <c r="J33" i="12"/>
  <c r="H33" i="12"/>
  <c r="F33" i="12"/>
  <c r="R32" i="12"/>
  <c r="R31" i="12"/>
  <c r="O186" i="12" s="1"/>
  <c r="L30" i="12"/>
  <c r="J30" i="12"/>
  <c r="H30" i="12"/>
  <c r="F30" i="12"/>
  <c r="P255" i="12" l="1"/>
  <c r="P215" i="12"/>
  <c r="O258" i="12"/>
  <c r="O262" i="12"/>
  <c r="O264" i="12"/>
  <c r="N255" i="12"/>
  <c r="O252" i="12" s="1"/>
  <c r="O260" i="12"/>
  <c r="R139" i="12"/>
  <c r="R138" i="12" s="1"/>
  <c r="R147" i="12" s="1"/>
  <c r="R48" i="12"/>
  <c r="R40" i="12"/>
  <c r="P213" i="12" s="1"/>
  <c r="P214" i="12" s="1"/>
  <c r="P86" i="12"/>
  <c r="P97" i="12" s="1"/>
  <c r="P100" i="12" s="1"/>
  <c r="R152" i="12"/>
  <c r="R165" i="12"/>
  <c r="O259" i="12"/>
  <c r="O261" i="12"/>
  <c r="O263" i="12"/>
  <c r="P293" i="12"/>
  <c r="P295" i="12" s="1"/>
  <c r="Q260" i="12"/>
  <c r="Q264" i="12"/>
  <c r="Q258" i="12"/>
  <c r="Q262" i="12"/>
  <c r="Q259" i="12"/>
  <c r="Q261" i="12"/>
  <c r="Q263" i="12"/>
  <c r="Q265" i="12"/>
  <c r="P128" i="12"/>
  <c r="N293" i="12"/>
  <c r="P210" i="12"/>
  <c r="R178" i="12"/>
  <c r="R181" i="12" s="1"/>
  <c r="R80" i="12"/>
  <c r="R198" i="12"/>
  <c r="R194" i="12"/>
  <c r="R119" i="12"/>
  <c r="R128" i="12" s="1"/>
  <c r="R129" i="12" s="1"/>
  <c r="R200" i="12"/>
  <c r="R196" i="12"/>
  <c r="O253" i="12"/>
  <c r="O251" i="12"/>
  <c r="O249" i="12"/>
  <c r="O247" i="12"/>
  <c r="Q253" i="12"/>
  <c r="Q252" i="12"/>
  <c r="Q251" i="12"/>
  <c r="Q250" i="12"/>
  <c r="Q249" i="12"/>
  <c r="Q248" i="12"/>
  <c r="Q247" i="12"/>
  <c r="Q246" i="12"/>
  <c r="R33" i="12"/>
  <c r="L67" i="12"/>
  <c r="O246" i="12" l="1"/>
  <c r="O248" i="12"/>
  <c r="O250" i="12"/>
  <c r="O267" i="12"/>
  <c r="P298" i="12"/>
  <c r="Q267" i="12"/>
  <c r="Q255" i="12"/>
  <c r="P129" i="12"/>
  <c r="P296" i="12"/>
  <c r="R182" i="12"/>
  <c r="R157" i="11"/>
  <c r="O255" i="12" l="1"/>
  <c r="R158" i="11"/>
  <c r="R155" i="12" s="1"/>
  <c r="R158" i="12" s="1"/>
  <c r="R155" i="13" s="1"/>
  <c r="R158" i="13" s="1"/>
  <c r="R155" i="14" s="1"/>
  <c r="R158" i="14" s="1"/>
  <c r="R155" i="15" s="1"/>
  <c r="R158" i="15" s="1"/>
  <c r="R155" i="16" s="1"/>
  <c r="R158" i="16" s="1"/>
  <c r="R155" i="17" s="1"/>
  <c r="R158" i="17" s="1"/>
  <c r="R47" i="11" l="1"/>
  <c r="R78" i="11" l="1"/>
  <c r="L64" i="11"/>
  <c r="P87" i="11" s="1"/>
  <c r="R118" i="11"/>
  <c r="R104" i="11"/>
  <c r="R88" i="11"/>
  <c r="D30" i="11"/>
  <c r="R31" i="11" l="1"/>
  <c r="R32" i="11"/>
  <c r="P247" i="11" l="1"/>
  <c r="P248" i="11"/>
  <c r="P249" i="11"/>
  <c r="P250" i="11"/>
  <c r="P251" i="11"/>
  <c r="P252" i="11"/>
  <c r="P253" i="11"/>
  <c r="P246" i="11"/>
  <c r="N253" i="11"/>
  <c r="N247" i="11"/>
  <c r="N248" i="11"/>
  <c r="N249" i="11"/>
  <c r="N250" i="11"/>
  <c r="N251" i="11"/>
  <c r="N252" i="11"/>
  <c r="N246" i="11"/>
  <c r="R64" i="11" l="1"/>
  <c r="P222" i="11" l="1"/>
  <c r="O186" i="11" l="1"/>
  <c r="P121" i="11"/>
  <c r="L40" i="11" l="1"/>
  <c r="J40" i="11"/>
  <c r="H40" i="11"/>
  <c r="F40" i="11"/>
  <c r="R40" i="11" s="1"/>
  <c r="O291" i="11" l="1"/>
  <c r="P232" i="11"/>
  <c r="F33" i="11" l="1"/>
  <c r="H33" i="11"/>
  <c r="J33" i="11"/>
  <c r="L33" i="11"/>
  <c r="D33" i="11"/>
  <c r="R48" i="11" l="1"/>
  <c r="R33" i="11"/>
  <c r="R139" i="11"/>
  <c r="R138" i="11" s="1"/>
  <c r="J83" i="11"/>
  <c r="P209" i="11" l="1"/>
  <c r="P213" i="11"/>
  <c r="H30" i="11"/>
  <c r="J30" i="11"/>
  <c r="L30" i="11"/>
  <c r="P85" i="11" l="1"/>
  <c r="F30" i="11" l="1"/>
  <c r="P230" i="11" l="1"/>
  <c r="P97" i="11" l="1"/>
  <c r="R151" i="11" l="1"/>
  <c r="R150" i="11"/>
  <c r="N67" i="11" l="1"/>
  <c r="R97" i="11"/>
  <c r="R100" i="11" s="1"/>
  <c r="N54" i="11"/>
  <c r="R152" i="11"/>
  <c r="F67" i="11"/>
  <c r="F80" i="11" s="1"/>
  <c r="R179" i="11"/>
  <c r="R65" i="11"/>
  <c r="R67" i="11" s="1"/>
  <c r="H67" i="11"/>
  <c r="H80" i="11" s="1"/>
  <c r="P98" i="11"/>
  <c r="P100" i="11" s="1"/>
  <c r="N267" i="11"/>
  <c r="O264" i="11" s="1"/>
  <c r="P267" i="11"/>
  <c r="Q263" i="11" s="1"/>
  <c r="P233" i="11"/>
  <c r="P233" i="12" s="1"/>
  <c r="P233" i="13" s="1"/>
  <c r="P233" i="14" s="1"/>
  <c r="P233" i="15" s="1"/>
  <c r="P233" i="16" s="1"/>
  <c r="P233" i="17" s="1"/>
  <c r="P233" i="18" s="1"/>
  <c r="P233" i="19" s="1"/>
  <c r="P233" i="20" s="1"/>
  <c r="P233" i="21" s="1"/>
  <c r="P233" i="22" s="1"/>
  <c r="P233" i="23" s="1"/>
  <c r="P233" i="24" s="1"/>
  <c r="J67" i="11"/>
  <c r="P67" i="11"/>
  <c r="P111" i="11"/>
  <c r="B132" i="11"/>
  <c r="B205" i="11" s="1"/>
  <c r="B307" i="11" s="1"/>
  <c r="R163" i="11"/>
  <c r="R164" i="11"/>
  <c r="R166" i="11"/>
  <c r="R172" i="11"/>
  <c r="R173" i="11" s="1"/>
  <c r="R170" i="12" s="1"/>
  <c r="R173" i="12" s="1"/>
  <c r="R170" i="13" s="1"/>
  <c r="R173" i="13" s="1"/>
  <c r="R170" i="14" s="1"/>
  <c r="R173" i="14" s="1"/>
  <c r="R170" i="15" s="1"/>
  <c r="R173" i="15" s="1"/>
  <c r="R170" i="16" s="1"/>
  <c r="R173" i="16" s="1"/>
  <c r="R170" i="17" s="1"/>
  <c r="R173" i="17" s="1"/>
  <c r="R170" i="18" s="1"/>
  <c r="R173" i="18" s="1"/>
  <c r="R170" i="19" s="1"/>
  <c r="R173" i="19" s="1"/>
  <c r="R170" i="20" s="1"/>
  <c r="R173" i="20" s="1"/>
  <c r="R170" i="21" s="1"/>
  <c r="R173" i="21" s="1"/>
  <c r="N279" i="11"/>
  <c r="O227" i="11" s="1"/>
  <c r="P279" i="11"/>
  <c r="P227" i="11" s="1"/>
  <c r="N291" i="11"/>
  <c r="P291" i="11"/>
  <c r="L67" i="11"/>
  <c r="P189" i="11"/>
  <c r="P187" i="12" s="1"/>
  <c r="P189" i="12" s="1"/>
  <c r="P187" i="13" s="1"/>
  <c r="P189" i="13" s="1"/>
  <c r="P187" i="14" s="1"/>
  <c r="P189" i="14" s="1"/>
  <c r="P187" i="15" s="1"/>
  <c r="P189" i="15" s="1"/>
  <c r="P187" i="16" s="1"/>
  <c r="P189" i="16" s="1"/>
  <c r="P187" i="17" s="1"/>
  <c r="P189" i="17" s="1"/>
  <c r="P187" i="18" s="1"/>
  <c r="P189" i="18" s="1"/>
  <c r="P187" i="19" s="1"/>
  <c r="P189" i="19" s="1"/>
  <c r="P187" i="20" s="1"/>
  <c r="P189" i="20" s="1"/>
  <c r="P187" i="21" s="1"/>
  <c r="P189" i="21" s="1"/>
  <c r="P187" i="22" s="1"/>
  <c r="P189" i="22" s="1"/>
  <c r="P187" i="23" s="1"/>
  <c r="P189" i="23" s="1"/>
  <c r="P187" i="24" s="1"/>
  <c r="P189" i="24" s="1"/>
  <c r="P122" i="11"/>
  <c r="P128" i="11" s="1"/>
  <c r="R188" i="11"/>
  <c r="O189" i="11"/>
  <c r="O187" i="12" s="1"/>
  <c r="R187" i="11"/>
  <c r="Q291" i="11"/>
  <c r="O279" i="11"/>
  <c r="Q279" i="11"/>
  <c r="P255" i="11"/>
  <c r="Q253" i="11" s="1"/>
  <c r="R170" i="22" l="1"/>
  <c r="R173" i="22" s="1"/>
  <c r="R170" i="23" s="1"/>
  <c r="R173" i="23"/>
  <c r="R170" i="24" s="1"/>
  <c r="R173" i="24" s="1"/>
  <c r="P215" i="11"/>
  <c r="R200" i="11"/>
  <c r="R196" i="11"/>
  <c r="R198" i="11"/>
  <c r="R194" i="11"/>
  <c r="O189" i="12"/>
  <c r="R187" i="12"/>
  <c r="P129" i="11"/>
  <c r="R119" i="11"/>
  <c r="R128" i="11" s="1"/>
  <c r="O263" i="11"/>
  <c r="O259" i="11"/>
  <c r="N293" i="11"/>
  <c r="Q259" i="11"/>
  <c r="Q258" i="11"/>
  <c r="O228" i="11"/>
  <c r="O260" i="11"/>
  <c r="O258" i="11"/>
  <c r="R165" i="11"/>
  <c r="P293" i="11"/>
  <c r="P228" i="11"/>
  <c r="Q262" i="11"/>
  <c r="O262" i="11"/>
  <c r="Q261" i="11"/>
  <c r="O261" i="11"/>
  <c r="Q260" i="11"/>
  <c r="O265" i="11"/>
  <c r="R189" i="11"/>
  <c r="O190" i="11"/>
  <c r="N255" i="11"/>
  <c r="P210" i="11"/>
  <c r="Q264" i="11"/>
  <c r="Q265" i="11"/>
  <c r="Q248" i="11"/>
  <c r="Q250" i="11"/>
  <c r="Q249" i="11"/>
  <c r="Q252" i="11"/>
  <c r="Q246" i="11"/>
  <c r="Q251" i="11"/>
  <c r="Q247" i="11"/>
  <c r="R178" i="11"/>
  <c r="R147" i="11"/>
  <c r="P298" i="11" s="1"/>
  <c r="O187" i="13" l="1"/>
  <c r="R189" i="12"/>
  <c r="O190" i="12"/>
  <c r="O267" i="11"/>
  <c r="O249" i="11"/>
  <c r="O246" i="11"/>
  <c r="R129" i="11"/>
  <c r="Q267" i="11"/>
  <c r="Q255" i="11"/>
  <c r="R80" i="11"/>
  <c r="P214" i="11"/>
  <c r="O252" i="11"/>
  <c r="O248" i="11"/>
  <c r="O251" i="11"/>
  <c r="O247" i="11"/>
  <c r="O253" i="11"/>
  <c r="O250" i="11"/>
  <c r="O189" i="13" l="1"/>
  <c r="O187" i="14" s="1"/>
  <c r="R187" i="13"/>
  <c r="R182" i="11"/>
  <c r="P296" i="11"/>
  <c r="O255" i="11"/>
  <c r="R180" i="11"/>
  <c r="O189" i="14" l="1"/>
  <c r="R187" i="14"/>
  <c r="O190" i="13"/>
  <c r="R189" i="13"/>
  <c r="R181" i="11"/>
  <c r="P294" i="11"/>
  <c r="P295" i="11" s="1"/>
  <c r="O187" i="15" l="1"/>
  <c r="O190" i="14"/>
  <c r="R189" i="14"/>
  <c r="O189" i="15" l="1"/>
  <c r="R187" i="15"/>
  <c r="O187" i="16" l="1"/>
  <c r="R189" i="15"/>
  <c r="O190" i="15"/>
  <c r="O189" i="16" l="1"/>
  <c r="R187" i="16"/>
  <c r="O187" i="17" l="1"/>
  <c r="O190" i="16"/>
  <c r="R189" i="16"/>
  <c r="O189" i="17" l="1"/>
  <c r="R187" i="17"/>
  <c r="O187" i="18" l="1"/>
  <c r="R189" i="17"/>
  <c r="O190" i="17"/>
  <c r="O189" i="18" l="1"/>
  <c r="R187" i="18"/>
  <c r="O187" i="19" l="1"/>
  <c r="O190" i="18"/>
  <c r="R189" i="18"/>
  <c r="O189" i="19" l="1"/>
  <c r="R187" i="19"/>
  <c r="O187" i="20" l="1"/>
  <c r="R189" i="19"/>
  <c r="O190" i="19"/>
  <c r="O189" i="20" l="1"/>
  <c r="R187" i="20"/>
  <c r="O187" i="21" l="1"/>
  <c r="O190" i="20"/>
  <c r="R189" i="20"/>
  <c r="O189" i="21" l="1"/>
  <c r="O187" i="22" s="1"/>
  <c r="R187" i="21"/>
  <c r="O189" i="22" l="1"/>
  <c r="O187" i="23" s="1"/>
  <c r="R187" i="22"/>
  <c r="R189" i="21"/>
  <c r="O190" i="21"/>
  <c r="O189" i="23" l="1"/>
  <c r="O187" i="24" s="1"/>
  <c r="R187" i="23"/>
  <c r="R189" i="22"/>
  <c r="O190" i="22"/>
  <c r="O189" i="24" l="1"/>
  <c r="R187" i="24"/>
  <c r="R189" i="23"/>
  <c r="O190" i="23"/>
  <c r="R189" i="24" l="1"/>
  <c r="O190" i="24"/>
</calcChain>
</file>

<file path=xl/sharedStrings.xml><?xml version="1.0" encoding="utf-8"?>
<sst xmlns="http://schemas.openxmlformats.org/spreadsheetml/2006/main" count="6088" uniqueCount="305">
  <si>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</si>
  <si>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</si>
  <si>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</si>
  <si>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</si>
  <si>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</si>
  <si>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</si>
  <si>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</si>
  <si>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</si>
  <si>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</si>
  <si>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</si>
  <si>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</si>
  <si>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</si>
  <si>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</si>
  <si>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</si>
  <si>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</si>
  <si>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</si>
  <si>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</si>
  <si>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</si>
  <si>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</si>
  <si>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</si>
  <si>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</si>
  <si>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</si>
  <si>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</si>
  <si>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</si>
  <si>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</si>
  <si>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</si>
  <si>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</si>
  <si>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</si>
  <si>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</si>
  <si>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</si>
  <si>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</si>
  <si>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</si>
  <si>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</si>
  <si>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</si>
  <si>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</si>
  <si>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</si>
  <si>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</si>
  <si>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</si>
  <si>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</si>
  <si>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</si>
  <si>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</si>
  <si>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</si>
  <si>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</si>
  <si>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</si>
  <si>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</si>
  <si>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</si>
  <si>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</si>
  <si>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</si>
  <si>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</si>
  <si>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</si>
  <si>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</si>
  <si>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</si>
  <si>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</si>
  <si>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</si>
  <si>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</si>
  <si>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</si>
  <si>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</si>
  <si>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</si>
  <si>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</si>
  <si>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</si>
  <si>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</si>
  <si>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</si>
  <si>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</si>
  <si>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</si>
  <si>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</si>
  <si>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</si>
  <si>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</si>
  <si>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</si>
  <si>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</si>
  <si>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</si>
  <si>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</si>
  <si>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</si>
  <si>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</si>
  <si>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</si>
  <si>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</si>
  <si>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</si>
  <si>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</si>
  <si>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</si>
  <si>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</si>
  <si>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</si>
  <si>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</si>
  <si>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</si>
  <si>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</si>
  <si>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</si>
  <si>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</si>
  <si>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</si>
  <si>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</si>
  <si>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</si>
  <si>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</si>
  <si>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</si>
  <si>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</si>
  <si>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</si>
  <si>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</si>
  <si>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</si>
  <si>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</si>
  <si>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</si>
  <si>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</si>
  <si>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</si>
  <si>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</si>
  <si>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</si>
  <si>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</si>
  <si>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</si>
  <si>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</si>
  <si>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</si>
  <si>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</si>
  <si>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</si>
  <si>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</si>
  <si>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</si>
  <si>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</si>
  <si>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</si>
  <si>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</si>
  <si>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</si>
  <si>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</si>
  <si>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</si>
  <si>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</si>
  <si>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</si>
  <si>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</si>
  <si>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</si>
  <si>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</si>
  <si>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</si>
  <si>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</si>
  <si>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</si>
  <si>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</si>
  <si>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</si>
  <si>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</si>
  <si>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</si>
  <si>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</si>
  <si>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</si>
  <si>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</si>
  <si>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</si>
  <si>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</si>
  <si>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</si>
  <si>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</si>
  <si>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</si>
  <si>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</si>
  <si>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</si>
  <si>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</si>
  <si>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</si>
  <si>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</si>
  <si>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</si>
  <si>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</si>
  <si>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</si>
  <si>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</si>
  <si>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</si>
  <si>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</si>
  <si>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</si>
  <si>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</si>
  <si>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</si>
  <si>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</si>
  <si>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</si>
  <si>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</si>
  <si>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</si>
  <si>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Delinquency Summary</t>
  </si>
  <si>
    <t>Unrated</t>
  </si>
  <si>
    <t>PM (2010) Ltd</t>
  </si>
  <si>
    <t>Class A Note Interest</t>
  </si>
  <si>
    <t>Issuer Profit Amount</t>
  </si>
  <si>
    <t>Swap Retention fund</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</si>
  <si>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</si>
  <si>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</si>
  <si>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</si>
  <si>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</si>
  <si>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</si>
  <si>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</si>
  <si>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</si>
  <si>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</si>
  <si>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</si>
  <si>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</si>
  <si>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</si>
  <si>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</si>
  <si>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MFA's</t>
  </si>
  <si>
    <t>Current Principal Balance Outstanding (£'000)</t>
  </si>
  <si>
    <t>Pre Funding Reserve Outstanding (£'000)</t>
  </si>
  <si>
    <t>PDL replenishment (+) from Revenue income / Liquidity Excess Amount / Recovery (+) to Revenue income</t>
  </si>
  <si>
    <t>Accrued Arrears and Interest not Sold to Issuer</t>
  </si>
  <si>
    <t>Total Note Principal</t>
  </si>
  <si>
    <t>Total Mortgage Assets</t>
  </si>
  <si>
    <t>AA</t>
  </si>
  <si>
    <t>Class B Notes</t>
  </si>
  <si>
    <t>Class C Notes</t>
  </si>
  <si>
    <t>Class B Note repayment</t>
  </si>
  <si>
    <t>Class C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</si>
  <si>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</si>
  <si>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</si>
  <si>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</si>
  <si>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</si>
  <si>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Stated Maturity - Class B Notes</t>
  </si>
  <si>
    <t>Stated Maturity - Class C Notes</t>
  </si>
  <si>
    <t>Class B Note Interest</t>
  </si>
  <si>
    <t>Class C Note Interest</t>
  </si>
  <si>
    <t>Pre Funding utilised this quarter</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</si>
  <si>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</si>
  <si>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</si>
  <si>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</si>
  <si>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</si>
  <si>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Pre Funding Reserve / Available Redemption Funds</t>
  </si>
  <si>
    <t>Moody's Rating at Closing</t>
  </si>
  <si>
    <t>Current Moody's Rating</t>
  </si>
  <si>
    <t>Aaa</t>
  </si>
  <si>
    <t>Aa2</t>
  </si>
  <si>
    <t>A1</t>
  </si>
  <si>
    <t>Retention Requirement under Article 405 of Regulation (EU) No.575/2013 (as amended) (the "Capital Requirements Regulation")</t>
  </si>
  <si>
    <t xml:space="preserve">Pre Funding Reserve Ledger </t>
  </si>
  <si>
    <t xml:space="preserve">Margin Reserve Fund </t>
  </si>
  <si>
    <t>Pre Funding Reserve Remaining / Diverted to Principal to form part of the Available Redemption Funds</t>
  </si>
  <si>
    <t>Discretionary Further Advance Pre Funding Reserve</t>
  </si>
  <si>
    <t>Junior Administration Fee to PM (2010)</t>
  </si>
  <si>
    <t>PM (2010) Mandatory Further Advances</t>
  </si>
  <si>
    <t>PM (2010) Discretionary Further Advances</t>
  </si>
  <si>
    <t>Liquidity Amount (2.50% of the Class A, B and C Notes outstanding)</t>
  </si>
  <si>
    <t>Discretionary Further Advance Pre Funding Reserve Ledger (DFAPFRL)</t>
  </si>
  <si>
    <t>Discretionary Further Advance Pre Funding Reserve at Closing</t>
  </si>
  <si>
    <t>Discretionary Further Advance Pre Funding Reserve utilised this quarter</t>
  </si>
  <si>
    <t>Discretionary Further Advance Pre Funding Reserve Diverted to Principal to form part of the Available Redemption Funds</t>
  </si>
  <si>
    <t xml:space="preserve">Closing Discretionary Further Advance Pre Funding Reserve </t>
  </si>
  <si>
    <t>Discretionary Further Advance Pre Funding Reserve Outstanding (£'000)</t>
  </si>
  <si>
    <t xml:space="preserve">Outstanding Pre Funding Reserve and DFAPFRL </t>
  </si>
  <si>
    <t>PM (2010) Discretionary Further Advance Pre Funding Reserve diverted to Principal</t>
  </si>
  <si>
    <t xml:space="preserve">Funding of PM (2010) Discretionary Further Advances </t>
  </si>
  <si>
    <t>Fitch Rating at Closing</t>
  </si>
  <si>
    <t>Current Fitch Rating</t>
  </si>
  <si>
    <t>Original GBP Equivalent Note Principal</t>
  </si>
  <si>
    <t>Previous GBP Equivalent Note Principal</t>
  </si>
  <si>
    <t>Current GBP Equivalent Note Principal</t>
  </si>
  <si>
    <t>Class A 1 Notes</t>
  </si>
  <si>
    <t>Class A2 Notes</t>
  </si>
  <si>
    <t>GBP Note Margin</t>
  </si>
  <si>
    <t>Current GBP Interest Rates</t>
  </si>
  <si>
    <t>Previous GBP Interest Rates</t>
  </si>
  <si>
    <t>Optional Redemption (Call)  Dates</t>
  </si>
  <si>
    <t>GBP Step-Up Margins</t>
  </si>
  <si>
    <t>Class A1 Interest Calculated on</t>
  </si>
  <si>
    <t>ACTUAL/360</t>
  </si>
  <si>
    <t>Senior Administration Fee to PM (2010) / Out of pocket expenses/ Substitute Administrator Commitment Fee/ Substitute Administrator Facilitator Fee / Surveillance Fees to Rating Agencies / Fees to Corporate Services Provider / Amounts payable to the Account Bank &amp; Hedge Collateral Custodian</t>
  </si>
  <si>
    <t>Class A2 Note Interest</t>
  </si>
  <si>
    <t xml:space="preserve">Surplus income to the Issuer </t>
  </si>
  <si>
    <t>Class A2 Note repayment</t>
  </si>
  <si>
    <t>Class A1 Swap Currency repayment</t>
  </si>
  <si>
    <t>Class A1 Swap Currency Interest</t>
  </si>
  <si>
    <t>5 (a)</t>
  </si>
  <si>
    <t>5 (b)</t>
  </si>
  <si>
    <t>440bp</t>
  </si>
  <si>
    <t>Margin Rerseve Fund Ledger Conversion Required Amount</t>
  </si>
  <si>
    <t>Paragon Mortgages (No.24) PLC</t>
  </si>
  <si>
    <t>This performance report is issued by Paragon Mortgages (2010) Limited for and on behalf of Paragon Mortgages (No.24) PLC</t>
  </si>
  <si>
    <t>PM24 PLC</t>
  </si>
  <si>
    <t>Class Z Notes</t>
  </si>
  <si>
    <t>A</t>
  </si>
  <si>
    <t>XS1315577368</t>
  </si>
  <si>
    <t>XS1315577525</t>
  </si>
  <si>
    <t>XS1315577798</t>
  </si>
  <si>
    <t>XS1315579141</t>
  </si>
  <si>
    <t>XS1315579653</t>
  </si>
  <si>
    <t>150bp</t>
  </si>
  <si>
    <t>245bp</t>
  </si>
  <si>
    <t>320bp</t>
  </si>
  <si>
    <t>355bp</t>
  </si>
  <si>
    <t>300bp</t>
  </si>
  <si>
    <t>Class B, C and Z Notes as a percentage Class A Notes at issue</t>
  </si>
  <si>
    <t>Current Outstanding Class B, C and Z Notes as a percentage of Current Outstanding Class A Notes</t>
  </si>
  <si>
    <t>Determination Event for Paying Class B, C and Z Notes</t>
  </si>
  <si>
    <t>PM24 INVESTOR REPORT QUARTER ENDING MARCH 2016</t>
  </si>
  <si>
    <t>110bp</t>
  </si>
  <si>
    <t>220bp</t>
  </si>
  <si>
    <t>175bp</t>
  </si>
  <si>
    <t>350bp</t>
  </si>
  <si>
    <t>Class A, B, C and Z Interest Payment Cycle</t>
  </si>
  <si>
    <t>Class A2, B, C and Z Interest Calculated on</t>
  </si>
  <si>
    <t>Drawing on the PFPLC/PM24 Subordinated Loan for Interest Shortfalls</t>
  </si>
  <si>
    <t>Class Z Note Interest and Deferred Interest</t>
  </si>
  <si>
    <t>Class Z Note repayment</t>
  </si>
  <si>
    <t>Replenishments from drawings on the PM24/PFPLC Subordinated Loan</t>
  </si>
  <si>
    <t>Cover Ratio for Class Z Notes (at last Interest Payment Date)</t>
  </si>
  <si>
    <t xml:space="preserve">Cover Ratio for Class Z Notes (cumulative) </t>
  </si>
  <si>
    <t>Stated Maturity - Class Z Notes</t>
  </si>
  <si>
    <t>PM24 INVESTOR REPORT QUARTER ENDING JUNE 2016</t>
  </si>
  <si>
    <t>PM24 INVESTOR REPORT QUARTER ENDING SEPTEMBER 2016</t>
  </si>
  <si>
    <t>Aggregate Principal Balance of Repurchased Loans (during related Collection Period)</t>
  </si>
  <si>
    <t>PM24 INVESTOR REPORT QUARTER ENDING DECEMBER 2016</t>
  </si>
  <si>
    <t>Discretionary Further Advance Pre Funding Reserve at last quarter end</t>
  </si>
  <si>
    <t xml:space="preserve">Senior Administration Fee to PM (2010) / Out of pocket expenses / Senior Expenses </t>
  </si>
  <si>
    <t>PM24 INVESTOR REPORT QUARTER ENDING MARCH 2017</t>
  </si>
  <si>
    <t>Margin Rerseve Fund Ledger Conversion Required Amount for the period</t>
  </si>
  <si>
    <t>PM24 INVESTOR REPORT QUARTER ENDING JUNE 2017</t>
  </si>
  <si>
    <t>PM24 INVESTOR REPORT QUARTER ENDING SEPTEMBER 2017</t>
  </si>
  <si>
    <t>http://www.paragonbankinggroup.co.uk</t>
  </si>
  <si>
    <t>andrew.kitching@paragonbank.co.uk</t>
  </si>
  <si>
    <t>jimmy.giles@paragonbank.co.uk</t>
  </si>
  <si>
    <t>PM24 INVESTOR REPORT QUARTER ENDING DECEMBER 2017</t>
  </si>
  <si>
    <t>PM24 INVESTOR REPORT QUARTER ENDING MARCH 2018</t>
  </si>
  <si>
    <t>Aa1</t>
  </si>
  <si>
    <t>PM24 INVESTOR REPORT QUARTER ENDING JUNE 2018</t>
  </si>
  <si>
    <t>PM24 INVESTOR REPORT QUARTER ENDING SEPTEMBER 2018</t>
  </si>
  <si>
    <t>PM24 INVESTOR REPORT QUARTER ENDING DECEMBER 2018</t>
  </si>
  <si>
    <t>PM24 INVESTOR REPORT QUARTER ENDING MARCH 2019</t>
  </si>
  <si>
    <t>PM24 INVESTOR REPORT QUARTER ENDING JUNE 2019</t>
  </si>
  <si>
    <t>PM24 INVESTOR REPORT QUARTER ENDING SEPTEMBER 2019</t>
  </si>
  <si>
    <t>Interest on the Subordinated Loan (First Loss Fund)</t>
  </si>
  <si>
    <t>Repayment of the Subordinated Loan (Repayment of the Minimum Mortgage Rate Drawings)</t>
  </si>
  <si>
    <t>Management Charge</t>
  </si>
  <si>
    <t>Deferred Consideration</t>
  </si>
  <si>
    <t>PM24 INVESTOR REPORT QUARTER ENDING DECEMBER 2019</t>
  </si>
  <si>
    <t>PM24 INVESTOR REPORT QUARTER ENDING MARCH 2020</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</si>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</sst>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 numFmtId="172" formatCode="[$€-1809]#,##0"/>
  </numFmts>
  <fonts count="65"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
      <sz val="12"/>
      <name val="Arial"/>
      <family val="2"/>
    </font>
    <font>
      <sz val="12"/>
      <color rgb="FF000099"/>
      <name val="Times New Roman"/>
      <family val="1"/>
    </font>
    <font>
      <sz val="12"/>
      <name val="Calibri"/>
      <family val="2"/>
      <scheme val="minor"/>
    </font>
    <font>
      <b/>
      <u/>
      <sz val="16"/>
      <color rgb="FF2D2926"/>
      <name val="Calibri"/>
      <family val="2"/>
      <scheme val="minor"/>
    </font>
    <font>
      <u/>
      <sz val="12"/>
      <name val="Calibri"/>
      <family val="2"/>
      <scheme val="minor"/>
    </font>
    <font>
      <b/>
      <sz val="12"/>
      <color rgb="FF89CB31"/>
      <name val="Calibri"/>
      <family val="2"/>
      <scheme val="minor"/>
    </font>
    <font>
      <b/>
      <i/>
      <sz val="10"/>
      <color rgb="FF2D2926"/>
      <name val="Calibri"/>
      <family val="2"/>
      <scheme val="minor"/>
    </font>
    <font>
      <b/>
      <i/>
      <sz val="10"/>
      <name val="Calibri"/>
      <family val="2"/>
      <scheme val="minor"/>
    </font>
    <font>
      <b/>
      <u/>
      <sz val="14"/>
      <color indexed="53"/>
      <name val="Calibri"/>
      <family val="2"/>
      <scheme val="minor"/>
    </font>
    <font>
      <b/>
      <u/>
      <sz val="12"/>
      <color rgb="FF89CB31"/>
      <name val="Calibri"/>
      <family val="2"/>
      <scheme val="minor"/>
    </font>
    <font>
      <b/>
      <sz val="12"/>
      <name val="Calibri"/>
      <family val="2"/>
      <scheme val="minor"/>
    </font>
    <font>
      <sz val="12"/>
      <color rgb="FF2D2926"/>
      <name val="Calibri"/>
      <family val="2"/>
      <scheme val="minor"/>
    </font>
    <font>
      <b/>
      <sz val="12"/>
      <color rgb="FF2D2926"/>
      <name val="Calibri"/>
      <family val="2"/>
      <scheme val="minor"/>
    </font>
    <font>
      <b/>
      <u/>
      <sz val="12"/>
      <color rgb="FF2D2926"/>
      <name val="Calibri"/>
      <family val="2"/>
      <scheme val="minor"/>
    </font>
    <font>
      <sz val="12"/>
      <color indexed="9"/>
      <name val="Calibri"/>
      <family val="2"/>
      <scheme val="minor"/>
    </font>
    <font>
      <b/>
      <sz val="12"/>
      <color indexed="9"/>
      <name val="Calibri"/>
      <family val="2"/>
      <scheme val="minor"/>
    </font>
    <font>
      <sz val="12"/>
      <color rgb="FF89CB31"/>
      <name val="Calibri"/>
      <family val="2"/>
      <scheme val="minor"/>
    </font>
    <font>
      <b/>
      <sz val="14"/>
      <color rgb="FF2D2926"/>
      <name val="Calibri"/>
      <family val="2"/>
      <scheme val="minor"/>
    </font>
    <font>
      <b/>
      <u/>
      <sz val="12"/>
      <color indexed="9"/>
      <name val="Calibri"/>
      <family val="2"/>
      <scheme val="minor"/>
    </font>
    <font>
      <sz val="12"/>
      <color indexed="8"/>
      <name val="Calibri"/>
      <family val="2"/>
      <scheme val="minor"/>
    </font>
    <font>
      <sz val="12"/>
      <color indexed="18"/>
      <name val="Calibri"/>
      <family val="2"/>
      <scheme val="minor"/>
    </font>
    <font>
      <b/>
      <u/>
      <sz val="12"/>
      <name val="Calibri"/>
      <family val="2"/>
      <scheme val="minor"/>
    </font>
    <font>
      <b/>
      <u/>
      <sz val="12"/>
      <color indexed="8"/>
      <name val="Calibri"/>
      <family val="2"/>
      <scheme val="minor"/>
    </font>
    <font>
      <b/>
      <sz val="12"/>
      <color indexed="8"/>
      <name val="Calibri"/>
      <family val="2"/>
      <scheme val="minor"/>
    </font>
    <font>
      <b/>
      <sz val="14"/>
      <color rgb="FF89CB31"/>
      <name val="Calibri"/>
      <family val="2"/>
      <scheme val="minor"/>
    </font>
    <font>
      <b/>
      <u/>
      <sz val="14"/>
      <color rgb="FF89CB31"/>
      <name val="Calibri"/>
      <family val="2"/>
      <scheme val="minor"/>
    </font>
    <font>
      <b/>
      <sz val="14"/>
      <color indexed="53"/>
      <name val="Calibri"/>
      <family val="2"/>
      <scheme val="minor"/>
    </font>
    <font>
      <b/>
      <sz val="12"/>
      <color indexed="18"/>
      <name val="Calibri"/>
      <family val="2"/>
      <scheme val="minor"/>
    </font>
  </fonts>
  <fills count="5">
    <fill>
      <patternFill patternType="none"/>
    </fill>
    <fill>
      <patternFill patternType="gray125"/>
    </fill>
    <fill>
      <patternFill patternType="solid">
        <fgColor indexed="38"/>
        <bgColor indexed="64"/>
      </patternFill>
    </fill>
    <fill>
      <patternFill patternType="solid">
        <fgColor indexed="18"/>
        <bgColor indexed="64"/>
      </patternFill>
    </fill>
    <fill>
      <patternFill patternType="solid">
        <fgColor rgb="FF89CB31"/>
        <bgColor indexed="64"/>
      </patternFill>
    </fill>
  </fills>
  <borders count="27">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
      <left/>
      <right style="medium">
        <color indexed="8"/>
      </right>
      <top style="medium">
        <color indexed="8"/>
      </top>
      <bottom/>
      <diagonal/>
    </border>
    <border>
      <left/>
      <right style="medium">
        <color indexed="8"/>
      </right>
      <top/>
      <bottom/>
      <diagonal/>
    </border>
    <border>
      <left/>
      <right style="medium">
        <color indexed="8"/>
      </right>
      <top style="thin">
        <color indexed="8"/>
      </top>
      <bottom/>
      <diagonal/>
    </border>
    <border>
      <left style="medium">
        <color indexed="8"/>
      </left>
      <right/>
      <top style="thin">
        <color rgb="FF969696"/>
      </top>
      <bottom style="thin">
        <color rgb="FF969696"/>
      </bottom>
      <diagonal/>
    </border>
    <border>
      <left/>
      <right/>
      <top style="thin">
        <color rgb="FF969696"/>
      </top>
      <bottom style="thin">
        <color rgb="FF969696"/>
      </bottom>
      <diagonal/>
    </border>
    <border>
      <left/>
      <right style="medium">
        <color indexed="8"/>
      </right>
      <top style="thin">
        <color rgb="FF969696"/>
      </top>
      <bottom style="thin">
        <color rgb="FF969696"/>
      </bottom>
      <diagonal/>
    </border>
    <border>
      <left/>
      <right/>
      <top style="thin">
        <color rgb="FF969696"/>
      </top>
      <bottom/>
      <diagonal/>
    </border>
    <border>
      <left/>
      <right/>
      <top style="thin">
        <color indexed="55"/>
      </top>
      <bottom/>
      <diagonal/>
    </border>
    <border>
      <left/>
      <right/>
      <top/>
      <bottom style="thin">
        <color rgb="FF969696"/>
      </bottom>
      <diagonal/>
    </border>
    <border>
      <left/>
      <right/>
      <top/>
      <bottom style="thin">
        <color indexed="55"/>
      </bottom>
      <diagonal/>
    </border>
  </borders>
  <cellStyleXfs count="3">
    <xf numFmtId="0" fontId="0" fillId="0" borderId="0"/>
    <xf numFmtId="0" fontId="15" fillId="0" borderId="0" applyNumberFormat="0" applyFill="0" applyBorder="0" applyAlignment="0" applyProtection="0">
      <alignment vertical="top"/>
      <protection locked="0"/>
    </xf>
    <xf numFmtId="9" fontId="37" fillId="0" borderId="0" applyFont="0" applyFill="0" applyBorder="0" applyAlignment="0" applyProtection="0"/>
  </cellStyleXfs>
  <cellXfs count="499">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0" fontId="24" fillId="2" borderId="0" xfId="0" applyNumberFormat="1" applyFont="1" applyFill="1" applyBorder="1" applyAlignment="1"/>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10" fontId="35" fillId="2" borderId="15" xfId="0" applyNumberFormat="1" applyFont="1" applyFill="1" applyBorder="1" applyAlignment="1">
      <alignment horizontal="center"/>
    </xf>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5" fontId="25" fillId="2" borderId="0" xfId="0" applyNumberFormat="1" applyFont="1" applyFill="1" applyAlignment="1">
      <alignment horizontal="center"/>
    </xf>
    <xf numFmtId="0" fontId="2" fillId="2" borderId="17" xfId="0" applyNumberFormat="1" applyFont="1" applyFill="1" applyBorder="1" applyAlignment="1"/>
    <xf numFmtId="0" fontId="2" fillId="2" borderId="18" xfId="0" applyNumberFormat="1" applyFont="1" applyFill="1" applyBorder="1" applyAlignment="1"/>
    <xf numFmtId="0" fontId="24" fillId="2" borderId="18" xfId="0" applyNumberFormat="1" applyFont="1" applyFill="1" applyBorder="1" applyAlignment="1"/>
    <xf numFmtId="0" fontId="18" fillId="3" borderId="18" xfId="0" applyNumberFormat="1" applyFont="1" applyFill="1" applyBorder="1" applyAlignment="1"/>
    <xf numFmtId="0" fontId="24" fillId="2" borderId="19" xfId="0" applyNumberFormat="1" applyFont="1" applyFill="1" applyBorder="1" applyAlignment="1"/>
    <xf numFmtId="0" fontId="13" fillId="2" borderId="18" xfId="0" applyNumberFormat="1" applyFont="1" applyFill="1" applyBorder="1" applyAlignment="1"/>
    <xf numFmtId="0" fontId="2" fillId="2" borderId="19" xfId="0" applyNumberFormat="1" applyFont="1" applyFill="1" applyBorder="1" applyAlignment="1"/>
    <xf numFmtId="0" fontId="18" fillId="3" borderId="17" xfId="0" applyNumberFormat="1" applyFont="1" applyFill="1" applyBorder="1" applyAlignment="1"/>
    <xf numFmtId="0" fontId="5" fillId="2" borderId="18" xfId="0" applyNumberFormat="1" applyFont="1" applyFill="1" applyBorder="1" applyAlignment="1"/>
    <xf numFmtId="3" fontId="10" fillId="2" borderId="19" xfId="0" applyNumberFormat="1" applyFont="1" applyFill="1" applyBorder="1" applyAlignment="1"/>
    <xf numFmtId="0" fontId="10" fillId="2" borderId="18" xfId="0" applyNumberFormat="1" applyFont="1" applyFill="1" applyBorder="1" applyAlignment="1"/>
    <xf numFmtId="0" fontId="23" fillId="3" borderId="18" xfId="0" applyNumberFormat="1" applyFont="1" applyFill="1" applyBorder="1" applyAlignment="1"/>
    <xf numFmtId="0" fontId="26" fillId="2" borderId="19" xfId="0" applyNumberFormat="1" applyFont="1" applyFill="1" applyBorder="1" applyAlignment="1"/>
    <xf numFmtId="0" fontId="27" fillId="2" borderId="18" xfId="0" applyNumberFormat="1" applyFont="1" applyFill="1" applyBorder="1" applyAlignment="1"/>
    <xf numFmtId="10" fontId="25" fillId="2" borderId="0" xfId="0" applyNumberFormat="1" applyFont="1" applyFill="1" applyAlignment="1">
      <alignment horizontal="center"/>
    </xf>
    <xf numFmtId="0" fontId="2" fillId="2" borderId="20" xfId="0" applyNumberFormat="1" applyFont="1" applyFill="1" applyBorder="1" applyAlignment="1"/>
    <xf numFmtId="0" fontId="24" fillId="2" borderId="21" xfId="0" applyNumberFormat="1" applyFont="1" applyFill="1" applyBorder="1" applyAlignment="1"/>
    <xf numFmtId="3" fontId="24" fillId="2" borderId="21" xfId="0" applyNumberFormat="1" applyFont="1" applyFill="1" applyBorder="1" applyAlignment="1" applyProtection="1">
      <alignment horizontal="right"/>
      <protection locked="0"/>
    </xf>
    <xf numFmtId="0" fontId="2" fillId="2" borderId="22" xfId="0" applyNumberFormat="1" applyFont="1" applyFill="1" applyBorder="1" applyAlignment="1"/>
    <xf numFmtId="172" fontId="24" fillId="2" borderId="15" xfId="0" applyNumberFormat="1" applyFont="1" applyFill="1" applyBorder="1" applyAlignment="1">
      <alignment horizontal="center"/>
    </xf>
    <xf numFmtId="172" fontId="26" fillId="2" borderId="15" xfId="0" applyNumberFormat="1" applyFont="1" applyFill="1" applyBorder="1" applyAlignment="1">
      <alignment horizontal="center"/>
    </xf>
    <xf numFmtId="169" fontId="25" fillId="2" borderId="15" xfId="0" applyNumberFormat="1" applyFont="1" applyFill="1" applyBorder="1" applyAlignment="1">
      <alignment horizontal="center"/>
    </xf>
    <xf numFmtId="10" fontId="24" fillId="2" borderId="15" xfId="2" applyNumberFormat="1" applyFont="1" applyFill="1" applyBorder="1" applyAlignment="1">
      <alignment horizontal="center"/>
    </xf>
    <xf numFmtId="9" fontId="38" fillId="2" borderId="15" xfId="2" applyFont="1" applyFill="1" applyBorder="1" applyAlignment="1">
      <alignment horizontal="center"/>
    </xf>
    <xf numFmtId="4" fontId="38"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3" fontId="24" fillId="2" borderId="23" xfId="0" applyNumberFormat="1" applyFont="1" applyFill="1" applyBorder="1" applyAlignment="1"/>
    <xf numFmtId="3" fontId="24" fillId="2" borderId="23" xfId="0" applyNumberFormat="1" applyFont="1" applyFill="1" applyBorder="1" applyAlignment="1" applyProtection="1">
      <alignment horizontal="right"/>
      <protection locked="0"/>
    </xf>
    <xf numFmtId="10" fontId="24" fillId="2" borderId="24" xfId="0" applyNumberFormat="1" applyFont="1" applyFill="1" applyBorder="1" applyAlignment="1"/>
    <xf numFmtId="3" fontId="24" fillId="2" borderId="25" xfId="0" applyNumberFormat="1" applyFont="1" applyFill="1" applyBorder="1" applyAlignment="1"/>
    <xf numFmtId="10" fontId="24" fillId="2" borderId="26" xfId="0" applyNumberFormat="1" applyFont="1" applyFill="1" applyBorder="1" applyAlignment="1"/>
    <xf numFmtId="3" fontId="24" fillId="2" borderId="25" xfId="0" applyNumberFormat="1" applyFont="1" applyFill="1" applyBorder="1" applyAlignment="1" applyProtection="1">
      <alignment horizontal="right"/>
      <protection locked="0"/>
    </xf>
    <xf numFmtId="3" fontId="24" fillId="2" borderId="21" xfId="0" applyNumberFormat="1" applyFont="1" applyFill="1" applyBorder="1" applyAlignment="1"/>
    <xf numFmtId="10" fontId="24" fillId="2" borderId="21" xfId="0" applyNumberFormat="1" applyFont="1" applyFill="1" applyBorder="1" applyAlignment="1"/>
    <xf numFmtId="15" fontId="38" fillId="2" borderId="15" xfId="0" applyNumberFormat="1" applyFont="1" applyFill="1" applyBorder="1" applyAlignment="1" applyProtection="1">
      <alignment horizontal="center"/>
      <protection locked="0"/>
    </xf>
    <xf numFmtId="2" fontId="38" fillId="2" borderId="15" xfId="0" applyNumberFormat="1" applyFont="1" applyFill="1" applyBorder="1" applyAlignment="1" applyProtection="1">
      <alignment horizontal="right"/>
      <protection locked="0"/>
    </xf>
    <xf numFmtId="0" fontId="39" fillId="2" borderId="5" xfId="0" applyNumberFormat="1" applyFont="1" applyFill="1" applyBorder="1" applyAlignment="1"/>
    <xf numFmtId="0" fontId="40" fillId="2" borderId="2" xfId="0" applyNumberFormat="1" applyFont="1" applyFill="1" applyBorder="1" applyAlignment="1"/>
    <xf numFmtId="0" fontId="39" fillId="2" borderId="2" xfId="0" applyNumberFormat="1" applyFont="1" applyFill="1" applyBorder="1" applyAlignment="1"/>
    <xf numFmtId="0" fontId="39" fillId="2" borderId="17" xfId="0" applyNumberFormat="1" applyFont="1" applyFill="1" applyBorder="1" applyAlignment="1"/>
    <xf numFmtId="0" fontId="39" fillId="0" borderId="1" xfId="0" applyNumberFormat="1" applyFont="1" applyBorder="1"/>
    <xf numFmtId="0" fontId="39" fillId="0" borderId="0" xfId="0" applyNumberFormat="1" applyFont="1" applyAlignment="1"/>
    <xf numFmtId="0" fontId="39" fillId="2" borderId="1" xfId="0" applyNumberFormat="1" applyFont="1" applyFill="1" applyBorder="1" applyAlignment="1"/>
    <xf numFmtId="0" fontId="41" fillId="2" borderId="0" xfId="0" applyNumberFormat="1" applyFont="1" applyFill="1" applyAlignment="1"/>
    <xf numFmtId="0" fontId="39" fillId="2" borderId="0" xfId="0" applyNumberFormat="1" applyFont="1" applyFill="1" applyAlignment="1"/>
    <xf numFmtId="0" fontId="39" fillId="2" borderId="18" xfId="0" applyNumberFormat="1" applyFont="1" applyFill="1" applyBorder="1" applyAlignment="1"/>
    <xf numFmtId="0" fontId="39" fillId="2" borderId="1" xfId="0" applyNumberFormat="1" applyFont="1" applyFill="1" applyBorder="1" applyAlignment="1">
      <alignment horizontal="center"/>
    </xf>
    <xf numFmtId="0" fontId="42" fillId="2" borderId="0" xfId="0" applyNumberFormat="1" applyFont="1" applyFill="1" applyAlignment="1"/>
    <xf numFmtId="0" fontId="43" fillId="2" borderId="0" xfId="0" applyNumberFormat="1" applyFont="1" applyFill="1" applyAlignment="1"/>
    <xf numFmtId="0" fontId="44" fillId="2" borderId="0" xfId="0" applyNumberFormat="1" applyFont="1" applyFill="1" applyAlignment="1"/>
    <xf numFmtId="0" fontId="45" fillId="2" borderId="0" xfId="1" applyNumberFormat="1" applyFont="1" applyFill="1" applyAlignment="1" applyProtection="1"/>
    <xf numFmtId="0" fontId="46" fillId="2" borderId="0" xfId="1" applyNumberFormat="1" applyFont="1" applyFill="1" applyAlignment="1" applyProtection="1"/>
    <xf numFmtId="0" fontId="47" fillId="2" borderId="0" xfId="0" applyNumberFormat="1" applyFont="1" applyFill="1" applyAlignment="1"/>
    <xf numFmtId="0" fontId="48" fillId="2" borderId="1" xfId="0" applyNumberFormat="1" applyFont="1" applyFill="1" applyBorder="1" applyAlignment="1"/>
    <xf numFmtId="0" fontId="49" fillId="2" borderId="0" xfId="0" applyNumberFormat="1" applyFont="1" applyFill="1" applyAlignment="1"/>
    <xf numFmtId="0" fontId="48" fillId="2" borderId="0" xfId="0" applyNumberFormat="1" applyFont="1" applyFill="1" applyAlignment="1"/>
    <xf numFmtId="0" fontId="48" fillId="2" borderId="18" xfId="0" applyNumberFormat="1" applyFont="1" applyFill="1" applyBorder="1" applyAlignment="1"/>
    <xf numFmtId="0" fontId="48" fillId="0" borderId="1" xfId="0" applyNumberFormat="1" applyFont="1" applyBorder="1"/>
    <xf numFmtId="0" fontId="48" fillId="0" borderId="0" xfId="0" applyNumberFormat="1" applyFont="1" applyAlignment="1"/>
    <xf numFmtId="0" fontId="48" fillId="2" borderId="5" xfId="0" applyNumberFormat="1" applyFont="1" applyFill="1" applyBorder="1" applyAlignment="1"/>
    <xf numFmtId="0" fontId="48" fillId="2" borderId="2" xfId="0" applyNumberFormat="1" applyFont="1" applyFill="1" applyBorder="1" applyAlignment="1"/>
    <xf numFmtId="0" fontId="48" fillId="2" borderId="17" xfId="0" applyNumberFormat="1" applyFont="1" applyFill="1" applyBorder="1" applyAlignment="1"/>
    <xf numFmtId="0" fontId="50" fillId="2" borderId="0" xfId="0" applyNumberFormat="1" applyFont="1" applyFill="1" applyAlignment="1">
      <alignment horizontal="center" wrapText="1"/>
    </xf>
    <xf numFmtId="9" fontId="49" fillId="2" borderId="0" xfId="0" applyNumberFormat="1" applyFont="1" applyFill="1" applyAlignment="1">
      <alignment horizontal="center"/>
    </xf>
    <xf numFmtId="10" fontId="49" fillId="2" borderId="0" xfId="0" applyNumberFormat="1" applyFont="1" applyFill="1" applyAlignment="1">
      <alignment horizontal="center"/>
    </xf>
    <xf numFmtId="15" fontId="49" fillId="2" borderId="0" xfId="0" applyNumberFormat="1" applyFont="1" applyFill="1" applyAlignment="1">
      <alignment horizontal="center"/>
    </xf>
    <xf numFmtId="0" fontId="48" fillId="2" borderId="0" xfId="0" applyNumberFormat="1" applyFont="1" applyFill="1" applyAlignment="1">
      <alignment horizontal="center"/>
    </xf>
    <xf numFmtId="0" fontId="50" fillId="2" borderId="0" xfId="0" applyNumberFormat="1" applyFont="1" applyFill="1" applyAlignment="1"/>
    <xf numFmtId="0" fontId="39" fillId="2" borderId="0" xfId="0" applyNumberFormat="1" applyFont="1" applyFill="1" applyAlignment="1">
      <alignment horizontal="right"/>
    </xf>
    <xf numFmtId="0" fontId="51" fillId="4" borderId="1" xfId="0" applyNumberFormat="1" applyFont="1" applyFill="1" applyBorder="1" applyAlignment="1"/>
    <xf numFmtId="0" fontId="51" fillId="4" borderId="0" xfId="0" applyNumberFormat="1" applyFont="1" applyFill="1" applyBorder="1" applyAlignment="1"/>
    <xf numFmtId="0" fontId="52" fillId="4" borderId="0" xfId="0" applyNumberFormat="1" applyFont="1" applyFill="1" applyBorder="1" applyAlignment="1">
      <alignment horizontal="center" wrapText="1"/>
    </xf>
    <xf numFmtId="0" fontId="51" fillId="4" borderId="0" xfId="0" applyNumberFormat="1" applyFont="1" applyFill="1" applyBorder="1" applyAlignment="1">
      <alignment horizontal="center" wrapText="1"/>
    </xf>
    <xf numFmtId="0" fontId="51" fillId="4" borderId="18" xfId="0" applyNumberFormat="1" applyFont="1" applyFill="1" applyBorder="1" applyAlignment="1"/>
    <xf numFmtId="0" fontId="48" fillId="2" borderId="0" xfId="0" applyNumberFormat="1" applyFont="1" applyFill="1" applyBorder="1" applyAlignment="1"/>
    <xf numFmtId="0" fontId="48" fillId="2" borderId="0" xfId="0" applyNumberFormat="1" applyFont="1" applyFill="1" applyBorder="1" applyAlignment="1">
      <alignment horizontal="center" wrapText="1"/>
    </xf>
    <xf numFmtId="0" fontId="49" fillId="2" borderId="14" xfId="0" applyNumberFormat="1" applyFont="1" applyFill="1" applyBorder="1" applyAlignment="1"/>
    <xf numFmtId="0" fontId="48" fillId="2" borderId="15" xfId="0" applyNumberFormat="1" applyFont="1" applyFill="1" applyBorder="1" applyAlignment="1"/>
    <xf numFmtId="0" fontId="49" fillId="2" borderId="15" xfId="0" applyNumberFormat="1" applyFont="1" applyFill="1" applyBorder="1" applyAlignment="1">
      <alignment horizontal="center" wrapText="1"/>
    </xf>
    <xf numFmtId="0" fontId="48" fillId="2" borderId="15" xfId="0" applyNumberFormat="1" applyFont="1" applyFill="1" applyBorder="1" applyAlignment="1">
      <alignment horizontal="center" wrapText="1"/>
    </xf>
    <xf numFmtId="0" fontId="48" fillId="2" borderId="16" xfId="0" applyNumberFormat="1" applyFont="1" applyFill="1" applyBorder="1" applyAlignment="1"/>
    <xf numFmtId="0" fontId="49" fillId="2" borderId="15" xfId="0" applyNumberFormat="1" applyFont="1" applyFill="1" applyBorder="1" applyAlignment="1"/>
    <xf numFmtId="169" fontId="48" fillId="0" borderId="0" xfId="0" applyNumberFormat="1" applyFont="1" applyAlignment="1"/>
    <xf numFmtId="171" fontId="48" fillId="0" borderId="0" xfId="0" applyNumberFormat="1" applyFont="1" applyAlignment="1"/>
    <xf numFmtId="0" fontId="48" fillId="2" borderId="14" xfId="0" applyNumberFormat="1" applyFont="1" applyFill="1" applyBorder="1" applyAlignment="1"/>
    <xf numFmtId="0" fontId="48" fillId="2" borderId="15" xfId="0" applyNumberFormat="1" applyFont="1" applyFill="1" applyBorder="1" applyAlignment="1">
      <alignment horizontal="center"/>
    </xf>
    <xf numFmtId="164" fontId="48" fillId="2" borderId="15" xfId="0" applyNumberFormat="1" applyFont="1" applyFill="1" applyBorder="1" applyAlignment="1"/>
    <xf numFmtId="164" fontId="48" fillId="2" borderId="15" xfId="0" applyNumberFormat="1" applyFont="1" applyFill="1" applyBorder="1" applyAlignment="1">
      <alignment horizontal="center"/>
    </xf>
    <xf numFmtId="3" fontId="48" fillId="2" borderId="16" xfId="0" applyNumberFormat="1" applyFont="1" applyFill="1" applyBorder="1" applyAlignment="1"/>
    <xf numFmtId="164" fontId="49" fillId="2" borderId="15" xfId="0" applyNumberFormat="1" applyFont="1" applyFill="1" applyBorder="1" applyAlignment="1"/>
    <xf numFmtId="172" fontId="48" fillId="2" borderId="15" xfId="0" applyNumberFormat="1" applyFont="1" applyFill="1" applyBorder="1" applyAlignment="1">
      <alignment horizontal="center"/>
    </xf>
    <xf numFmtId="168" fontId="48" fillId="2" borderId="15" xfId="0" applyNumberFormat="1" applyFont="1" applyFill="1" applyBorder="1" applyAlignment="1">
      <alignment horizontal="center"/>
    </xf>
    <xf numFmtId="169" fontId="48" fillId="2" borderId="15" xfId="0" applyNumberFormat="1" applyFont="1" applyFill="1" applyBorder="1" applyAlignment="1">
      <alignment horizontal="center"/>
    </xf>
    <xf numFmtId="171" fontId="48" fillId="2" borderId="15" xfId="0" applyNumberFormat="1" applyFont="1" applyFill="1" applyBorder="1" applyAlignment="1">
      <alignment horizontal="center"/>
    </xf>
    <xf numFmtId="164" fontId="49" fillId="2" borderId="15" xfId="0" applyNumberFormat="1" applyFont="1" applyFill="1" applyBorder="1" applyAlignment="1">
      <alignment horizontal="center"/>
    </xf>
    <xf numFmtId="172" fontId="49" fillId="2" borderId="15" xfId="0" applyNumberFormat="1" applyFont="1" applyFill="1" applyBorder="1" applyAlignment="1">
      <alignment horizontal="center"/>
    </xf>
    <xf numFmtId="169" fontId="49" fillId="2" borderId="15" xfId="0" applyNumberFormat="1" applyFont="1" applyFill="1" applyBorder="1" applyAlignment="1">
      <alignment horizontal="center"/>
    </xf>
    <xf numFmtId="168" fontId="49" fillId="2" borderId="15" xfId="0" applyNumberFormat="1" applyFont="1" applyFill="1" applyBorder="1" applyAlignment="1">
      <alignment horizontal="center"/>
    </xf>
    <xf numFmtId="0" fontId="53" fillId="2" borderId="14" xfId="0" applyNumberFormat="1" applyFont="1" applyFill="1" applyBorder="1" applyAlignment="1"/>
    <xf numFmtId="0" fontId="47" fillId="2" borderId="15" xfId="0" applyNumberFormat="1" applyFont="1" applyFill="1" applyBorder="1" applyAlignment="1"/>
    <xf numFmtId="0" fontId="39" fillId="2" borderId="15" xfId="0" applyNumberFormat="1" applyFont="1" applyFill="1" applyBorder="1" applyAlignment="1"/>
    <xf numFmtId="170" fontId="47" fillId="2" borderId="15" xfId="0" applyNumberFormat="1" applyFont="1" applyFill="1" applyBorder="1" applyAlignment="1">
      <alignment horizontal="center"/>
    </xf>
    <xf numFmtId="170" fontId="42" fillId="2" borderId="15" xfId="0" applyNumberFormat="1" applyFont="1" applyFill="1" applyBorder="1" applyAlignment="1">
      <alignment horizontal="center"/>
    </xf>
    <xf numFmtId="0" fontId="53" fillId="2" borderId="15" xfId="0" applyNumberFormat="1" applyFont="1" applyFill="1" applyBorder="1" applyAlignment="1">
      <alignment horizontal="center"/>
    </xf>
    <xf numFmtId="0" fontId="53" fillId="2" borderId="15" xfId="0" applyNumberFormat="1" applyFont="1" applyFill="1" applyBorder="1" applyAlignment="1"/>
    <xf numFmtId="164" fontId="53" fillId="2" borderId="15" xfId="0" applyNumberFormat="1" applyFont="1" applyFill="1" applyBorder="1" applyAlignment="1"/>
    <xf numFmtId="0" fontId="53" fillId="2" borderId="16" xfId="0" applyNumberFormat="1" applyFont="1" applyFill="1" applyBorder="1" applyAlignment="1"/>
    <xf numFmtId="0" fontId="53" fillId="0" borderId="1" xfId="0" applyNumberFormat="1" applyFont="1" applyBorder="1"/>
    <xf numFmtId="0" fontId="53" fillId="0" borderId="0" xfId="0" applyNumberFormat="1" applyFont="1" applyAlignment="1"/>
    <xf numFmtId="170" fontId="39" fillId="2" borderId="15" xfId="0" applyNumberFormat="1" applyFont="1" applyFill="1" applyBorder="1" applyAlignment="1">
      <alignment horizontal="center"/>
    </xf>
    <xf numFmtId="10" fontId="53" fillId="2" borderId="15" xfId="0" applyNumberFormat="1" applyFont="1" applyFill="1" applyBorder="1" applyAlignment="1">
      <alignment horizontal="center"/>
    </xf>
    <xf numFmtId="165" fontId="53" fillId="2" borderId="15" xfId="0" applyNumberFormat="1" applyFont="1" applyFill="1" applyBorder="1" applyAlignment="1">
      <alignment horizontal="center"/>
    </xf>
    <xf numFmtId="10" fontId="48" fillId="2" borderId="15" xfId="0" applyNumberFormat="1" applyFont="1" applyFill="1" applyBorder="1" applyAlignment="1">
      <alignment horizontal="center"/>
    </xf>
    <xf numFmtId="165" fontId="48" fillId="2" borderId="15" xfId="0" applyNumberFormat="1" applyFont="1" applyFill="1" applyBorder="1" applyAlignment="1">
      <alignment horizontal="center"/>
    </xf>
    <xf numFmtId="167" fontId="48" fillId="2" borderId="15" xfId="0" applyNumberFormat="1" applyFont="1" applyFill="1" applyBorder="1" applyAlignment="1">
      <alignment horizontal="center"/>
    </xf>
    <xf numFmtId="9" fontId="48" fillId="2" borderId="15" xfId="2" applyFont="1" applyFill="1" applyBorder="1" applyAlignment="1">
      <alignment horizontal="center"/>
    </xf>
    <xf numFmtId="0" fontId="48" fillId="2" borderId="15" xfId="0" applyNumberFormat="1" applyFont="1" applyFill="1" applyBorder="1" applyAlignment="1">
      <alignment horizontal="right"/>
    </xf>
    <xf numFmtId="10" fontId="48" fillId="2" borderId="15" xfId="2" applyNumberFormat="1" applyFont="1" applyFill="1" applyBorder="1" applyAlignment="1">
      <alignment horizontal="center"/>
    </xf>
    <xf numFmtId="4" fontId="48" fillId="2" borderId="15" xfId="0" applyNumberFormat="1" applyFont="1" applyFill="1" applyBorder="1" applyAlignment="1">
      <alignment horizontal="center"/>
    </xf>
    <xf numFmtId="0" fontId="49" fillId="2" borderId="15" xfId="0" applyNumberFormat="1" applyFont="1" applyFill="1" applyBorder="1" applyAlignment="1">
      <alignment horizontal="center"/>
    </xf>
    <xf numFmtId="15" fontId="49" fillId="2" borderId="15" xfId="0" applyNumberFormat="1" applyFont="1" applyFill="1" applyBorder="1" applyAlignment="1">
      <alignment horizontal="center"/>
    </xf>
    <xf numFmtId="15" fontId="49" fillId="2" borderId="15" xfId="0" applyNumberFormat="1" applyFont="1" applyFill="1" applyBorder="1" applyAlignment="1" applyProtection="1">
      <alignment horizontal="center"/>
      <protection locked="0"/>
    </xf>
    <xf numFmtId="15" fontId="48" fillId="2" borderId="15" xfId="0" applyNumberFormat="1" applyFont="1" applyFill="1" applyBorder="1" applyAlignment="1"/>
    <xf numFmtId="15" fontId="48" fillId="2" borderId="15" xfId="0" applyNumberFormat="1" applyFont="1" applyFill="1" applyBorder="1" applyAlignment="1" applyProtection="1">
      <alignment horizontal="center"/>
      <protection locked="0"/>
    </xf>
    <xf numFmtId="15" fontId="48" fillId="2" borderId="15" xfId="0" applyNumberFormat="1" applyFont="1" applyFill="1" applyBorder="1" applyAlignment="1">
      <alignment horizontal="center"/>
    </xf>
    <xf numFmtId="0" fontId="48" fillId="0" borderId="0" xfId="0" applyNumberFormat="1" applyFont="1" applyFill="1" applyBorder="1" applyAlignment="1"/>
    <xf numFmtId="15" fontId="48" fillId="2" borderId="0" xfId="0" applyNumberFormat="1" applyFont="1" applyFill="1" applyBorder="1" applyAlignment="1" applyProtection="1">
      <alignment horizontal="center"/>
      <protection locked="0"/>
    </xf>
    <xf numFmtId="15" fontId="48" fillId="2" borderId="0" xfId="0" applyNumberFormat="1" applyFont="1" applyFill="1" applyBorder="1" applyAlignment="1">
      <alignment horizontal="center"/>
    </xf>
    <xf numFmtId="15" fontId="48" fillId="2" borderId="0" xfId="0" applyNumberFormat="1" applyFont="1" applyFill="1" applyAlignment="1" applyProtection="1">
      <alignment horizontal="center"/>
      <protection locked="0"/>
    </xf>
    <xf numFmtId="15" fontId="48" fillId="2" borderId="0" xfId="0" applyNumberFormat="1" applyFont="1" applyFill="1" applyAlignment="1">
      <alignment horizontal="center"/>
    </xf>
    <xf numFmtId="0" fontId="48" fillId="2" borderId="8" xfId="0" applyNumberFormat="1" applyFont="1" applyFill="1" applyBorder="1" applyAlignment="1"/>
    <xf numFmtId="0" fontId="54" fillId="2" borderId="9" xfId="0" applyNumberFormat="1" applyFont="1" applyFill="1" applyBorder="1" applyAlignment="1"/>
    <xf numFmtId="0" fontId="48" fillId="2" borderId="9" xfId="0" applyNumberFormat="1" applyFont="1" applyFill="1" applyBorder="1" applyAlignment="1"/>
    <xf numFmtId="0" fontId="48" fillId="2" borderId="9" xfId="0" applyNumberFormat="1" applyFont="1" applyFill="1" applyBorder="1" applyAlignment="1" applyProtection="1">
      <alignment horizontal="right"/>
      <protection locked="0"/>
    </xf>
    <xf numFmtId="0" fontId="48" fillId="2" borderId="10" xfId="0" applyNumberFormat="1" applyFont="1" applyFill="1" applyBorder="1" applyAlignment="1"/>
    <xf numFmtId="0" fontId="55" fillId="4" borderId="0" xfId="0" applyNumberFormat="1" applyFont="1" applyFill="1" applyAlignment="1"/>
    <xf numFmtId="0" fontId="51" fillId="4" borderId="0" xfId="0" applyNumberFormat="1" applyFont="1" applyFill="1" applyAlignment="1"/>
    <xf numFmtId="4" fontId="51" fillId="4" borderId="0" xfId="0" applyNumberFormat="1" applyFont="1" applyFill="1" applyAlignment="1" applyProtection="1">
      <alignment horizontal="right"/>
      <protection locked="0"/>
    </xf>
    <xf numFmtId="4" fontId="39" fillId="2" borderId="0" xfId="0" applyNumberFormat="1" applyFont="1" applyFill="1" applyAlignment="1" applyProtection="1">
      <alignment horizontal="right"/>
      <protection locked="0"/>
    </xf>
    <xf numFmtId="0" fontId="53" fillId="2" borderId="1" xfId="0" applyNumberFormat="1" applyFont="1" applyFill="1" applyBorder="1" applyAlignment="1"/>
    <xf numFmtId="0" fontId="42" fillId="2" borderId="0" xfId="0" applyNumberFormat="1" applyFont="1" applyFill="1" applyAlignment="1">
      <alignment horizontal="left" vertical="top" wrapText="1"/>
    </xf>
    <xf numFmtId="0" fontId="42" fillId="2" borderId="0" xfId="0" applyNumberFormat="1" applyFont="1" applyFill="1" applyAlignment="1">
      <alignment horizontal="center" vertical="top" wrapText="1"/>
    </xf>
    <xf numFmtId="4" fontId="42" fillId="2" borderId="0" xfId="0" applyNumberFormat="1" applyFont="1" applyFill="1" applyAlignment="1" applyProtection="1">
      <alignment horizontal="center" vertical="top" wrapText="1"/>
      <protection locked="0"/>
    </xf>
    <xf numFmtId="0" fontId="53" fillId="2" borderId="18" xfId="0" applyNumberFormat="1" applyFont="1" applyFill="1" applyBorder="1" applyAlignment="1"/>
    <xf numFmtId="3" fontId="48" fillId="2" borderId="15" xfId="0" applyNumberFormat="1" applyFont="1" applyFill="1" applyBorder="1" applyAlignment="1"/>
    <xf numFmtId="3" fontId="48" fillId="2" borderId="15" xfId="0" applyNumberFormat="1" applyFont="1" applyFill="1" applyBorder="1" applyAlignment="1" applyProtection="1">
      <alignment horizontal="right"/>
      <protection locked="0"/>
    </xf>
    <xf numFmtId="0" fontId="39" fillId="2" borderId="0" xfId="0" applyNumberFormat="1" applyFont="1" applyFill="1" applyBorder="1" applyAlignment="1"/>
    <xf numFmtId="3" fontId="39" fillId="2" borderId="0" xfId="0" applyNumberFormat="1" applyFont="1" applyFill="1" applyBorder="1" applyAlignment="1"/>
    <xf numFmtId="3" fontId="56" fillId="2" borderId="0" xfId="0" applyNumberFormat="1" applyFont="1" applyFill="1" applyBorder="1" applyAlignment="1"/>
    <xf numFmtId="3" fontId="53" fillId="2" borderId="0" xfId="0" applyNumberFormat="1" applyFont="1" applyFill="1" applyAlignment="1"/>
    <xf numFmtId="3" fontId="39" fillId="2" borderId="0" xfId="0" applyNumberFormat="1" applyFont="1" applyFill="1" applyAlignment="1"/>
    <xf numFmtId="3" fontId="56" fillId="2" borderId="0" xfId="0" applyNumberFormat="1" applyFont="1" applyFill="1" applyAlignment="1"/>
    <xf numFmtId="0" fontId="52" fillId="4" borderId="0" xfId="0" applyNumberFormat="1" applyFont="1" applyFill="1" applyBorder="1" applyAlignment="1"/>
    <xf numFmtId="0" fontId="52" fillId="4" borderId="0" xfId="0" applyNumberFormat="1" applyFont="1" applyFill="1" applyBorder="1" applyAlignment="1">
      <alignment horizontal="center"/>
    </xf>
    <xf numFmtId="0" fontId="52" fillId="4" borderId="0" xfId="0" applyNumberFormat="1" applyFont="1" applyFill="1" applyBorder="1" applyAlignment="1">
      <alignment horizontal="right"/>
    </xf>
    <xf numFmtId="15" fontId="52" fillId="4" borderId="0" xfId="0" applyNumberFormat="1" applyFont="1" applyFill="1" applyBorder="1" applyAlignment="1">
      <alignment horizontal="right"/>
    </xf>
    <xf numFmtId="3" fontId="48" fillId="2" borderId="0" xfId="0" applyNumberFormat="1" applyFont="1" applyFill="1" applyBorder="1" applyAlignment="1"/>
    <xf numFmtId="3" fontId="48" fillId="2" borderId="0" xfId="0" applyNumberFormat="1" applyFont="1" applyFill="1" applyBorder="1" applyAlignment="1" applyProtection="1">
      <alignment horizontal="right"/>
      <protection locked="0"/>
    </xf>
    <xf numFmtId="14" fontId="48" fillId="2" borderId="15" xfId="0" applyNumberFormat="1" applyFont="1" applyFill="1" applyBorder="1" applyAlignment="1">
      <alignment horizontal="right"/>
    </xf>
    <xf numFmtId="167" fontId="48" fillId="2" borderId="15" xfId="0" applyNumberFormat="1" applyFont="1" applyFill="1" applyBorder="1" applyAlignment="1">
      <alignment horizontal="right"/>
    </xf>
    <xf numFmtId="0" fontId="39" fillId="2" borderId="14" xfId="0" applyNumberFormat="1" applyFont="1" applyFill="1" applyBorder="1" applyAlignment="1"/>
    <xf numFmtId="0" fontId="46" fillId="2" borderId="15" xfId="0" applyNumberFormat="1" applyFont="1" applyFill="1" applyBorder="1" applyAlignment="1"/>
    <xf numFmtId="3" fontId="57" fillId="2" borderId="15" xfId="0" applyNumberFormat="1" applyFont="1" applyFill="1" applyBorder="1" applyAlignment="1"/>
    <xf numFmtId="0" fontId="57" fillId="2" borderId="15" xfId="0" applyNumberFormat="1" applyFont="1" applyFill="1" applyBorder="1" applyAlignment="1"/>
    <xf numFmtId="3" fontId="57" fillId="2" borderId="15" xfId="0" applyNumberFormat="1" applyFont="1" applyFill="1" applyBorder="1" applyAlignment="1" applyProtection="1">
      <alignment horizontal="right"/>
      <protection locked="0"/>
    </xf>
    <xf numFmtId="0" fontId="39" fillId="2" borderId="16" xfId="0" applyNumberFormat="1" applyFont="1" applyFill="1" applyBorder="1" applyAlignment="1"/>
    <xf numFmtId="3" fontId="48" fillId="0" borderId="0" xfId="0" applyNumberFormat="1" applyFont="1" applyAlignment="1"/>
    <xf numFmtId="4" fontId="57" fillId="2" borderId="15" xfId="0" applyNumberFormat="1" applyFont="1" applyFill="1" applyBorder="1" applyAlignment="1" applyProtection="1">
      <alignment horizontal="right"/>
      <protection locked="0"/>
    </xf>
    <xf numFmtId="4" fontId="48" fillId="2" borderId="0" xfId="0" applyNumberFormat="1" applyFont="1" applyFill="1" applyAlignment="1" applyProtection="1">
      <alignment horizontal="right"/>
      <protection locked="0"/>
    </xf>
    <xf numFmtId="4" fontId="48" fillId="2" borderId="9" xfId="0" applyNumberFormat="1" applyFont="1" applyFill="1" applyBorder="1" applyAlignment="1" applyProtection="1">
      <alignment horizontal="right"/>
      <protection locked="0"/>
    </xf>
    <xf numFmtId="0" fontId="51" fillId="4" borderId="5" xfId="0" applyNumberFormat="1" applyFont="1" applyFill="1" applyBorder="1" applyAlignment="1"/>
    <xf numFmtId="0" fontId="52" fillId="4" borderId="2" xfId="0" applyNumberFormat="1" applyFont="1" applyFill="1" applyBorder="1" applyAlignment="1"/>
    <xf numFmtId="0" fontId="51" fillId="4" borderId="2" xfId="0" applyNumberFormat="1" applyFont="1" applyFill="1" applyBorder="1" applyAlignment="1"/>
    <xf numFmtId="4" fontId="51" fillId="4" borderId="2" xfId="0" applyNumberFormat="1" applyFont="1" applyFill="1" applyBorder="1" applyAlignment="1" applyProtection="1">
      <alignment horizontal="right"/>
      <protection locked="0"/>
    </xf>
    <xf numFmtId="0" fontId="51" fillId="4" borderId="17" xfId="0" applyNumberFormat="1" applyFont="1" applyFill="1" applyBorder="1" applyAlignment="1"/>
    <xf numFmtId="0" fontId="58" fillId="2" borderId="0" xfId="0" applyNumberFormat="1" applyFont="1" applyFill="1" applyAlignment="1"/>
    <xf numFmtId="0" fontId="46" fillId="2" borderId="0" xfId="0" applyNumberFormat="1" applyFont="1" applyFill="1" applyAlignment="1"/>
    <xf numFmtId="4" fontId="39" fillId="2" borderId="0" xfId="0" applyNumberFormat="1" applyFont="1" applyFill="1" applyBorder="1" applyAlignment="1" applyProtection="1">
      <alignment horizontal="right"/>
      <protection locked="0"/>
    </xf>
    <xf numFmtId="0" fontId="57" fillId="2" borderId="0" xfId="0" applyNumberFormat="1" applyFont="1" applyFill="1" applyBorder="1" applyAlignment="1"/>
    <xf numFmtId="3" fontId="57" fillId="2" borderId="0" xfId="0" applyNumberFormat="1" applyFont="1" applyFill="1" applyBorder="1" applyAlignment="1" applyProtection="1">
      <alignment horizontal="right"/>
      <protection locked="0"/>
    </xf>
    <xf numFmtId="0" fontId="48" fillId="2" borderId="20" xfId="0" applyNumberFormat="1" applyFont="1" applyFill="1" applyBorder="1" applyAlignment="1"/>
    <xf numFmtId="0" fontId="48" fillId="2" borderId="21" xfId="0" applyNumberFormat="1" applyFont="1" applyFill="1" applyBorder="1" applyAlignment="1"/>
    <xf numFmtId="3" fontId="48" fillId="2" borderId="21" xfId="0" applyNumberFormat="1" applyFont="1" applyFill="1" applyBorder="1" applyAlignment="1" applyProtection="1">
      <alignment horizontal="right"/>
      <protection locked="0"/>
    </xf>
    <xf numFmtId="0" fontId="48" fillId="2" borderId="22" xfId="0" applyNumberFormat="1" applyFont="1" applyFill="1" applyBorder="1" applyAlignment="1"/>
    <xf numFmtId="4" fontId="56" fillId="2" borderId="0" xfId="0" applyNumberFormat="1" applyFont="1" applyFill="1" applyAlignment="1" applyProtection="1">
      <alignment horizontal="right"/>
      <protection locked="0"/>
    </xf>
    <xf numFmtId="4" fontId="39" fillId="2" borderId="2" xfId="0" applyNumberFormat="1" applyFont="1" applyFill="1" applyBorder="1" applyAlignment="1" applyProtection="1">
      <alignment horizontal="right"/>
      <protection locked="0"/>
    </xf>
    <xf numFmtId="3" fontId="39" fillId="2" borderId="0" xfId="0" applyNumberFormat="1" applyFont="1" applyFill="1" applyBorder="1" applyAlignment="1" applyProtection="1">
      <alignment horizontal="right"/>
      <protection locked="0"/>
    </xf>
    <xf numFmtId="0" fontId="39" fillId="0" borderId="0" xfId="0" applyNumberFormat="1" applyFont="1" applyBorder="1" applyAlignment="1"/>
    <xf numFmtId="0" fontId="48" fillId="0" borderId="3" xfId="0" applyNumberFormat="1" applyFont="1" applyBorder="1" applyAlignment="1"/>
    <xf numFmtId="0" fontId="39" fillId="2" borderId="8" xfId="0" applyNumberFormat="1" applyFont="1" applyFill="1" applyBorder="1" applyAlignment="1"/>
    <xf numFmtId="0" fontId="39" fillId="0" borderId="4" xfId="0" applyNumberFormat="1" applyFont="1" applyBorder="1" applyAlignment="1"/>
    <xf numFmtId="0" fontId="39" fillId="0" borderId="2" xfId="0" applyNumberFormat="1" applyFont="1" applyBorder="1" applyAlignment="1"/>
    <xf numFmtId="0" fontId="53" fillId="2" borderId="0" xfId="0" applyNumberFormat="1" applyFont="1" applyFill="1" applyAlignment="1"/>
    <xf numFmtId="0" fontId="42" fillId="2" borderId="0" xfId="0" applyNumberFormat="1" applyFont="1" applyFill="1" applyAlignment="1">
      <alignment horizontal="right"/>
    </xf>
    <xf numFmtId="4" fontId="42" fillId="2" borderId="0" xfId="0" applyNumberFormat="1" applyFont="1" applyFill="1" applyAlignment="1" applyProtection="1">
      <alignment horizontal="right"/>
      <protection locked="0"/>
    </xf>
    <xf numFmtId="0" fontId="42" fillId="2" borderId="18" xfId="0" applyNumberFormat="1" applyFont="1" applyFill="1" applyBorder="1" applyAlignment="1"/>
    <xf numFmtId="0" fontId="39" fillId="2" borderId="0" xfId="0" applyNumberFormat="1" applyFont="1" applyFill="1" applyAlignment="1" applyProtection="1">
      <protection locked="0"/>
    </xf>
    <xf numFmtId="4" fontId="48" fillId="2" borderId="15" xfId="0" applyNumberFormat="1" applyFont="1" applyFill="1" applyBorder="1" applyAlignment="1" applyProtection="1">
      <alignment horizontal="right"/>
      <protection locked="0"/>
    </xf>
    <xf numFmtId="2" fontId="48" fillId="2" borderId="15" xfId="0" applyNumberFormat="1" applyFont="1" applyFill="1" applyBorder="1" applyAlignment="1" applyProtection="1">
      <alignment horizontal="right"/>
      <protection locked="0"/>
    </xf>
    <xf numFmtId="15" fontId="52" fillId="4" borderId="2" xfId="0" applyNumberFormat="1" applyFont="1" applyFill="1" applyBorder="1" applyAlignment="1">
      <alignment horizontal="centerContinuous"/>
    </xf>
    <xf numFmtId="15" fontId="52" fillId="4" borderId="2" xfId="0" applyNumberFormat="1" applyFont="1" applyFill="1" applyBorder="1" applyAlignment="1">
      <alignment horizontal="center"/>
    </xf>
    <xf numFmtId="0" fontId="56" fillId="2" borderId="1" xfId="0" applyNumberFormat="1" applyFont="1" applyFill="1" applyBorder="1" applyAlignment="1"/>
    <xf numFmtId="0" fontId="59" fillId="2" borderId="0" xfId="0" applyNumberFormat="1" applyFont="1" applyFill="1" applyAlignment="1"/>
    <xf numFmtId="15" fontId="60" fillId="2" borderId="0" xfId="0" applyNumberFormat="1" applyFont="1" applyFill="1" applyAlignment="1">
      <alignment horizontal="centerContinuous"/>
    </xf>
    <xf numFmtId="15" fontId="60" fillId="2" borderId="0" xfId="0" applyNumberFormat="1" applyFont="1" applyFill="1" applyAlignment="1">
      <alignment horizontal="center"/>
    </xf>
    <xf numFmtId="15" fontId="49" fillId="2" borderId="15" xfId="0" applyNumberFormat="1" applyFont="1" applyFill="1" applyBorder="1" applyAlignment="1">
      <alignment horizontal="centerContinuous"/>
    </xf>
    <xf numFmtId="17" fontId="48" fillId="2" borderId="15" xfId="0" applyNumberFormat="1" applyFont="1" applyFill="1" applyBorder="1" applyAlignment="1">
      <alignment horizontal="center"/>
    </xf>
    <xf numFmtId="0" fontId="56" fillId="2" borderId="0" xfId="0" applyNumberFormat="1" applyFont="1" applyFill="1" applyBorder="1" applyAlignment="1"/>
    <xf numFmtId="0" fontId="39" fillId="2" borderId="0" xfId="0" applyNumberFormat="1" applyFont="1" applyFill="1" applyBorder="1" applyAlignment="1" applyProtection="1">
      <protection locked="0"/>
    </xf>
    <xf numFmtId="0" fontId="51" fillId="4" borderId="1" xfId="0" applyNumberFormat="1" applyFont="1" applyFill="1" applyBorder="1" applyAlignment="1">
      <alignment horizontal="right"/>
    </xf>
    <xf numFmtId="3" fontId="52" fillId="4" borderId="0" xfId="0" applyNumberFormat="1" applyFont="1" applyFill="1" applyBorder="1" applyAlignment="1">
      <alignment horizontal="center"/>
    </xf>
    <xf numFmtId="0" fontId="48" fillId="2" borderId="1" xfId="0" applyNumberFormat="1" applyFont="1" applyFill="1" applyBorder="1" applyAlignment="1">
      <alignment horizontal="right"/>
    </xf>
    <xf numFmtId="0" fontId="48" fillId="2" borderId="0" xfId="0" applyNumberFormat="1" applyFont="1" applyFill="1" applyBorder="1" applyAlignment="1">
      <alignment horizontal="center"/>
    </xf>
    <xf numFmtId="3" fontId="48" fillId="2" borderId="0" xfId="0" applyNumberFormat="1" applyFont="1" applyFill="1" applyBorder="1" applyAlignment="1" applyProtection="1">
      <alignment horizontal="center"/>
      <protection locked="0"/>
    </xf>
    <xf numFmtId="0" fontId="48" fillId="2" borderId="0" xfId="0" applyNumberFormat="1" applyFont="1" applyFill="1" applyBorder="1" applyAlignment="1" applyProtection="1">
      <protection locked="0"/>
    </xf>
    <xf numFmtId="3" fontId="49" fillId="2" borderId="18" xfId="0" applyNumberFormat="1" applyFont="1" applyFill="1" applyBorder="1" applyAlignment="1"/>
    <xf numFmtId="0" fontId="48" fillId="2" borderId="14" xfId="0" applyNumberFormat="1" applyFont="1" applyFill="1" applyBorder="1" applyAlignment="1">
      <alignment horizontal="right"/>
    </xf>
    <xf numFmtId="3" fontId="48" fillId="2" borderId="15" xfId="0" applyNumberFormat="1" applyFont="1" applyFill="1" applyBorder="1" applyAlignment="1">
      <alignment horizontal="center"/>
    </xf>
    <xf numFmtId="3" fontId="48" fillId="2" borderId="15" xfId="0" applyNumberFormat="1" applyFont="1" applyFill="1" applyBorder="1" applyAlignment="1" applyProtection="1">
      <alignment horizontal="center"/>
      <protection locked="0"/>
    </xf>
    <xf numFmtId="0" fontId="48" fillId="2" borderId="15" xfId="0" applyNumberFormat="1" applyFont="1" applyFill="1" applyBorder="1" applyAlignment="1" applyProtection="1">
      <protection locked="0"/>
    </xf>
    <xf numFmtId="3" fontId="49" fillId="2" borderId="16" xfId="0" applyNumberFormat="1" applyFont="1" applyFill="1" applyBorder="1" applyAlignment="1"/>
    <xf numFmtId="0" fontId="56" fillId="2" borderId="14" xfId="0" applyNumberFormat="1" applyFont="1" applyFill="1" applyBorder="1" applyAlignment="1">
      <alignment horizontal="right"/>
    </xf>
    <xf numFmtId="0" fontId="42" fillId="2" borderId="15" xfId="0" applyNumberFormat="1" applyFont="1" applyFill="1" applyBorder="1" applyAlignment="1"/>
    <xf numFmtId="3" fontId="56" fillId="2" borderId="15" xfId="0" applyNumberFormat="1" applyFont="1" applyFill="1" applyBorder="1" applyAlignment="1"/>
    <xf numFmtId="0" fontId="39" fillId="2" borderId="15" xfId="0" applyNumberFormat="1" applyFont="1" applyFill="1" applyBorder="1" applyAlignment="1" applyProtection="1">
      <protection locked="0"/>
    </xf>
    <xf numFmtId="3" fontId="60" fillId="2" borderId="16" xfId="0" applyNumberFormat="1" applyFont="1" applyFill="1" applyBorder="1" applyAlignment="1"/>
    <xf numFmtId="0" fontId="56" fillId="2" borderId="14" xfId="0" applyNumberFormat="1" applyFont="1" applyFill="1" applyBorder="1" applyAlignment="1">
      <alignment horizontal="center"/>
    </xf>
    <xf numFmtId="0" fontId="56" fillId="2" borderId="15" xfId="0" applyNumberFormat="1" applyFont="1" applyFill="1" applyBorder="1" applyAlignment="1"/>
    <xf numFmtId="3" fontId="57" fillId="2" borderId="15" xfId="0" applyNumberFormat="1" applyFont="1" applyFill="1" applyBorder="1" applyAlignment="1" applyProtection="1">
      <alignment horizontal="center"/>
      <protection locked="0"/>
    </xf>
    <xf numFmtId="0" fontId="60" fillId="2" borderId="16" xfId="0" applyNumberFormat="1" applyFont="1" applyFill="1" applyBorder="1" applyAlignment="1"/>
    <xf numFmtId="0" fontId="48" fillId="2" borderId="14" xfId="0" applyNumberFormat="1" applyFont="1" applyFill="1" applyBorder="1" applyAlignment="1">
      <alignment horizontal="center"/>
    </xf>
    <xf numFmtId="0" fontId="49" fillId="2" borderId="16" xfId="0" applyNumberFormat="1" applyFont="1" applyFill="1" applyBorder="1" applyAlignment="1"/>
    <xf numFmtId="0" fontId="57" fillId="2" borderId="15" xfId="0" applyNumberFormat="1" applyFont="1" applyFill="1" applyBorder="1" applyAlignment="1">
      <alignment horizontal="center"/>
    </xf>
    <xf numFmtId="4" fontId="48" fillId="2" borderId="15" xfId="0" applyNumberFormat="1" applyFont="1" applyFill="1" applyBorder="1" applyAlignment="1" applyProtection="1">
      <alignment horizontal="center"/>
      <protection locked="0"/>
    </xf>
    <xf numFmtId="0" fontId="56" fillId="2" borderId="15" xfId="0" applyNumberFormat="1" applyFont="1" applyFill="1" applyBorder="1" applyAlignment="1">
      <alignment horizontal="right"/>
    </xf>
    <xf numFmtId="10" fontId="57" fillId="2" borderId="15" xfId="0" applyNumberFormat="1" applyFont="1" applyFill="1" applyBorder="1" applyAlignment="1" applyProtection="1">
      <alignment horizontal="center"/>
      <protection locked="0"/>
    </xf>
    <xf numFmtId="10" fontId="56" fillId="2" borderId="15" xfId="0" applyNumberFormat="1" applyFont="1" applyFill="1" applyBorder="1" applyAlignment="1" applyProtection="1">
      <alignment horizontal="center"/>
      <protection locked="0"/>
    </xf>
    <xf numFmtId="0" fontId="61" fillId="2" borderId="15" xfId="0" applyNumberFormat="1" applyFont="1" applyFill="1" applyBorder="1" applyAlignment="1"/>
    <xf numFmtId="10" fontId="45" fillId="2" borderId="15" xfId="1" applyNumberFormat="1" applyFont="1" applyFill="1" applyBorder="1" applyAlignment="1">
      <alignment horizontal="left"/>
      <protection locked="0"/>
    </xf>
    <xf numFmtId="10" fontId="62" fillId="2" borderId="15" xfId="1" applyNumberFormat="1" applyFont="1" applyFill="1" applyBorder="1" applyAlignment="1">
      <alignment horizontal="left"/>
      <protection locked="0"/>
    </xf>
    <xf numFmtId="0" fontId="56" fillId="2" borderId="1" xfId="0" applyNumberFormat="1" applyFont="1" applyFill="1" applyBorder="1" applyAlignment="1">
      <alignment horizontal="right"/>
    </xf>
    <xf numFmtId="0" fontId="63" fillId="2" borderId="0" xfId="0" applyNumberFormat="1" applyFont="1" applyFill="1" applyBorder="1" applyAlignment="1"/>
    <xf numFmtId="0" fontId="56" fillId="2" borderId="0" xfId="0" applyNumberFormat="1" applyFont="1" applyFill="1" applyBorder="1" applyAlignment="1">
      <alignment horizontal="right"/>
    </xf>
    <xf numFmtId="10" fontId="45" fillId="2" borderId="0" xfId="1" applyNumberFormat="1" applyFont="1" applyFill="1" applyBorder="1" applyAlignment="1">
      <alignment horizontal="left"/>
      <protection locked="0"/>
    </xf>
    <xf numFmtId="10" fontId="56" fillId="2" borderId="0" xfId="0" applyNumberFormat="1" applyFont="1" applyFill="1" applyBorder="1" applyAlignment="1" applyProtection="1">
      <alignment horizontal="center"/>
      <protection locked="0"/>
    </xf>
    <xf numFmtId="0" fontId="60" fillId="2" borderId="18" xfId="0" applyNumberFormat="1" applyFont="1" applyFill="1" applyBorder="1" applyAlignment="1"/>
    <xf numFmtId="0" fontId="52" fillId="4" borderId="18" xfId="0" applyNumberFormat="1" applyFont="1" applyFill="1" applyBorder="1" applyAlignment="1"/>
    <xf numFmtId="166" fontId="48" fillId="2" borderId="0" xfId="0" applyNumberFormat="1" applyFont="1" applyFill="1" applyBorder="1" applyAlignment="1"/>
    <xf numFmtId="10" fontId="48" fillId="2" borderId="0" xfId="0" applyNumberFormat="1" applyFont="1" applyFill="1" applyBorder="1" applyAlignment="1"/>
    <xf numFmtId="0" fontId="49" fillId="2" borderId="18" xfId="0" applyNumberFormat="1" applyFont="1" applyFill="1" applyBorder="1" applyAlignment="1"/>
    <xf numFmtId="166" fontId="48" fillId="2" borderId="15" xfId="0" applyNumberFormat="1" applyFont="1" applyFill="1" applyBorder="1" applyAlignment="1"/>
    <xf numFmtId="3" fontId="48" fillId="2" borderId="23" xfId="0" applyNumberFormat="1" applyFont="1" applyFill="1" applyBorder="1" applyAlignment="1"/>
    <xf numFmtId="10" fontId="48" fillId="2" borderId="24" xfId="0" applyNumberFormat="1" applyFont="1" applyFill="1" applyBorder="1" applyAlignment="1"/>
    <xf numFmtId="3" fontId="48" fillId="2" borderId="23" xfId="0" applyNumberFormat="1" applyFont="1" applyFill="1" applyBorder="1" applyAlignment="1" applyProtection="1">
      <alignment horizontal="right"/>
      <protection locked="0"/>
    </xf>
    <xf numFmtId="10" fontId="48" fillId="2" borderId="15" xfId="0" applyNumberFormat="1" applyFont="1" applyFill="1" applyBorder="1" applyAlignment="1"/>
    <xf numFmtId="3" fontId="48" fillId="2" borderId="21" xfId="0" applyNumberFormat="1" applyFont="1" applyFill="1" applyBorder="1" applyAlignment="1"/>
    <xf numFmtId="10" fontId="48" fillId="2" borderId="21" xfId="0" applyNumberFormat="1" applyFont="1" applyFill="1" applyBorder="1" applyAlignment="1"/>
    <xf numFmtId="3" fontId="48" fillId="2" borderId="25" xfId="0" applyNumberFormat="1" applyFont="1" applyFill="1" applyBorder="1" applyAlignment="1"/>
    <xf numFmtId="10" fontId="48" fillId="2" borderId="26" xfId="0" applyNumberFormat="1" applyFont="1" applyFill="1" applyBorder="1" applyAlignment="1"/>
    <xf numFmtId="3" fontId="48" fillId="2" borderId="25" xfId="0" applyNumberFormat="1" applyFont="1" applyFill="1" applyBorder="1" applyAlignment="1" applyProtection="1">
      <alignment horizontal="right"/>
      <protection locked="0"/>
    </xf>
    <xf numFmtId="9" fontId="48" fillId="2" borderId="15" xfId="0" applyNumberFormat="1" applyFont="1" applyFill="1" applyBorder="1" applyAlignment="1"/>
    <xf numFmtId="9" fontId="39" fillId="2" borderId="0" xfId="0" applyNumberFormat="1" applyFont="1" applyFill="1" applyBorder="1" applyAlignment="1"/>
    <xf numFmtId="10" fontId="39" fillId="2" borderId="0" xfId="0" applyNumberFormat="1" applyFont="1" applyFill="1" applyBorder="1" applyAlignment="1"/>
    <xf numFmtId="3" fontId="56" fillId="2" borderId="0" xfId="0" applyNumberFormat="1" applyFont="1" applyFill="1" applyBorder="1" applyAlignment="1" applyProtection="1">
      <alignment horizontal="right"/>
      <protection locked="0"/>
    </xf>
    <xf numFmtId="9" fontId="51" fillId="4" borderId="0" xfId="0" applyNumberFormat="1" applyFont="1" applyFill="1" applyBorder="1" applyAlignment="1"/>
    <xf numFmtId="9" fontId="48" fillId="2" borderId="0" xfId="0" applyNumberFormat="1" applyFont="1" applyFill="1" applyBorder="1" applyAlignment="1"/>
    <xf numFmtId="3" fontId="49" fillId="2" borderId="15" xfId="0" applyNumberFormat="1" applyFont="1" applyFill="1" applyBorder="1" applyAlignment="1"/>
    <xf numFmtId="3" fontId="49" fillId="2" borderId="15" xfId="0" applyNumberFormat="1" applyFont="1" applyFill="1" applyBorder="1" applyAlignment="1" applyProtection="1">
      <alignment horizontal="right"/>
      <protection locked="0"/>
    </xf>
    <xf numFmtId="9" fontId="49" fillId="2" borderId="15" xfId="0" applyNumberFormat="1" applyFont="1" applyFill="1" applyBorder="1" applyAlignment="1"/>
    <xf numFmtId="10" fontId="49" fillId="2" borderId="15" xfId="0" applyNumberFormat="1" applyFont="1" applyFill="1" applyBorder="1" applyAlignment="1"/>
    <xf numFmtId="10" fontId="49" fillId="2" borderId="15" xfId="0" applyNumberFormat="1" applyFont="1" applyFill="1" applyBorder="1" applyAlignment="1" applyProtection="1">
      <alignment horizontal="right"/>
      <protection locked="0"/>
    </xf>
    <xf numFmtId="9" fontId="48" fillId="2" borderId="0" xfId="0" applyNumberFormat="1" applyFont="1" applyFill="1" applyAlignment="1"/>
    <xf numFmtId="3" fontId="48" fillId="2" borderId="0" xfId="0" applyNumberFormat="1" applyFont="1" applyFill="1" applyAlignment="1" applyProtection="1">
      <alignment horizontal="right"/>
      <protection locked="0"/>
    </xf>
    <xf numFmtId="0" fontId="49" fillId="2" borderId="0" xfId="0" applyNumberFormat="1" applyFont="1" applyFill="1" applyAlignment="1">
      <alignment horizontal="center"/>
    </xf>
    <xf numFmtId="0" fontId="49" fillId="2" borderId="0" xfId="0" quotePrefix="1" applyNumberFormat="1" applyFont="1" applyFill="1" applyAlignment="1">
      <alignment horizontal="center"/>
    </xf>
    <xf numFmtId="0" fontId="57" fillId="2" borderId="1" xfId="0" applyNumberFormat="1" applyFont="1" applyFill="1" applyBorder="1" applyAlignment="1"/>
    <xf numFmtId="0" fontId="64" fillId="2" borderId="0" xfId="0" applyNumberFormat="1" applyFont="1" applyFill="1" applyAlignment="1"/>
    <xf numFmtId="0" fontId="57" fillId="2" borderId="0" xfId="0" applyNumberFormat="1" applyFont="1" applyFill="1" applyAlignment="1"/>
    <xf numFmtId="0" fontId="57" fillId="2" borderId="18" xfId="0" applyNumberFormat="1" applyFont="1" applyFill="1" applyBorder="1" applyAlignment="1"/>
    <xf numFmtId="0" fontId="54" fillId="2" borderId="0" xfId="0" applyNumberFormat="1" applyFont="1" applyFill="1" applyAlignment="1"/>
    <xf numFmtId="0" fontId="57" fillId="2" borderId="10" xfId="0" applyNumberFormat="1" applyFont="1" applyFill="1" applyBorder="1" applyAlignment="1"/>
    <xf numFmtId="0" fontId="39" fillId="0" borderId="2" xfId="0" applyNumberFormat="1" applyFont="1" applyBorder="1"/>
    <xf numFmtId="0" fontId="48" fillId="2" borderId="15" xfId="2" applyNumberFormat="1"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D2926"/>
      <color rgb="FF89CB31"/>
      <color rgb="FF96969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C:\WINDOWS\TEMP\~0003946.gif" TargetMode="External"/><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3724" name="Picture 1" descr="C:\WINDOWS\TEMP\Symbol.gif">
          <a:extLst>
            <a:ext uri="{FF2B5EF4-FFF2-40B4-BE49-F238E27FC236}">
              <a16:creationId xmlns:a16="http://schemas.microsoft.com/office/drawing/2014/main" id="{00000000-0008-0000-0000-0000AC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23725" name="Picture 2" descr="C:\WINDOWS\TEMP\Symbol.gif">
          <a:extLst>
            <a:ext uri="{FF2B5EF4-FFF2-40B4-BE49-F238E27FC236}">
              <a16:creationId xmlns:a16="http://schemas.microsoft.com/office/drawing/2014/main" id="{00000000-0008-0000-0000-0000AD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23726" name="Picture 3" descr="C:\WINDOWS\TEMP\Symbol.gif">
          <a:extLst>
            <a:ext uri="{FF2B5EF4-FFF2-40B4-BE49-F238E27FC236}">
              <a16:creationId xmlns:a16="http://schemas.microsoft.com/office/drawing/2014/main" id="{00000000-0008-0000-0000-0000AE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23727" name="Picture 4" descr="C:\WINDOWS\TEMP\Symbol.gif">
          <a:extLst>
            <a:ext uri="{FF2B5EF4-FFF2-40B4-BE49-F238E27FC236}">
              <a16:creationId xmlns:a16="http://schemas.microsoft.com/office/drawing/2014/main" id="{00000000-0008-0000-0000-0000AF5C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23728" name="Picture 5" descr="C:\WINDOWS\TEMP\~0003946.gif">
          <a:extLst>
            <a:ext uri="{FF2B5EF4-FFF2-40B4-BE49-F238E27FC236}">
              <a16:creationId xmlns:a16="http://schemas.microsoft.com/office/drawing/2014/main" id="{00000000-0008-0000-0000-0000B0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23729" name="Picture 6" descr="C:\WINDOWS\TEMP\~0003946.gif">
          <a:extLst>
            <a:ext uri="{FF2B5EF4-FFF2-40B4-BE49-F238E27FC236}">
              <a16:creationId xmlns:a16="http://schemas.microsoft.com/office/drawing/2014/main" id="{00000000-0008-0000-0000-0000B1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23730" name="Picture 7" descr="C:\WINDOWS\TEMP\~0003946.gif">
          <a:extLst>
            <a:ext uri="{FF2B5EF4-FFF2-40B4-BE49-F238E27FC236}">
              <a16:creationId xmlns:a16="http://schemas.microsoft.com/office/drawing/2014/main" id="{00000000-0008-0000-0000-0000B2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23731" name="Picture 8" descr="C:\WINDOWS\TEMP\~0003946.gif">
          <a:extLst>
            <a:ext uri="{FF2B5EF4-FFF2-40B4-BE49-F238E27FC236}">
              <a16:creationId xmlns:a16="http://schemas.microsoft.com/office/drawing/2014/main" id="{00000000-0008-0000-0000-0000B35C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23732" name="Picture 9" descr="C:\WINDOWS\TEMP\~0003946.gif">
          <a:extLst>
            <a:ext uri="{FF2B5EF4-FFF2-40B4-BE49-F238E27FC236}">
              <a16:creationId xmlns:a16="http://schemas.microsoft.com/office/drawing/2014/main" id="{00000000-0008-0000-0000-0000B4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23733" name="Picture 10" descr="C:\WINDOWS\TEMP\~0003946.gif">
          <a:extLst>
            <a:ext uri="{FF2B5EF4-FFF2-40B4-BE49-F238E27FC236}">
              <a16:creationId xmlns:a16="http://schemas.microsoft.com/office/drawing/2014/main" id="{00000000-0008-0000-0000-0000B5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23734" name="Picture 11" descr="C:\WINDOWS\TEMP\~0003946.gif">
          <a:extLst>
            <a:ext uri="{FF2B5EF4-FFF2-40B4-BE49-F238E27FC236}">
              <a16:creationId xmlns:a16="http://schemas.microsoft.com/office/drawing/2014/main" id="{00000000-0008-0000-0000-0000B6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23735" name="Picture 12" descr="C:\WINDOWS\TEMP\~0003946.gif">
          <a:extLst>
            <a:ext uri="{FF2B5EF4-FFF2-40B4-BE49-F238E27FC236}">
              <a16:creationId xmlns:a16="http://schemas.microsoft.com/office/drawing/2014/main" id="{00000000-0008-0000-0000-0000B75C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519868C1-1440-46A8-B671-F4918CFFF4B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AC70C6D4-19A5-48A8-BB5E-43C4BDA18CB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D83CDF3D-D945-469B-8CCE-57BB2A4EAE1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1D9DA9D2-BEDC-4DA0-8A3E-E0A05917AEF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06CE9C96-5319-4811-A180-6CFA12BAFF5F}"/>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601456D9-4860-44E6-B5D1-408EF60C73E6}"/>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E4E7595E-6190-42A5-960C-C378C6158458}"/>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CDBD015D-284E-48F7-89EB-8F0FFFF25545}"/>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53465CDC-8DD4-467F-9073-9B78221597F1}"/>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DB7EE140-35D7-4333-91E2-8731366C6E80}"/>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7E002F2E-FFEB-422A-BCC4-066A1DE0F787}"/>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C4D6D35B-9CD7-4F2F-8D66-FB882E910835}"/>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A82B6DE6-5898-4A26-AA55-2CAB0D10A73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3D697E24-07C6-4F8E-ADC8-1AF043F7AF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52EE546B-6B3B-4C7B-B54F-BFC808FA5F2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00E461DC-30C7-4872-AB6D-86B5F4E91D8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74C63772-9252-49F9-9700-40D48F23C539}"/>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8A537784-5CE5-41CB-875E-E0CE55F4D21A}"/>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CB3238A0-4D4A-4B5F-A876-9A5248557BC1}"/>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09462FF2-FA4C-4D9D-97F1-78BEDD3A5340}"/>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582AEB5E-F89D-4FD2-B0AD-1687550F3687}"/>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D7A30C7E-EDE4-4402-9328-836E9167C150}"/>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755337F0-1BE8-43AB-8286-D10F88DBF6B4}"/>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81272DE3-385A-4651-8993-DF67EE104687}"/>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6A586EAE-B311-4C99-8315-7983F6A31A06}"/>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E9A3C86A-CC45-4D4A-B7B4-2FA0713D746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93AF6EF5-AF95-4473-8A84-8ACADBC9A7B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0463AFA7-75D5-4C2C-87C4-060C161E283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DE89A0F3-7601-4400-A059-20998EA73867}"/>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2CE80B5E-6FDC-47D7-B6AA-FCD2409FD376}"/>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D6ED5B4F-9F06-4237-8948-B9E78025EBA4}"/>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E82BBEF4-B06A-4221-908F-3DEDF6C25731}"/>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3AA607B2-2A11-4B2F-A6D7-EA33BA313730}"/>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8223E778-AD4E-400B-A5D0-9697C779F279}"/>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6E339FE5-9F23-4C53-83FF-E1A642A0116B}"/>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6B406F4F-93B9-4C4D-8D16-884F1E5A752E}"/>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D1325DBF-9259-4106-BB30-90854AF0A33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2734D582-518C-4E5C-971D-CAA5E347E5E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BDD76D1D-442B-416F-9B1D-D4A15B2FAD6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41055827-75BC-4DA4-A207-1F05BACCEF8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D7899F67-8B38-4683-A84C-ACD7FCEB5F69}"/>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E72D974C-3108-44D6-9AF0-D5EBD0BC2F70}"/>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52268239-03ED-4F9D-80AD-831D174553B3}"/>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9A6EC566-3C13-4748-B4F2-8040A6A8A95A}"/>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7B26FED7-6E05-4704-8C43-037B33684C2B}"/>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8B68AA41-F083-4A6A-A47E-01083E39FF91}"/>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EE43A091-8356-4533-BE0C-E564453C5808}"/>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F84B9A20-74CC-4FE3-8D76-B1210ABC5F6E}"/>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F96B595D-4F2F-4BB0-8F6C-7B1885294EF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FD8581BE-85C3-49CC-BD5E-67CF13E8D58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75C81B79-B125-4AE0-9107-72B5CE46BB3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DD974D7E-6295-44F3-93A9-FEC58C47AAD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AA7B1524-2176-4C6C-9E29-03C4C9660267}"/>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03C0A014-3BA5-477B-90C8-2D1FFAD17ADB}"/>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205E71B5-7162-4669-9D33-F35AECCB7043}"/>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12F03BE1-0F87-40A3-A1B0-758A451CBBEE}"/>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8EFBD8FB-0885-4612-A251-F11217A2C88F}"/>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549DBDD6-BE87-4920-A102-18A37554EDB0}"/>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1BDA9CB5-CC8F-4307-B928-3E0CAE480EA9}"/>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0794C1C1-8404-487B-BEEA-9A4F584CF12F}"/>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1095375</xdr:colOff>
      <xdr:row>307</xdr:row>
      <xdr:rowOff>123825</xdr:rowOff>
    </xdr:from>
    <xdr:to>
      <xdr:col>18</xdr:col>
      <xdr:colOff>1895475</xdr:colOff>
      <xdr:row>308</xdr:row>
      <xdr:rowOff>152400</xdr:rowOff>
    </xdr:to>
    <xdr:pic>
      <xdr:nvPicPr>
        <xdr:cNvPr id="2" name="Picture 1" descr="C:\WINDOWS\TEMP\~0003946.gif">
          <a:extLst>
            <a:ext uri="{FF2B5EF4-FFF2-40B4-BE49-F238E27FC236}">
              <a16:creationId xmlns:a16="http://schemas.microsoft.com/office/drawing/2014/main" id="{69C0EB2C-4862-4320-952F-0ECE29F56EF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206</xdr:row>
      <xdr:rowOff>152400</xdr:rowOff>
    </xdr:from>
    <xdr:to>
      <xdr:col>18</xdr:col>
      <xdr:colOff>1924050</xdr:colOff>
      <xdr:row>207</xdr:row>
      <xdr:rowOff>180975</xdr:rowOff>
    </xdr:to>
    <xdr:pic>
      <xdr:nvPicPr>
        <xdr:cNvPr id="3" name="Picture 2" descr="C:\WINDOWS\TEMP\~0003946.gif">
          <a:extLst>
            <a:ext uri="{FF2B5EF4-FFF2-40B4-BE49-F238E27FC236}">
              <a16:creationId xmlns:a16="http://schemas.microsoft.com/office/drawing/2014/main" id="{DB7F95CB-E969-46B8-9AFA-83BBFAD5D6A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133</xdr:row>
      <xdr:rowOff>161925</xdr:rowOff>
    </xdr:from>
    <xdr:to>
      <xdr:col>18</xdr:col>
      <xdr:colOff>1952625</xdr:colOff>
      <xdr:row>134</xdr:row>
      <xdr:rowOff>190500</xdr:rowOff>
    </xdr:to>
    <xdr:pic>
      <xdr:nvPicPr>
        <xdr:cNvPr id="4" name="Picture 3" descr="C:\WINDOWS\TEMP\~0003946.gif">
          <a:extLst>
            <a:ext uri="{FF2B5EF4-FFF2-40B4-BE49-F238E27FC236}">
              <a16:creationId xmlns:a16="http://schemas.microsoft.com/office/drawing/2014/main" id="{62A29346-1205-4B96-A04D-011BB9C33A6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E17C8A0A-3428-498C-A97A-A0B2FEFC1F2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0F34AE3F-CE10-4840-B45F-432382FCA003}"/>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133</xdr:row>
      <xdr:rowOff>177800</xdr:rowOff>
    </xdr:from>
    <xdr:to>
      <xdr:col>1</xdr:col>
      <xdr:colOff>523</xdr:colOff>
      <xdr:row>134</xdr:row>
      <xdr:rowOff>206268</xdr:rowOff>
    </xdr:to>
    <xdr:pic>
      <xdr:nvPicPr>
        <xdr:cNvPr id="7" name="Picture 6">
          <a:extLst>
            <a:ext uri="{FF2B5EF4-FFF2-40B4-BE49-F238E27FC236}">
              <a16:creationId xmlns:a16="http://schemas.microsoft.com/office/drawing/2014/main" id="{DC09AC02-C0D8-47AC-8CB7-97EF0AD9B0C7}"/>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206</xdr:row>
      <xdr:rowOff>152400</xdr:rowOff>
    </xdr:from>
    <xdr:to>
      <xdr:col>0</xdr:col>
      <xdr:colOff>310403</xdr:colOff>
      <xdr:row>207</xdr:row>
      <xdr:rowOff>180868</xdr:rowOff>
    </xdr:to>
    <xdr:pic>
      <xdr:nvPicPr>
        <xdr:cNvPr id="8" name="Picture 7">
          <a:extLst>
            <a:ext uri="{FF2B5EF4-FFF2-40B4-BE49-F238E27FC236}">
              <a16:creationId xmlns:a16="http://schemas.microsoft.com/office/drawing/2014/main" id="{B695F256-6A26-475E-8DF4-6BE318B58731}"/>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307</xdr:row>
      <xdr:rowOff>127000</xdr:rowOff>
    </xdr:from>
    <xdr:to>
      <xdr:col>0</xdr:col>
      <xdr:colOff>310403</xdr:colOff>
      <xdr:row>308</xdr:row>
      <xdr:rowOff>155468</xdr:rowOff>
    </xdr:to>
    <xdr:pic>
      <xdr:nvPicPr>
        <xdr:cNvPr id="9" name="Picture 8">
          <a:extLst>
            <a:ext uri="{FF2B5EF4-FFF2-40B4-BE49-F238E27FC236}">
              <a16:creationId xmlns:a16="http://schemas.microsoft.com/office/drawing/2014/main" id="{74FBAA94-40D7-4014-9B59-C3B82DB83926}"/>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307</xdr:row>
      <xdr:rowOff>0</xdr:rowOff>
    </xdr:from>
    <xdr:to>
      <xdr:col>18</xdr:col>
      <xdr:colOff>829128</xdr:colOff>
      <xdr:row>308</xdr:row>
      <xdr:rowOff>89433</xdr:rowOff>
    </xdr:to>
    <xdr:pic>
      <xdr:nvPicPr>
        <xdr:cNvPr id="10" name="Picture 9">
          <a:extLst>
            <a:ext uri="{FF2B5EF4-FFF2-40B4-BE49-F238E27FC236}">
              <a16:creationId xmlns:a16="http://schemas.microsoft.com/office/drawing/2014/main" id="{63DD7F31-00E4-4DBF-A7E7-61D052FCC086}"/>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206</xdr:row>
      <xdr:rowOff>88900</xdr:rowOff>
    </xdr:from>
    <xdr:to>
      <xdr:col>18</xdr:col>
      <xdr:colOff>892628</xdr:colOff>
      <xdr:row>207</xdr:row>
      <xdr:rowOff>178333</xdr:rowOff>
    </xdr:to>
    <xdr:pic>
      <xdr:nvPicPr>
        <xdr:cNvPr id="11" name="Picture 10">
          <a:extLst>
            <a:ext uri="{FF2B5EF4-FFF2-40B4-BE49-F238E27FC236}">
              <a16:creationId xmlns:a16="http://schemas.microsoft.com/office/drawing/2014/main" id="{446418EC-60A2-433B-A654-DFC14CABDF80}"/>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133</xdr:row>
      <xdr:rowOff>76200</xdr:rowOff>
    </xdr:from>
    <xdr:to>
      <xdr:col>18</xdr:col>
      <xdr:colOff>854528</xdr:colOff>
      <xdr:row>134</xdr:row>
      <xdr:rowOff>165633</xdr:rowOff>
    </xdr:to>
    <xdr:pic>
      <xdr:nvPicPr>
        <xdr:cNvPr id="12" name="Picture 11">
          <a:extLst>
            <a:ext uri="{FF2B5EF4-FFF2-40B4-BE49-F238E27FC236}">
              <a16:creationId xmlns:a16="http://schemas.microsoft.com/office/drawing/2014/main" id="{CA9A3126-608C-4681-A2AC-631175AB9FBC}"/>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CA4771BA-DAB2-4310-8AB3-CB3D76E8D74B}"/>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1095375</xdr:colOff>
      <xdr:row>307</xdr:row>
      <xdr:rowOff>123825</xdr:rowOff>
    </xdr:from>
    <xdr:to>
      <xdr:col>18</xdr:col>
      <xdr:colOff>1895475</xdr:colOff>
      <xdr:row>308</xdr:row>
      <xdr:rowOff>152400</xdr:rowOff>
    </xdr:to>
    <xdr:pic>
      <xdr:nvPicPr>
        <xdr:cNvPr id="2" name="Picture 1" descr="C:\WINDOWS\TEMP\~0003946.gif">
          <a:extLst>
            <a:ext uri="{FF2B5EF4-FFF2-40B4-BE49-F238E27FC236}">
              <a16:creationId xmlns:a16="http://schemas.microsoft.com/office/drawing/2014/main" id="{4C401288-8ADE-4A3C-8A55-ACD7C43E394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2303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206</xdr:row>
      <xdr:rowOff>152400</xdr:rowOff>
    </xdr:from>
    <xdr:to>
      <xdr:col>18</xdr:col>
      <xdr:colOff>1924050</xdr:colOff>
      <xdr:row>207</xdr:row>
      <xdr:rowOff>180975</xdr:rowOff>
    </xdr:to>
    <xdr:pic>
      <xdr:nvPicPr>
        <xdr:cNvPr id="3" name="Picture 2" descr="C:\WINDOWS\TEMP\~0003946.gif">
          <a:extLst>
            <a:ext uri="{FF2B5EF4-FFF2-40B4-BE49-F238E27FC236}">
              <a16:creationId xmlns:a16="http://schemas.microsoft.com/office/drawing/2014/main" id="{051EB165-33FC-489C-AD67-002FE04CCCE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2005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133</xdr:row>
      <xdr:rowOff>161925</xdr:rowOff>
    </xdr:from>
    <xdr:to>
      <xdr:col>18</xdr:col>
      <xdr:colOff>1952625</xdr:colOff>
      <xdr:row>134</xdr:row>
      <xdr:rowOff>190500</xdr:rowOff>
    </xdr:to>
    <xdr:pic>
      <xdr:nvPicPr>
        <xdr:cNvPr id="4" name="Picture 3" descr="C:\WINDOWS\TEMP\~0003946.gif">
          <a:extLst>
            <a:ext uri="{FF2B5EF4-FFF2-40B4-BE49-F238E27FC236}">
              <a16:creationId xmlns:a16="http://schemas.microsoft.com/office/drawing/2014/main" id="{30965608-F61C-43D3-B5D1-CDA8CF7BF3A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7327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2DD82497-BF0A-41C8-9F19-D18978F4AE09}"/>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E1AB148A-E787-401E-96A8-03613D1872A2}"/>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133</xdr:row>
      <xdr:rowOff>177800</xdr:rowOff>
    </xdr:from>
    <xdr:to>
      <xdr:col>1</xdr:col>
      <xdr:colOff>523</xdr:colOff>
      <xdr:row>134</xdr:row>
      <xdr:rowOff>206268</xdr:rowOff>
    </xdr:to>
    <xdr:pic>
      <xdr:nvPicPr>
        <xdr:cNvPr id="7" name="Picture 6">
          <a:extLst>
            <a:ext uri="{FF2B5EF4-FFF2-40B4-BE49-F238E27FC236}">
              <a16:creationId xmlns:a16="http://schemas.microsoft.com/office/drawing/2014/main" id="{3B38791A-A1D1-4A4D-AFC9-0DAF070A687A}"/>
            </a:ext>
          </a:extLst>
        </xdr:cNvPr>
        <xdr:cNvPicPr>
          <a:picLocks noChangeAspect="1"/>
        </xdr:cNvPicPr>
      </xdr:nvPicPr>
      <xdr:blipFill>
        <a:blip xmlns:r="http://schemas.openxmlformats.org/officeDocument/2006/relationships" r:embed="rId3"/>
        <a:stretch>
          <a:fillRect/>
        </a:stretch>
      </xdr:blipFill>
      <xdr:spPr>
        <a:xfrm>
          <a:off x="165100" y="27343100"/>
          <a:ext cx="178323" cy="228493"/>
        </a:xfrm>
        <a:prstGeom prst="rect">
          <a:avLst/>
        </a:prstGeom>
      </xdr:spPr>
    </xdr:pic>
    <xdr:clientData/>
  </xdr:twoCellAnchor>
  <xdr:twoCellAnchor editAs="oneCell">
    <xdr:from>
      <xdr:col>0</xdr:col>
      <xdr:colOff>139700</xdr:colOff>
      <xdr:row>206</xdr:row>
      <xdr:rowOff>152400</xdr:rowOff>
    </xdr:from>
    <xdr:to>
      <xdr:col>0</xdr:col>
      <xdr:colOff>310403</xdr:colOff>
      <xdr:row>207</xdr:row>
      <xdr:rowOff>180868</xdr:rowOff>
    </xdr:to>
    <xdr:pic>
      <xdr:nvPicPr>
        <xdr:cNvPr id="8" name="Picture 7">
          <a:extLst>
            <a:ext uri="{FF2B5EF4-FFF2-40B4-BE49-F238E27FC236}">
              <a16:creationId xmlns:a16="http://schemas.microsoft.com/office/drawing/2014/main" id="{F8FB9495-5B2E-4508-8FE9-981ECD460D0A}"/>
            </a:ext>
          </a:extLst>
        </xdr:cNvPr>
        <xdr:cNvPicPr>
          <a:picLocks noChangeAspect="1"/>
        </xdr:cNvPicPr>
      </xdr:nvPicPr>
      <xdr:blipFill>
        <a:blip xmlns:r="http://schemas.openxmlformats.org/officeDocument/2006/relationships" r:embed="rId3"/>
        <a:stretch>
          <a:fillRect/>
        </a:stretch>
      </xdr:blipFill>
      <xdr:spPr>
        <a:xfrm>
          <a:off x="139700" y="42005250"/>
          <a:ext cx="170703" cy="228493"/>
        </a:xfrm>
        <a:prstGeom prst="rect">
          <a:avLst/>
        </a:prstGeom>
      </xdr:spPr>
    </xdr:pic>
    <xdr:clientData/>
  </xdr:twoCellAnchor>
  <xdr:twoCellAnchor editAs="oneCell">
    <xdr:from>
      <xdr:col>0</xdr:col>
      <xdr:colOff>139700</xdr:colOff>
      <xdr:row>307</xdr:row>
      <xdr:rowOff>127000</xdr:rowOff>
    </xdr:from>
    <xdr:to>
      <xdr:col>0</xdr:col>
      <xdr:colOff>310403</xdr:colOff>
      <xdr:row>308</xdr:row>
      <xdr:rowOff>155468</xdr:rowOff>
    </xdr:to>
    <xdr:pic>
      <xdr:nvPicPr>
        <xdr:cNvPr id="9" name="Picture 8">
          <a:extLst>
            <a:ext uri="{FF2B5EF4-FFF2-40B4-BE49-F238E27FC236}">
              <a16:creationId xmlns:a16="http://schemas.microsoft.com/office/drawing/2014/main" id="{4E6AD046-FD76-4CF4-9A11-A221CE58DA1E}"/>
            </a:ext>
          </a:extLst>
        </xdr:cNvPr>
        <xdr:cNvPicPr>
          <a:picLocks noChangeAspect="1"/>
        </xdr:cNvPicPr>
      </xdr:nvPicPr>
      <xdr:blipFill>
        <a:blip xmlns:r="http://schemas.openxmlformats.org/officeDocument/2006/relationships" r:embed="rId3"/>
        <a:stretch>
          <a:fillRect/>
        </a:stretch>
      </xdr:blipFill>
      <xdr:spPr>
        <a:xfrm>
          <a:off x="139700" y="62306200"/>
          <a:ext cx="170703" cy="228493"/>
        </a:xfrm>
        <a:prstGeom prst="rect">
          <a:avLst/>
        </a:prstGeom>
      </xdr:spPr>
    </xdr:pic>
    <xdr:clientData/>
  </xdr:twoCellAnchor>
  <xdr:twoCellAnchor editAs="oneCell">
    <xdr:from>
      <xdr:col>18</xdr:col>
      <xdr:colOff>0</xdr:colOff>
      <xdr:row>307</xdr:row>
      <xdr:rowOff>0</xdr:rowOff>
    </xdr:from>
    <xdr:to>
      <xdr:col>18</xdr:col>
      <xdr:colOff>829128</xdr:colOff>
      <xdr:row>308</xdr:row>
      <xdr:rowOff>89433</xdr:rowOff>
    </xdr:to>
    <xdr:pic>
      <xdr:nvPicPr>
        <xdr:cNvPr id="10" name="Picture 9">
          <a:extLst>
            <a:ext uri="{FF2B5EF4-FFF2-40B4-BE49-F238E27FC236}">
              <a16:creationId xmlns:a16="http://schemas.microsoft.com/office/drawing/2014/main" id="{7F9F6188-92C2-4A27-9890-288D56921AF5}"/>
            </a:ext>
          </a:extLst>
        </xdr:cNvPr>
        <xdr:cNvPicPr>
          <a:picLocks noChangeAspect="1"/>
        </xdr:cNvPicPr>
      </xdr:nvPicPr>
      <xdr:blipFill>
        <a:blip xmlns:r="http://schemas.openxmlformats.org/officeDocument/2006/relationships" r:embed="rId4"/>
        <a:stretch>
          <a:fillRect/>
        </a:stretch>
      </xdr:blipFill>
      <xdr:spPr>
        <a:xfrm>
          <a:off x="20021550" y="62179200"/>
          <a:ext cx="829128" cy="289458"/>
        </a:xfrm>
        <a:prstGeom prst="rect">
          <a:avLst/>
        </a:prstGeom>
      </xdr:spPr>
    </xdr:pic>
    <xdr:clientData/>
  </xdr:twoCellAnchor>
  <xdr:twoCellAnchor editAs="oneCell">
    <xdr:from>
      <xdr:col>18</xdr:col>
      <xdr:colOff>63500</xdr:colOff>
      <xdr:row>206</xdr:row>
      <xdr:rowOff>88900</xdr:rowOff>
    </xdr:from>
    <xdr:to>
      <xdr:col>18</xdr:col>
      <xdr:colOff>892628</xdr:colOff>
      <xdr:row>207</xdr:row>
      <xdr:rowOff>178333</xdr:rowOff>
    </xdr:to>
    <xdr:pic>
      <xdr:nvPicPr>
        <xdr:cNvPr id="11" name="Picture 10">
          <a:extLst>
            <a:ext uri="{FF2B5EF4-FFF2-40B4-BE49-F238E27FC236}">
              <a16:creationId xmlns:a16="http://schemas.microsoft.com/office/drawing/2014/main" id="{D1FC2943-C924-4C2C-8F3F-A545600F9193}"/>
            </a:ext>
          </a:extLst>
        </xdr:cNvPr>
        <xdr:cNvPicPr>
          <a:picLocks noChangeAspect="1"/>
        </xdr:cNvPicPr>
      </xdr:nvPicPr>
      <xdr:blipFill>
        <a:blip xmlns:r="http://schemas.openxmlformats.org/officeDocument/2006/relationships" r:embed="rId4"/>
        <a:stretch>
          <a:fillRect/>
        </a:stretch>
      </xdr:blipFill>
      <xdr:spPr>
        <a:xfrm>
          <a:off x="20085050" y="41941750"/>
          <a:ext cx="829128" cy="289458"/>
        </a:xfrm>
        <a:prstGeom prst="rect">
          <a:avLst/>
        </a:prstGeom>
      </xdr:spPr>
    </xdr:pic>
    <xdr:clientData/>
  </xdr:twoCellAnchor>
  <xdr:twoCellAnchor editAs="oneCell">
    <xdr:from>
      <xdr:col>18</xdr:col>
      <xdr:colOff>25400</xdr:colOff>
      <xdr:row>133</xdr:row>
      <xdr:rowOff>76200</xdr:rowOff>
    </xdr:from>
    <xdr:to>
      <xdr:col>18</xdr:col>
      <xdr:colOff>854528</xdr:colOff>
      <xdr:row>134</xdr:row>
      <xdr:rowOff>165633</xdr:rowOff>
    </xdr:to>
    <xdr:pic>
      <xdr:nvPicPr>
        <xdr:cNvPr id="12" name="Picture 11">
          <a:extLst>
            <a:ext uri="{FF2B5EF4-FFF2-40B4-BE49-F238E27FC236}">
              <a16:creationId xmlns:a16="http://schemas.microsoft.com/office/drawing/2014/main" id="{35B3635D-D784-4C48-8F45-E80BF23B5D23}"/>
            </a:ext>
          </a:extLst>
        </xdr:cNvPr>
        <xdr:cNvPicPr>
          <a:picLocks noChangeAspect="1"/>
        </xdr:cNvPicPr>
      </xdr:nvPicPr>
      <xdr:blipFill>
        <a:blip xmlns:r="http://schemas.openxmlformats.org/officeDocument/2006/relationships" r:embed="rId4"/>
        <a:stretch>
          <a:fillRect/>
        </a:stretch>
      </xdr:blipFill>
      <xdr:spPr>
        <a:xfrm>
          <a:off x="20046950" y="27241500"/>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0FA9257E-E070-46B4-8E37-3593F6A95E0B}"/>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18</xdr:col>
      <xdr:colOff>1095375</xdr:colOff>
      <xdr:row>309</xdr:row>
      <xdr:rowOff>123825</xdr:rowOff>
    </xdr:from>
    <xdr:to>
      <xdr:col>18</xdr:col>
      <xdr:colOff>1895475</xdr:colOff>
      <xdr:row>310</xdr:row>
      <xdr:rowOff>152400</xdr:rowOff>
    </xdr:to>
    <xdr:pic>
      <xdr:nvPicPr>
        <xdr:cNvPr id="2" name="Picture 1" descr="C:\WINDOWS\TEMP\~0003946.gif">
          <a:extLst>
            <a:ext uri="{FF2B5EF4-FFF2-40B4-BE49-F238E27FC236}">
              <a16:creationId xmlns:a16="http://schemas.microsoft.com/office/drawing/2014/main" id="{D1E8A63B-EF11-49F7-8F67-C6CD6B7EBCB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23030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208</xdr:row>
      <xdr:rowOff>152400</xdr:rowOff>
    </xdr:from>
    <xdr:to>
      <xdr:col>18</xdr:col>
      <xdr:colOff>1924050</xdr:colOff>
      <xdr:row>209</xdr:row>
      <xdr:rowOff>180975</xdr:rowOff>
    </xdr:to>
    <xdr:pic>
      <xdr:nvPicPr>
        <xdr:cNvPr id="3" name="Picture 2" descr="C:\WINDOWS\TEMP\~0003946.gif">
          <a:extLst>
            <a:ext uri="{FF2B5EF4-FFF2-40B4-BE49-F238E27FC236}">
              <a16:creationId xmlns:a16="http://schemas.microsoft.com/office/drawing/2014/main" id="{94CCDD5F-F9A4-4DDA-8FEB-D28DEA7B2771}"/>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20052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134</xdr:row>
      <xdr:rowOff>161925</xdr:rowOff>
    </xdr:from>
    <xdr:to>
      <xdr:col>18</xdr:col>
      <xdr:colOff>1952625</xdr:colOff>
      <xdr:row>135</xdr:row>
      <xdr:rowOff>190500</xdr:rowOff>
    </xdr:to>
    <xdr:pic>
      <xdr:nvPicPr>
        <xdr:cNvPr id="4" name="Picture 3" descr="C:\WINDOWS\TEMP\~0003946.gif">
          <a:extLst>
            <a:ext uri="{FF2B5EF4-FFF2-40B4-BE49-F238E27FC236}">
              <a16:creationId xmlns:a16="http://schemas.microsoft.com/office/drawing/2014/main" id="{A8DDD28A-5132-4D38-A282-C959E9FDF87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7327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8AD16DDD-5A5C-4828-982C-10E0E428137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321833</xdr:colOff>
      <xdr:row>59</xdr:row>
      <xdr:rowOff>133243</xdr:rowOff>
    </xdr:to>
    <xdr:pic>
      <xdr:nvPicPr>
        <xdr:cNvPr id="6" name="Picture 5">
          <a:extLst>
            <a:ext uri="{FF2B5EF4-FFF2-40B4-BE49-F238E27FC236}">
              <a16:creationId xmlns:a16="http://schemas.microsoft.com/office/drawing/2014/main" id="{5DB880F8-C34B-4877-BC4F-839ED607D41D}"/>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134</xdr:row>
      <xdr:rowOff>177800</xdr:rowOff>
    </xdr:from>
    <xdr:to>
      <xdr:col>1</xdr:col>
      <xdr:colOff>523</xdr:colOff>
      <xdr:row>135</xdr:row>
      <xdr:rowOff>210078</xdr:rowOff>
    </xdr:to>
    <xdr:pic>
      <xdr:nvPicPr>
        <xdr:cNvPr id="7" name="Picture 6">
          <a:extLst>
            <a:ext uri="{FF2B5EF4-FFF2-40B4-BE49-F238E27FC236}">
              <a16:creationId xmlns:a16="http://schemas.microsoft.com/office/drawing/2014/main" id="{4E18D5B3-EC48-4FE7-A6A5-3FF9DF49E91A}"/>
            </a:ext>
          </a:extLst>
        </xdr:cNvPr>
        <xdr:cNvPicPr>
          <a:picLocks noChangeAspect="1"/>
        </xdr:cNvPicPr>
      </xdr:nvPicPr>
      <xdr:blipFill>
        <a:blip xmlns:r="http://schemas.openxmlformats.org/officeDocument/2006/relationships" r:embed="rId3"/>
        <a:stretch>
          <a:fillRect/>
        </a:stretch>
      </xdr:blipFill>
      <xdr:spPr>
        <a:xfrm>
          <a:off x="165100" y="27343100"/>
          <a:ext cx="178323" cy="228493"/>
        </a:xfrm>
        <a:prstGeom prst="rect">
          <a:avLst/>
        </a:prstGeom>
      </xdr:spPr>
    </xdr:pic>
    <xdr:clientData/>
  </xdr:twoCellAnchor>
  <xdr:twoCellAnchor editAs="oneCell">
    <xdr:from>
      <xdr:col>0</xdr:col>
      <xdr:colOff>139700</xdr:colOff>
      <xdr:row>208</xdr:row>
      <xdr:rowOff>152400</xdr:rowOff>
    </xdr:from>
    <xdr:to>
      <xdr:col>0</xdr:col>
      <xdr:colOff>321833</xdr:colOff>
      <xdr:row>209</xdr:row>
      <xdr:rowOff>171343</xdr:rowOff>
    </xdr:to>
    <xdr:pic>
      <xdr:nvPicPr>
        <xdr:cNvPr id="8" name="Picture 7">
          <a:extLst>
            <a:ext uri="{FF2B5EF4-FFF2-40B4-BE49-F238E27FC236}">
              <a16:creationId xmlns:a16="http://schemas.microsoft.com/office/drawing/2014/main" id="{F7D8AF9C-6152-4CE7-9D37-5BC798A5A62A}"/>
            </a:ext>
          </a:extLst>
        </xdr:cNvPr>
        <xdr:cNvPicPr>
          <a:picLocks noChangeAspect="1"/>
        </xdr:cNvPicPr>
      </xdr:nvPicPr>
      <xdr:blipFill>
        <a:blip xmlns:r="http://schemas.openxmlformats.org/officeDocument/2006/relationships" r:embed="rId3"/>
        <a:stretch>
          <a:fillRect/>
        </a:stretch>
      </xdr:blipFill>
      <xdr:spPr>
        <a:xfrm>
          <a:off x="139700" y="42005250"/>
          <a:ext cx="170703" cy="228493"/>
        </a:xfrm>
        <a:prstGeom prst="rect">
          <a:avLst/>
        </a:prstGeom>
      </xdr:spPr>
    </xdr:pic>
    <xdr:clientData/>
  </xdr:twoCellAnchor>
  <xdr:twoCellAnchor editAs="oneCell">
    <xdr:from>
      <xdr:col>0</xdr:col>
      <xdr:colOff>139700</xdr:colOff>
      <xdr:row>309</xdr:row>
      <xdr:rowOff>127000</xdr:rowOff>
    </xdr:from>
    <xdr:to>
      <xdr:col>0</xdr:col>
      <xdr:colOff>321833</xdr:colOff>
      <xdr:row>310</xdr:row>
      <xdr:rowOff>155468</xdr:rowOff>
    </xdr:to>
    <xdr:pic>
      <xdr:nvPicPr>
        <xdr:cNvPr id="9" name="Picture 8">
          <a:extLst>
            <a:ext uri="{FF2B5EF4-FFF2-40B4-BE49-F238E27FC236}">
              <a16:creationId xmlns:a16="http://schemas.microsoft.com/office/drawing/2014/main" id="{3F3E1207-D6CB-457F-BC6E-72E8AB7642AB}"/>
            </a:ext>
          </a:extLst>
        </xdr:cNvPr>
        <xdr:cNvPicPr>
          <a:picLocks noChangeAspect="1"/>
        </xdr:cNvPicPr>
      </xdr:nvPicPr>
      <xdr:blipFill>
        <a:blip xmlns:r="http://schemas.openxmlformats.org/officeDocument/2006/relationships" r:embed="rId3"/>
        <a:stretch>
          <a:fillRect/>
        </a:stretch>
      </xdr:blipFill>
      <xdr:spPr>
        <a:xfrm>
          <a:off x="139700" y="62306200"/>
          <a:ext cx="170703" cy="228493"/>
        </a:xfrm>
        <a:prstGeom prst="rect">
          <a:avLst/>
        </a:prstGeom>
      </xdr:spPr>
    </xdr:pic>
    <xdr:clientData/>
  </xdr:twoCellAnchor>
  <xdr:twoCellAnchor editAs="oneCell">
    <xdr:from>
      <xdr:col>18</xdr:col>
      <xdr:colOff>0</xdr:colOff>
      <xdr:row>309</xdr:row>
      <xdr:rowOff>0</xdr:rowOff>
    </xdr:from>
    <xdr:to>
      <xdr:col>18</xdr:col>
      <xdr:colOff>821508</xdr:colOff>
      <xdr:row>310</xdr:row>
      <xdr:rowOff>93243</xdr:rowOff>
    </xdr:to>
    <xdr:pic>
      <xdr:nvPicPr>
        <xdr:cNvPr id="10" name="Picture 9">
          <a:extLst>
            <a:ext uri="{FF2B5EF4-FFF2-40B4-BE49-F238E27FC236}">
              <a16:creationId xmlns:a16="http://schemas.microsoft.com/office/drawing/2014/main" id="{B4D2C3E6-BFBF-48D9-AFBF-6B92887A854B}"/>
            </a:ext>
          </a:extLst>
        </xdr:cNvPr>
        <xdr:cNvPicPr>
          <a:picLocks noChangeAspect="1"/>
        </xdr:cNvPicPr>
      </xdr:nvPicPr>
      <xdr:blipFill>
        <a:blip xmlns:r="http://schemas.openxmlformats.org/officeDocument/2006/relationships" r:embed="rId4"/>
        <a:stretch>
          <a:fillRect/>
        </a:stretch>
      </xdr:blipFill>
      <xdr:spPr>
        <a:xfrm>
          <a:off x="20021550" y="62179200"/>
          <a:ext cx="829128" cy="289458"/>
        </a:xfrm>
        <a:prstGeom prst="rect">
          <a:avLst/>
        </a:prstGeom>
      </xdr:spPr>
    </xdr:pic>
    <xdr:clientData/>
  </xdr:twoCellAnchor>
  <xdr:twoCellAnchor editAs="oneCell">
    <xdr:from>
      <xdr:col>18</xdr:col>
      <xdr:colOff>63500</xdr:colOff>
      <xdr:row>208</xdr:row>
      <xdr:rowOff>88900</xdr:rowOff>
    </xdr:from>
    <xdr:to>
      <xdr:col>18</xdr:col>
      <xdr:colOff>896438</xdr:colOff>
      <xdr:row>209</xdr:row>
      <xdr:rowOff>174523</xdr:rowOff>
    </xdr:to>
    <xdr:pic>
      <xdr:nvPicPr>
        <xdr:cNvPr id="11" name="Picture 10">
          <a:extLst>
            <a:ext uri="{FF2B5EF4-FFF2-40B4-BE49-F238E27FC236}">
              <a16:creationId xmlns:a16="http://schemas.microsoft.com/office/drawing/2014/main" id="{199DDBCA-502D-479D-8D40-E81CDF950B07}"/>
            </a:ext>
          </a:extLst>
        </xdr:cNvPr>
        <xdr:cNvPicPr>
          <a:picLocks noChangeAspect="1"/>
        </xdr:cNvPicPr>
      </xdr:nvPicPr>
      <xdr:blipFill>
        <a:blip xmlns:r="http://schemas.openxmlformats.org/officeDocument/2006/relationships" r:embed="rId4"/>
        <a:stretch>
          <a:fillRect/>
        </a:stretch>
      </xdr:blipFill>
      <xdr:spPr>
        <a:xfrm>
          <a:off x="20085050" y="41941750"/>
          <a:ext cx="829128" cy="289458"/>
        </a:xfrm>
        <a:prstGeom prst="rect">
          <a:avLst/>
        </a:prstGeom>
      </xdr:spPr>
    </xdr:pic>
    <xdr:clientData/>
  </xdr:twoCellAnchor>
  <xdr:twoCellAnchor editAs="oneCell">
    <xdr:from>
      <xdr:col>18</xdr:col>
      <xdr:colOff>25400</xdr:colOff>
      <xdr:row>134</xdr:row>
      <xdr:rowOff>76200</xdr:rowOff>
    </xdr:from>
    <xdr:to>
      <xdr:col>18</xdr:col>
      <xdr:colOff>858338</xdr:colOff>
      <xdr:row>135</xdr:row>
      <xdr:rowOff>169443</xdr:rowOff>
    </xdr:to>
    <xdr:pic>
      <xdr:nvPicPr>
        <xdr:cNvPr id="12" name="Picture 11">
          <a:extLst>
            <a:ext uri="{FF2B5EF4-FFF2-40B4-BE49-F238E27FC236}">
              <a16:creationId xmlns:a16="http://schemas.microsoft.com/office/drawing/2014/main" id="{62D1ABAE-11A2-4E66-A050-4C517374C2F1}"/>
            </a:ext>
          </a:extLst>
        </xdr:cNvPr>
        <xdr:cNvPicPr>
          <a:picLocks noChangeAspect="1"/>
        </xdr:cNvPicPr>
      </xdr:nvPicPr>
      <xdr:blipFill>
        <a:blip xmlns:r="http://schemas.openxmlformats.org/officeDocument/2006/relationships" r:embed="rId4"/>
        <a:stretch>
          <a:fillRect/>
        </a:stretch>
      </xdr:blipFill>
      <xdr:spPr>
        <a:xfrm>
          <a:off x="20046950" y="27241500"/>
          <a:ext cx="829128" cy="289458"/>
        </a:xfrm>
        <a:prstGeom prst="rect">
          <a:avLst/>
        </a:prstGeom>
      </xdr:spPr>
    </xdr:pic>
    <xdr:clientData/>
  </xdr:twoCellAnchor>
  <xdr:twoCellAnchor editAs="oneCell">
    <xdr:from>
      <xdr:col>18</xdr:col>
      <xdr:colOff>0</xdr:colOff>
      <xdr:row>58</xdr:row>
      <xdr:rowOff>0</xdr:rowOff>
    </xdr:from>
    <xdr:to>
      <xdr:col>18</xdr:col>
      <xdr:colOff>821508</xdr:colOff>
      <xdr:row>59</xdr:row>
      <xdr:rowOff>93243</xdr:rowOff>
    </xdr:to>
    <xdr:pic>
      <xdr:nvPicPr>
        <xdr:cNvPr id="13" name="Picture 12">
          <a:extLst>
            <a:ext uri="{FF2B5EF4-FFF2-40B4-BE49-F238E27FC236}">
              <a16:creationId xmlns:a16="http://schemas.microsoft.com/office/drawing/2014/main" id="{453F5E90-19D9-4D2F-8823-046AC8513362}"/>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305</xdr:row>
      <xdr:rowOff>161925</xdr:rowOff>
    </xdr:from>
    <xdr:to>
      <xdr:col>1</xdr:col>
      <xdr:colOff>19050</xdr:colOff>
      <xdr:row>306</xdr:row>
      <xdr:rowOff>200025</xdr:rowOff>
    </xdr:to>
    <xdr:pic>
      <xdr:nvPicPr>
        <xdr:cNvPr id="5" name="Picture 4" descr="C:\WINDOWS\TEMP\Symbol.gif">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305</xdr:row>
      <xdr:rowOff>123825</xdr:rowOff>
    </xdr:from>
    <xdr:to>
      <xdr:col>18</xdr:col>
      <xdr:colOff>1895475</xdr:colOff>
      <xdr:row>306</xdr:row>
      <xdr:rowOff>152400</xdr:rowOff>
    </xdr:to>
    <xdr:pic>
      <xdr:nvPicPr>
        <xdr:cNvPr id="6" name="Picture 5" descr="C:\WINDOWS\TEMP\~0003946.gif">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305</xdr:row>
      <xdr:rowOff>104775</xdr:rowOff>
    </xdr:from>
    <xdr:to>
      <xdr:col>18</xdr:col>
      <xdr:colOff>895350</xdr:colOff>
      <xdr:row>306</xdr:row>
      <xdr:rowOff>133350</xdr:rowOff>
    </xdr:to>
    <xdr:pic>
      <xdr:nvPicPr>
        <xdr:cNvPr id="13" name="Picture 12" descr="C:\WINDOWS\TEMP\~0003946.gif">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8DD2047F-FB8B-46C9-9A3B-81D165D79316}"/>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111D96EC-63F9-4776-A192-5899D313291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091BF9A1-057D-45BA-92C7-3319153F6E0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a16="http://schemas.microsoft.com/office/drawing/2014/main" id="{67B15175-2BAD-42C0-8C48-4F8BB1684908}"/>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931550"/>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1244C003-9354-4E57-BB34-2B0D22F56F2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8934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A318D558-760D-4925-9A8D-522B01CB93D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03D9F19C-8DD2-4EB3-A61F-99E6B8291DFB}"/>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DE8438D1-593F-4755-A1EB-06DC806570F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E83EDE80-7106-4596-84C6-6009C0FB028B}"/>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BEA7FF8D-C7A2-42AA-973B-C1E55FBFE6E4}"/>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819C4D32-6A0F-43ED-A624-A656AC07680C}"/>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a16="http://schemas.microsoft.com/office/drawing/2014/main" id="{44FCE283-29B8-4233-BC3B-C497205F6D95}"/>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87440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58</xdr:row>
      <xdr:rowOff>190500</xdr:rowOff>
    </xdr:from>
    <xdr:to>
      <xdr:col>1</xdr:col>
      <xdr:colOff>0</xdr:colOff>
      <xdr:row>59</xdr:row>
      <xdr:rowOff>228600</xdr:rowOff>
    </xdr:to>
    <xdr:pic>
      <xdr:nvPicPr>
        <xdr:cNvPr id="2" name="Picture 1" descr="C:\WINDOWS\TEMP\Symbol.gif">
          <a:extLst>
            <a:ext uri="{FF2B5EF4-FFF2-40B4-BE49-F238E27FC236}">
              <a16:creationId xmlns:a16="http://schemas.microsoft.com/office/drawing/2014/main" id="{061E4A18-5780-44F3-B4F6-FF7843E8868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18967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130</xdr:row>
      <xdr:rowOff>161925</xdr:rowOff>
    </xdr:from>
    <xdr:to>
      <xdr:col>1</xdr:col>
      <xdr:colOff>28575</xdr:colOff>
      <xdr:row>131</xdr:row>
      <xdr:rowOff>200025</xdr:rowOff>
    </xdr:to>
    <xdr:pic>
      <xdr:nvPicPr>
        <xdr:cNvPr id="3" name="Picture 2" descr="C:\WINDOWS\TEMP\Symbol.gif">
          <a:extLst>
            <a:ext uri="{FF2B5EF4-FFF2-40B4-BE49-F238E27FC236}">
              <a16:creationId xmlns:a16="http://schemas.microsoft.com/office/drawing/2014/main" id="{8BDE12A3-62F6-4C3B-A093-627609AD4AB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67176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203</xdr:row>
      <xdr:rowOff>171450</xdr:rowOff>
    </xdr:from>
    <xdr:to>
      <xdr:col>1</xdr:col>
      <xdr:colOff>47625</xdr:colOff>
      <xdr:row>204</xdr:row>
      <xdr:rowOff>209550</xdr:rowOff>
    </xdr:to>
    <xdr:pic>
      <xdr:nvPicPr>
        <xdr:cNvPr id="4" name="Picture 3" descr="C:\WINDOWS\TEMP\Symbol.gif">
          <a:extLst>
            <a:ext uri="{FF2B5EF4-FFF2-40B4-BE49-F238E27FC236}">
              <a16:creationId xmlns:a16="http://schemas.microsoft.com/office/drawing/2014/main" id="{60EB5E3B-D614-4D7C-B757-82AC74791E2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4141470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304</xdr:row>
      <xdr:rowOff>161925</xdr:rowOff>
    </xdr:from>
    <xdr:to>
      <xdr:col>1</xdr:col>
      <xdr:colOff>19050</xdr:colOff>
      <xdr:row>305</xdr:row>
      <xdr:rowOff>200025</xdr:rowOff>
    </xdr:to>
    <xdr:pic>
      <xdr:nvPicPr>
        <xdr:cNvPr id="5" name="Picture 4" descr="C:\WINDOWS\TEMP\Symbol.gif">
          <a:extLst>
            <a:ext uri="{FF2B5EF4-FFF2-40B4-BE49-F238E27FC236}">
              <a16:creationId xmlns:a16="http://schemas.microsoft.com/office/drawing/2014/main" id="{33FE77C6-D7AC-4593-9E5F-7523B0C02D05}"/>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17315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1B85304B-31BC-421E-99EE-777A350F5DBB}"/>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E4447D0E-3757-46F6-822A-E683CF98FCE6}"/>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64479A0C-2064-4ADB-9323-85F209BAD90C}"/>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89DEB245-9BA0-4165-AECC-51B538FC513A}"/>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58</xdr:row>
      <xdr:rowOff>123825</xdr:rowOff>
    </xdr:from>
    <xdr:to>
      <xdr:col>18</xdr:col>
      <xdr:colOff>885825</xdr:colOff>
      <xdr:row>59</xdr:row>
      <xdr:rowOff>152400</xdr:rowOff>
    </xdr:to>
    <xdr:pic>
      <xdr:nvPicPr>
        <xdr:cNvPr id="10" name="Picture 9" descr="C:\WINDOWS\TEMP\~0003946.gif">
          <a:extLst>
            <a:ext uri="{FF2B5EF4-FFF2-40B4-BE49-F238E27FC236}">
              <a16:creationId xmlns:a16="http://schemas.microsoft.com/office/drawing/2014/main" id="{85BC8F97-3D5E-4614-9880-177043CA52A4}"/>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18300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130</xdr:row>
      <xdr:rowOff>123825</xdr:rowOff>
    </xdr:from>
    <xdr:to>
      <xdr:col>18</xdr:col>
      <xdr:colOff>895350</xdr:colOff>
      <xdr:row>131</xdr:row>
      <xdr:rowOff>152400</xdr:rowOff>
    </xdr:to>
    <xdr:pic>
      <xdr:nvPicPr>
        <xdr:cNvPr id="11" name="Picture 10" descr="C:\WINDOWS\TEMP\~0003946.gif">
          <a:extLst>
            <a:ext uri="{FF2B5EF4-FFF2-40B4-BE49-F238E27FC236}">
              <a16:creationId xmlns:a16="http://schemas.microsoft.com/office/drawing/2014/main" id="{F49617C7-399D-441E-BCCA-7A4494B165F0}"/>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66795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203</xdr:row>
      <xdr:rowOff>104775</xdr:rowOff>
    </xdr:from>
    <xdr:to>
      <xdr:col>18</xdr:col>
      <xdr:colOff>809625</xdr:colOff>
      <xdr:row>204</xdr:row>
      <xdr:rowOff>133350</xdr:rowOff>
    </xdr:to>
    <xdr:pic>
      <xdr:nvPicPr>
        <xdr:cNvPr id="12" name="Picture 11" descr="C:\WINDOWS\TEMP\~0003946.gif">
          <a:extLst>
            <a:ext uri="{FF2B5EF4-FFF2-40B4-BE49-F238E27FC236}">
              <a16:creationId xmlns:a16="http://schemas.microsoft.com/office/drawing/2014/main" id="{B1E2C6B5-4D91-4E94-8942-F0524530074E}"/>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4134802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304</xdr:row>
      <xdr:rowOff>104775</xdr:rowOff>
    </xdr:from>
    <xdr:to>
      <xdr:col>18</xdr:col>
      <xdr:colOff>895350</xdr:colOff>
      <xdr:row>305</xdr:row>
      <xdr:rowOff>133350</xdr:rowOff>
    </xdr:to>
    <xdr:pic>
      <xdr:nvPicPr>
        <xdr:cNvPr id="13" name="Picture 12" descr="C:\WINDOWS\TEMP\~0003946.gif">
          <a:extLst>
            <a:ext uri="{FF2B5EF4-FFF2-40B4-BE49-F238E27FC236}">
              <a16:creationId xmlns:a16="http://schemas.microsoft.com/office/drawing/2014/main" id="{D929A9EC-4EB4-440A-9B5D-550C19F8166C}"/>
            </a:ext>
          </a:extLst>
        </xdr:cNvPr>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16743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6" name="Picture 5" descr="C:\WINDOWS\TEMP\~0003946.gif">
          <a:extLst>
            <a:ext uri="{FF2B5EF4-FFF2-40B4-BE49-F238E27FC236}">
              <a16:creationId xmlns:a16="http://schemas.microsoft.com/office/drawing/2014/main" id="{937E089B-130E-4C29-BFF7-53F9938BEFB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6934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7" name="Picture 6" descr="C:\WINDOWS\TEMP\~0003946.gif">
          <a:extLst>
            <a:ext uri="{FF2B5EF4-FFF2-40B4-BE49-F238E27FC236}">
              <a16:creationId xmlns:a16="http://schemas.microsoft.com/office/drawing/2014/main" id="{13E61B5C-2994-44B0-82CD-AE27BCFBF8A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3956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8" name="Picture 7" descr="C:\WINDOWS\TEMP\~0003946.gif">
          <a:extLst>
            <a:ext uri="{FF2B5EF4-FFF2-40B4-BE49-F238E27FC236}">
              <a16:creationId xmlns:a16="http://schemas.microsoft.com/office/drawing/2014/main" id="{DE29BA37-F1BA-4D64-857B-097BD51AB9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176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9" name="Picture 8" descr="C:\WINDOWS\TEMP\~0003946.gif">
          <a:extLst>
            <a:ext uri="{FF2B5EF4-FFF2-40B4-BE49-F238E27FC236}">
              <a16:creationId xmlns:a16="http://schemas.microsoft.com/office/drawing/2014/main" id="{760B8AFE-3627-4A0F-B762-E719C1D4BC9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68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14" name="Picture 13">
          <a:extLst>
            <a:ext uri="{FF2B5EF4-FFF2-40B4-BE49-F238E27FC236}">
              <a16:creationId xmlns:a16="http://schemas.microsoft.com/office/drawing/2014/main" id="{1F774587-FBE8-4E45-8DCD-656CE46DB724}"/>
            </a:ext>
          </a:extLst>
        </xdr:cNvPr>
        <xdr:cNvPicPr>
          <a:picLocks noChangeAspect="1"/>
        </xdr:cNvPicPr>
      </xdr:nvPicPr>
      <xdr:blipFill>
        <a:blip xmlns:r="http://schemas.openxmlformats.org/officeDocument/2006/relationships" r:embed="rId3"/>
        <a:stretch>
          <a:fillRect/>
        </a:stretch>
      </xdr:blipFill>
      <xdr:spPr>
        <a:xfrm>
          <a:off x="139700" y="12001500"/>
          <a:ext cx="170703" cy="231668"/>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16" name="Picture 15">
          <a:extLst>
            <a:ext uri="{FF2B5EF4-FFF2-40B4-BE49-F238E27FC236}">
              <a16:creationId xmlns:a16="http://schemas.microsoft.com/office/drawing/2014/main" id="{651DDCD7-A41E-4732-B75D-5BE44C60790C}"/>
            </a:ext>
          </a:extLst>
        </xdr:cNvPr>
        <xdr:cNvPicPr>
          <a:picLocks noChangeAspect="1"/>
        </xdr:cNvPicPr>
      </xdr:nvPicPr>
      <xdr:blipFill>
        <a:blip xmlns:r="http://schemas.openxmlformats.org/officeDocument/2006/relationships" r:embed="rId3"/>
        <a:stretch>
          <a:fillRect/>
        </a:stretch>
      </xdr:blipFill>
      <xdr:spPr>
        <a:xfrm>
          <a:off x="165100" y="27139900"/>
          <a:ext cx="170703" cy="231668"/>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17" name="Picture 16">
          <a:extLst>
            <a:ext uri="{FF2B5EF4-FFF2-40B4-BE49-F238E27FC236}">
              <a16:creationId xmlns:a16="http://schemas.microsoft.com/office/drawing/2014/main" id="{286CA608-6F1C-41A3-8335-2ABD7978475B}"/>
            </a:ext>
          </a:extLst>
        </xdr:cNvPr>
        <xdr:cNvPicPr>
          <a:picLocks noChangeAspect="1"/>
        </xdr:cNvPicPr>
      </xdr:nvPicPr>
      <xdr:blipFill>
        <a:blip xmlns:r="http://schemas.openxmlformats.org/officeDocument/2006/relationships" r:embed="rId3"/>
        <a:stretch>
          <a:fillRect/>
        </a:stretch>
      </xdr:blipFill>
      <xdr:spPr>
        <a:xfrm>
          <a:off x="139700" y="42049700"/>
          <a:ext cx="170703" cy="231668"/>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18" name="Picture 17">
          <a:extLst>
            <a:ext uri="{FF2B5EF4-FFF2-40B4-BE49-F238E27FC236}">
              <a16:creationId xmlns:a16="http://schemas.microsoft.com/office/drawing/2014/main" id="{04CE6C8E-F093-4508-AE1F-E7E697878E1B}"/>
            </a:ext>
          </a:extLst>
        </xdr:cNvPr>
        <xdr:cNvPicPr>
          <a:picLocks noChangeAspect="1"/>
        </xdr:cNvPicPr>
      </xdr:nvPicPr>
      <xdr:blipFill>
        <a:blip xmlns:r="http://schemas.openxmlformats.org/officeDocument/2006/relationships" r:embed="rId3"/>
        <a:stretch>
          <a:fillRect/>
        </a:stretch>
      </xdr:blipFill>
      <xdr:spPr>
        <a:xfrm>
          <a:off x="139700" y="62674500"/>
          <a:ext cx="170703" cy="231668"/>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9" name="Picture 18">
          <a:extLst>
            <a:ext uri="{FF2B5EF4-FFF2-40B4-BE49-F238E27FC236}">
              <a16:creationId xmlns:a16="http://schemas.microsoft.com/office/drawing/2014/main" id="{70C6C56E-43E2-43ED-B895-81E0D624D2EC}"/>
            </a:ext>
          </a:extLst>
        </xdr:cNvPr>
        <xdr:cNvPicPr>
          <a:picLocks noChangeAspect="1"/>
        </xdr:cNvPicPr>
      </xdr:nvPicPr>
      <xdr:blipFill>
        <a:blip xmlns:r="http://schemas.openxmlformats.org/officeDocument/2006/relationships" r:embed="rId4"/>
        <a:stretch>
          <a:fillRect/>
        </a:stretch>
      </xdr:blipFill>
      <xdr:spPr>
        <a:xfrm>
          <a:off x="20078700" y="62547500"/>
          <a:ext cx="829128" cy="292633"/>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20" name="Picture 19">
          <a:extLst>
            <a:ext uri="{FF2B5EF4-FFF2-40B4-BE49-F238E27FC236}">
              <a16:creationId xmlns:a16="http://schemas.microsoft.com/office/drawing/2014/main" id="{944A63F8-9E28-403A-BEBA-67C0FDDFE95E}"/>
            </a:ext>
          </a:extLst>
        </xdr:cNvPr>
        <xdr:cNvPicPr>
          <a:picLocks noChangeAspect="1"/>
        </xdr:cNvPicPr>
      </xdr:nvPicPr>
      <xdr:blipFill>
        <a:blip xmlns:r="http://schemas.openxmlformats.org/officeDocument/2006/relationships" r:embed="rId4"/>
        <a:stretch>
          <a:fillRect/>
        </a:stretch>
      </xdr:blipFill>
      <xdr:spPr>
        <a:xfrm>
          <a:off x="20142200" y="41986200"/>
          <a:ext cx="829128" cy="292633"/>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21" name="Picture 20">
          <a:extLst>
            <a:ext uri="{FF2B5EF4-FFF2-40B4-BE49-F238E27FC236}">
              <a16:creationId xmlns:a16="http://schemas.microsoft.com/office/drawing/2014/main" id="{C8AD0217-3939-4A61-9427-439C9DE40A59}"/>
            </a:ext>
          </a:extLst>
        </xdr:cNvPr>
        <xdr:cNvPicPr>
          <a:picLocks noChangeAspect="1"/>
        </xdr:cNvPicPr>
      </xdr:nvPicPr>
      <xdr:blipFill>
        <a:blip xmlns:r="http://schemas.openxmlformats.org/officeDocument/2006/relationships" r:embed="rId4"/>
        <a:stretch>
          <a:fillRect/>
        </a:stretch>
      </xdr:blipFill>
      <xdr:spPr>
        <a:xfrm>
          <a:off x="20104100" y="27038300"/>
          <a:ext cx="829128" cy="292633"/>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22" name="Picture 21">
          <a:extLst>
            <a:ext uri="{FF2B5EF4-FFF2-40B4-BE49-F238E27FC236}">
              <a16:creationId xmlns:a16="http://schemas.microsoft.com/office/drawing/2014/main" id="{34573A60-2628-482F-BE24-A1A273D647C4}"/>
            </a:ext>
          </a:extLst>
        </xdr:cNvPr>
        <xdr:cNvPicPr>
          <a:picLocks noChangeAspect="1"/>
        </xdr:cNvPicPr>
      </xdr:nvPicPr>
      <xdr:blipFill>
        <a:blip xmlns:r="http://schemas.openxmlformats.org/officeDocument/2006/relationships" r:embed="rId4"/>
        <a:stretch>
          <a:fillRect/>
        </a:stretch>
      </xdr:blipFill>
      <xdr:spPr>
        <a:xfrm>
          <a:off x="20078700" y="11887200"/>
          <a:ext cx="829128" cy="2926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CDFDEABE-43C7-4B7A-AEAD-7BDE82A8DAE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414B9979-325A-46F5-9301-0EB08FAF751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0A9168F7-B77F-4A98-8C77-6C27A078657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43C13B0F-E5E9-4C80-9FCC-3078DBF695D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DCF80780-3B00-475B-BAB4-2782763A5D24}"/>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1624254C-9783-4E4D-9CEC-C1B5ED6D4CB5}"/>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5F66F260-D8ED-449E-B76C-77B135D512E4}"/>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BBC97F04-49EF-419D-8AF0-B29FC6D0C395}"/>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367DE2CD-08AA-4361-9598-FA6F0CA53046}"/>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2A884562-C74A-4858-8C2B-6C68333354DC}"/>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B24BF43B-2EBD-42E7-A83A-E8091FDB6367}"/>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EEE9F4D2-2830-47B0-83E5-6DA763D298B2}"/>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18</xdr:col>
      <xdr:colOff>1095375</xdr:colOff>
      <xdr:row>304</xdr:row>
      <xdr:rowOff>123825</xdr:rowOff>
    </xdr:from>
    <xdr:to>
      <xdr:col>18</xdr:col>
      <xdr:colOff>1895475</xdr:colOff>
      <xdr:row>305</xdr:row>
      <xdr:rowOff>152400</xdr:rowOff>
    </xdr:to>
    <xdr:pic>
      <xdr:nvPicPr>
        <xdr:cNvPr id="2" name="Picture 1" descr="C:\WINDOWS\TEMP\~0003946.gif">
          <a:extLst>
            <a:ext uri="{FF2B5EF4-FFF2-40B4-BE49-F238E27FC236}">
              <a16:creationId xmlns:a16="http://schemas.microsoft.com/office/drawing/2014/main" id="{2941FD63-D35B-4D35-ABC7-86780FC3ACB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61702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203</xdr:row>
      <xdr:rowOff>152400</xdr:rowOff>
    </xdr:from>
    <xdr:to>
      <xdr:col>18</xdr:col>
      <xdr:colOff>1924050</xdr:colOff>
      <xdr:row>204</xdr:row>
      <xdr:rowOff>180975</xdr:rowOff>
    </xdr:to>
    <xdr:pic>
      <xdr:nvPicPr>
        <xdr:cNvPr id="3" name="Picture 2" descr="C:\WINDOWS\TEMP\~0003946.gif">
          <a:extLst>
            <a:ext uri="{FF2B5EF4-FFF2-40B4-BE49-F238E27FC236}">
              <a16:creationId xmlns:a16="http://schemas.microsoft.com/office/drawing/2014/main" id="{AFAB4D03-F847-456B-947F-691FA1C2984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414051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130</xdr:row>
      <xdr:rowOff>161925</xdr:rowOff>
    </xdr:from>
    <xdr:to>
      <xdr:col>18</xdr:col>
      <xdr:colOff>1952625</xdr:colOff>
      <xdr:row>131</xdr:row>
      <xdr:rowOff>190500</xdr:rowOff>
    </xdr:to>
    <xdr:pic>
      <xdr:nvPicPr>
        <xdr:cNvPr id="4" name="Picture 3" descr="C:\WINDOWS\TEMP\~0003946.gif">
          <a:extLst>
            <a:ext uri="{FF2B5EF4-FFF2-40B4-BE49-F238E27FC236}">
              <a16:creationId xmlns:a16="http://schemas.microsoft.com/office/drawing/2014/main" id="{532D32CA-1EB0-48E1-ABCB-48482991B90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26727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58</xdr:row>
      <xdr:rowOff>161925</xdr:rowOff>
    </xdr:from>
    <xdr:to>
      <xdr:col>18</xdr:col>
      <xdr:colOff>1952625</xdr:colOff>
      <xdr:row>59</xdr:row>
      <xdr:rowOff>190500</xdr:rowOff>
    </xdr:to>
    <xdr:pic>
      <xdr:nvPicPr>
        <xdr:cNvPr id="5" name="Picture 4" descr="C:\WINDOWS\TEMP\~0003946.gif">
          <a:extLst>
            <a:ext uri="{FF2B5EF4-FFF2-40B4-BE49-F238E27FC236}">
              <a16:creationId xmlns:a16="http://schemas.microsoft.com/office/drawing/2014/main" id="{34B192A7-3C62-47CC-8C2A-4720FE3183F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1031200" y="118776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58</xdr:row>
      <xdr:rowOff>114300</xdr:rowOff>
    </xdr:from>
    <xdr:to>
      <xdr:col>0</xdr:col>
      <xdr:colOff>310403</xdr:colOff>
      <xdr:row>59</xdr:row>
      <xdr:rowOff>142768</xdr:rowOff>
    </xdr:to>
    <xdr:pic>
      <xdr:nvPicPr>
        <xdr:cNvPr id="6" name="Picture 5">
          <a:extLst>
            <a:ext uri="{FF2B5EF4-FFF2-40B4-BE49-F238E27FC236}">
              <a16:creationId xmlns:a16="http://schemas.microsoft.com/office/drawing/2014/main" id="{7B58F461-B071-48AC-89D1-07027EDA4511}"/>
            </a:ext>
          </a:extLst>
        </xdr:cNvPr>
        <xdr:cNvPicPr>
          <a:picLocks noChangeAspect="1"/>
        </xdr:cNvPicPr>
      </xdr:nvPicPr>
      <xdr:blipFill>
        <a:blip xmlns:r="http://schemas.openxmlformats.org/officeDocument/2006/relationships" r:embed="rId3"/>
        <a:stretch>
          <a:fillRect/>
        </a:stretch>
      </xdr:blipFill>
      <xdr:spPr>
        <a:xfrm>
          <a:off x="139700" y="11830050"/>
          <a:ext cx="170703" cy="228493"/>
        </a:xfrm>
        <a:prstGeom prst="rect">
          <a:avLst/>
        </a:prstGeom>
      </xdr:spPr>
    </xdr:pic>
    <xdr:clientData/>
  </xdr:twoCellAnchor>
  <xdr:twoCellAnchor editAs="oneCell">
    <xdr:from>
      <xdr:col>0</xdr:col>
      <xdr:colOff>165100</xdr:colOff>
      <xdr:row>130</xdr:row>
      <xdr:rowOff>177800</xdr:rowOff>
    </xdr:from>
    <xdr:to>
      <xdr:col>1</xdr:col>
      <xdr:colOff>523</xdr:colOff>
      <xdr:row>131</xdr:row>
      <xdr:rowOff>206268</xdr:rowOff>
    </xdr:to>
    <xdr:pic>
      <xdr:nvPicPr>
        <xdr:cNvPr id="7" name="Picture 6">
          <a:extLst>
            <a:ext uri="{FF2B5EF4-FFF2-40B4-BE49-F238E27FC236}">
              <a16:creationId xmlns:a16="http://schemas.microsoft.com/office/drawing/2014/main" id="{145669E7-9AB0-4456-A800-98AB158D0CC4}"/>
            </a:ext>
          </a:extLst>
        </xdr:cNvPr>
        <xdr:cNvPicPr>
          <a:picLocks noChangeAspect="1"/>
        </xdr:cNvPicPr>
      </xdr:nvPicPr>
      <xdr:blipFill>
        <a:blip xmlns:r="http://schemas.openxmlformats.org/officeDocument/2006/relationships" r:embed="rId3"/>
        <a:stretch>
          <a:fillRect/>
        </a:stretch>
      </xdr:blipFill>
      <xdr:spPr>
        <a:xfrm>
          <a:off x="165100" y="26743025"/>
          <a:ext cx="178323" cy="228493"/>
        </a:xfrm>
        <a:prstGeom prst="rect">
          <a:avLst/>
        </a:prstGeom>
      </xdr:spPr>
    </xdr:pic>
    <xdr:clientData/>
  </xdr:twoCellAnchor>
  <xdr:twoCellAnchor editAs="oneCell">
    <xdr:from>
      <xdr:col>0</xdr:col>
      <xdr:colOff>139700</xdr:colOff>
      <xdr:row>203</xdr:row>
      <xdr:rowOff>152400</xdr:rowOff>
    </xdr:from>
    <xdr:to>
      <xdr:col>0</xdr:col>
      <xdr:colOff>310403</xdr:colOff>
      <xdr:row>204</xdr:row>
      <xdr:rowOff>180868</xdr:rowOff>
    </xdr:to>
    <xdr:pic>
      <xdr:nvPicPr>
        <xdr:cNvPr id="8" name="Picture 7">
          <a:extLst>
            <a:ext uri="{FF2B5EF4-FFF2-40B4-BE49-F238E27FC236}">
              <a16:creationId xmlns:a16="http://schemas.microsoft.com/office/drawing/2014/main" id="{9BDA6572-75AA-48A7-B8D2-A1D96A434CB8}"/>
            </a:ext>
          </a:extLst>
        </xdr:cNvPr>
        <xdr:cNvPicPr>
          <a:picLocks noChangeAspect="1"/>
        </xdr:cNvPicPr>
      </xdr:nvPicPr>
      <xdr:blipFill>
        <a:blip xmlns:r="http://schemas.openxmlformats.org/officeDocument/2006/relationships" r:embed="rId3"/>
        <a:stretch>
          <a:fillRect/>
        </a:stretch>
      </xdr:blipFill>
      <xdr:spPr>
        <a:xfrm>
          <a:off x="139700" y="41405175"/>
          <a:ext cx="170703" cy="228493"/>
        </a:xfrm>
        <a:prstGeom prst="rect">
          <a:avLst/>
        </a:prstGeom>
      </xdr:spPr>
    </xdr:pic>
    <xdr:clientData/>
  </xdr:twoCellAnchor>
  <xdr:twoCellAnchor editAs="oneCell">
    <xdr:from>
      <xdr:col>0</xdr:col>
      <xdr:colOff>139700</xdr:colOff>
      <xdr:row>304</xdr:row>
      <xdr:rowOff>127000</xdr:rowOff>
    </xdr:from>
    <xdr:to>
      <xdr:col>0</xdr:col>
      <xdr:colOff>310403</xdr:colOff>
      <xdr:row>305</xdr:row>
      <xdr:rowOff>155468</xdr:rowOff>
    </xdr:to>
    <xdr:pic>
      <xdr:nvPicPr>
        <xdr:cNvPr id="9" name="Picture 8">
          <a:extLst>
            <a:ext uri="{FF2B5EF4-FFF2-40B4-BE49-F238E27FC236}">
              <a16:creationId xmlns:a16="http://schemas.microsoft.com/office/drawing/2014/main" id="{B9BD446F-FA7C-4DBC-81CB-5E9D4DACE85E}"/>
            </a:ext>
          </a:extLst>
        </xdr:cNvPr>
        <xdr:cNvPicPr>
          <a:picLocks noChangeAspect="1"/>
        </xdr:cNvPicPr>
      </xdr:nvPicPr>
      <xdr:blipFill>
        <a:blip xmlns:r="http://schemas.openxmlformats.org/officeDocument/2006/relationships" r:embed="rId3"/>
        <a:stretch>
          <a:fillRect/>
        </a:stretch>
      </xdr:blipFill>
      <xdr:spPr>
        <a:xfrm>
          <a:off x="139700" y="61706125"/>
          <a:ext cx="170703" cy="228493"/>
        </a:xfrm>
        <a:prstGeom prst="rect">
          <a:avLst/>
        </a:prstGeom>
      </xdr:spPr>
    </xdr:pic>
    <xdr:clientData/>
  </xdr:twoCellAnchor>
  <xdr:twoCellAnchor editAs="oneCell">
    <xdr:from>
      <xdr:col>18</xdr:col>
      <xdr:colOff>0</xdr:colOff>
      <xdr:row>304</xdr:row>
      <xdr:rowOff>0</xdr:rowOff>
    </xdr:from>
    <xdr:to>
      <xdr:col>18</xdr:col>
      <xdr:colOff>829128</xdr:colOff>
      <xdr:row>305</xdr:row>
      <xdr:rowOff>89433</xdr:rowOff>
    </xdr:to>
    <xdr:pic>
      <xdr:nvPicPr>
        <xdr:cNvPr id="10" name="Picture 9">
          <a:extLst>
            <a:ext uri="{FF2B5EF4-FFF2-40B4-BE49-F238E27FC236}">
              <a16:creationId xmlns:a16="http://schemas.microsoft.com/office/drawing/2014/main" id="{6C30EF4E-ECE7-49BC-97F5-48FF314B0B9B}"/>
            </a:ext>
          </a:extLst>
        </xdr:cNvPr>
        <xdr:cNvPicPr>
          <a:picLocks noChangeAspect="1"/>
        </xdr:cNvPicPr>
      </xdr:nvPicPr>
      <xdr:blipFill>
        <a:blip xmlns:r="http://schemas.openxmlformats.org/officeDocument/2006/relationships" r:embed="rId4"/>
        <a:stretch>
          <a:fillRect/>
        </a:stretch>
      </xdr:blipFill>
      <xdr:spPr>
        <a:xfrm>
          <a:off x="20021550" y="61579125"/>
          <a:ext cx="829128" cy="289458"/>
        </a:xfrm>
        <a:prstGeom prst="rect">
          <a:avLst/>
        </a:prstGeom>
      </xdr:spPr>
    </xdr:pic>
    <xdr:clientData/>
  </xdr:twoCellAnchor>
  <xdr:twoCellAnchor editAs="oneCell">
    <xdr:from>
      <xdr:col>18</xdr:col>
      <xdr:colOff>63500</xdr:colOff>
      <xdr:row>203</xdr:row>
      <xdr:rowOff>88900</xdr:rowOff>
    </xdr:from>
    <xdr:to>
      <xdr:col>18</xdr:col>
      <xdr:colOff>892628</xdr:colOff>
      <xdr:row>204</xdr:row>
      <xdr:rowOff>178333</xdr:rowOff>
    </xdr:to>
    <xdr:pic>
      <xdr:nvPicPr>
        <xdr:cNvPr id="11" name="Picture 10">
          <a:extLst>
            <a:ext uri="{FF2B5EF4-FFF2-40B4-BE49-F238E27FC236}">
              <a16:creationId xmlns:a16="http://schemas.microsoft.com/office/drawing/2014/main" id="{8A24D780-ECB7-48B0-84C2-443CC69222BE}"/>
            </a:ext>
          </a:extLst>
        </xdr:cNvPr>
        <xdr:cNvPicPr>
          <a:picLocks noChangeAspect="1"/>
        </xdr:cNvPicPr>
      </xdr:nvPicPr>
      <xdr:blipFill>
        <a:blip xmlns:r="http://schemas.openxmlformats.org/officeDocument/2006/relationships" r:embed="rId4"/>
        <a:stretch>
          <a:fillRect/>
        </a:stretch>
      </xdr:blipFill>
      <xdr:spPr>
        <a:xfrm>
          <a:off x="20085050" y="41341675"/>
          <a:ext cx="829128" cy="289458"/>
        </a:xfrm>
        <a:prstGeom prst="rect">
          <a:avLst/>
        </a:prstGeom>
      </xdr:spPr>
    </xdr:pic>
    <xdr:clientData/>
  </xdr:twoCellAnchor>
  <xdr:twoCellAnchor editAs="oneCell">
    <xdr:from>
      <xdr:col>18</xdr:col>
      <xdr:colOff>25400</xdr:colOff>
      <xdr:row>130</xdr:row>
      <xdr:rowOff>76200</xdr:rowOff>
    </xdr:from>
    <xdr:to>
      <xdr:col>18</xdr:col>
      <xdr:colOff>854528</xdr:colOff>
      <xdr:row>131</xdr:row>
      <xdr:rowOff>165633</xdr:rowOff>
    </xdr:to>
    <xdr:pic>
      <xdr:nvPicPr>
        <xdr:cNvPr id="12" name="Picture 11">
          <a:extLst>
            <a:ext uri="{FF2B5EF4-FFF2-40B4-BE49-F238E27FC236}">
              <a16:creationId xmlns:a16="http://schemas.microsoft.com/office/drawing/2014/main" id="{09E426F2-256F-4DFB-BF9E-7D45A2DCE909}"/>
            </a:ext>
          </a:extLst>
        </xdr:cNvPr>
        <xdr:cNvPicPr>
          <a:picLocks noChangeAspect="1"/>
        </xdr:cNvPicPr>
      </xdr:nvPicPr>
      <xdr:blipFill>
        <a:blip xmlns:r="http://schemas.openxmlformats.org/officeDocument/2006/relationships" r:embed="rId4"/>
        <a:stretch>
          <a:fillRect/>
        </a:stretch>
      </xdr:blipFill>
      <xdr:spPr>
        <a:xfrm>
          <a:off x="20046950" y="26641425"/>
          <a:ext cx="829128" cy="289458"/>
        </a:xfrm>
        <a:prstGeom prst="rect">
          <a:avLst/>
        </a:prstGeom>
      </xdr:spPr>
    </xdr:pic>
    <xdr:clientData/>
  </xdr:twoCellAnchor>
  <xdr:twoCellAnchor editAs="oneCell">
    <xdr:from>
      <xdr:col>18</xdr:col>
      <xdr:colOff>0</xdr:colOff>
      <xdr:row>58</xdr:row>
      <xdr:rowOff>0</xdr:rowOff>
    </xdr:from>
    <xdr:to>
      <xdr:col>18</xdr:col>
      <xdr:colOff>829128</xdr:colOff>
      <xdr:row>59</xdr:row>
      <xdr:rowOff>89433</xdr:rowOff>
    </xdr:to>
    <xdr:pic>
      <xdr:nvPicPr>
        <xdr:cNvPr id="13" name="Picture 12">
          <a:extLst>
            <a:ext uri="{FF2B5EF4-FFF2-40B4-BE49-F238E27FC236}">
              <a16:creationId xmlns:a16="http://schemas.microsoft.com/office/drawing/2014/main" id="{82FF6278-4D04-4B6A-B171-D9F7D3B02A28}"/>
            </a:ext>
          </a:extLst>
        </xdr:cNvPr>
        <xdr:cNvPicPr>
          <a:picLocks noChangeAspect="1"/>
        </xdr:cNvPicPr>
      </xdr:nvPicPr>
      <xdr:blipFill>
        <a:blip xmlns:r="http://schemas.openxmlformats.org/officeDocument/2006/relationships" r:embed="rId4"/>
        <a:stretch>
          <a:fillRect/>
        </a:stretch>
      </xdr:blipFill>
      <xdr:spPr>
        <a:xfrm>
          <a:off x="20021550" y="11715750"/>
          <a:ext cx="829128" cy="2894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D2926"/>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42481</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v>0</v>
      </c>
      <c r="E29" s="130"/>
      <c r="F29" s="201">
        <v>0</v>
      </c>
      <c r="G29" s="201"/>
      <c r="H29" s="201">
        <v>0</v>
      </c>
      <c r="I29" s="201"/>
      <c r="J29" s="201">
        <v>0</v>
      </c>
      <c r="K29" s="126"/>
      <c r="L29" s="201">
        <v>0</v>
      </c>
      <c r="M29" s="126"/>
      <c r="N29" s="130"/>
      <c r="O29" s="126"/>
      <c r="P29" s="126"/>
      <c r="Q29" s="127"/>
      <c r="R29" s="126"/>
      <c r="S29" s="128"/>
      <c r="T29" s="2"/>
    </row>
    <row r="30" spans="1:23" ht="15.6" x14ac:dyDescent="0.3">
      <c r="A30" s="122"/>
      <c r="B30" s="121" t="s">
        <v>107</v>
      </c>
      <c r="C30" s="125"/>
      <c r="D30" s="236">
        <f>D28*D34</f>
        <v>122589.325</v>
      </c>
      <c r="E30" s="202"/>
      <c r="F30" s="202">
        <f t="shared" ref="F30" si="0">F28*F34</f>
        <v>204282.85118</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v>0</v>
      </c>
      <c r="E32" s="201"/>
      <c r="F32" s="201">
        <v>0</v>
      </c>
      <c r="G32" s="201"/>
      <c r="H32" s="201">
        <v>0</v>
      </c>
      <c r="I32" s="201"/>
      <c r="J32" s="201">
        <v>0</v>
      </c>
      <c r="K32" s="201"/>
      <c r="L32" s="201">
        <v>0</v>
      </c>
      <c r="M32" s="126"/>
      <c r="N32" s="133"/>
      <c r="O32" s="126"/>
      <c r="P32" s="126"/>
      <c r="Q32" s="127"/>
      <c r="R32" s="126">
        <f>SUM(D32:L32)</f>
        <v>0</v>
      </c>
      <c r="S32" s="128"/>
      <c r="T32" s="2"/>
    </row>
    <row r="33" spans="1:20" ht="15.6" x14ac:dyDescent="0.3">
      <c r="A33" s="122"/>
      <c r="B33" s="124" t="s">
        <v>223</v>
      </c>
      <c r="C33" s="125"/>
      <c r="D33" s="237">
        <f>D31*D34</f>
        <v>86653.980626799996</v>
      </c>
      <c r="E33" s="237"/>
      <c r="F33" s="237">
        <f t="shared" ref="F33:L33" si="4">F31*F34</f>
        <v>204282.85118</v>
      </c>
      <c r="G33" s="237"/>
      <c r="H33" s="237">
        <f t="shared" si="4"/>
        <v>19300</v>
      </c>
      <c r="I33" s="237"/>
      <c r="J33" s="237">
        <f t="shared" si="4"/>
        <v>25400</v>
      </c>
      <c r="K33" s="237"/>
      <c r="L33" s="237">
        <f t="shared" si="4"/>
        <v>8753</v>
      </c>
      <c r="M33" s="131"/>
      <c r="N33" s="133"/>
      <c r="O33" s="126"/>
      <c r="P33" s="126"/>
      <c r="Q33" s="127"/>
      <c r="R33" s="203">
        <f>SUM(D33:L33)</f>
        <v>344389.83180679998</v>
      </c>
      <c r="S33" s="128"/>
      <c r="T33" s="2"/>
    </row>
    <row r="34" spans="1:20" ht="15.6" x14ac:dyDescent="0.3">
      <c r="A34" s="112"/>
      <c r="B34" s="134" t="s">
        <v>103</v>
      </c>
      <c r="C34" s="135"/>
      <c r="D34" s="136">
        <v>0.98071459999999999</v>
      </c>
      <c r="E34" s="136"/>
      <c r="F34" s="136">
        <v>0.98071459999999999</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1</v>
      </c>
      <c r="E35" s="136"/>
      <c r="F35" s="136">
        <v>1</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1.056E-2</v>
      </c>
      <c r="E37" s="143"/>
      <c r="F37" s="143">
        <v>2.1717400000000001E-2</v>
      </c>
      <c r="G37" s="143"/>
      <c r="H37" s="143">
        <v>3.1217399999999999E-2</v>
      </c>
      <c r="I37" s="143"/>
      <c r="J37" s="143">
        <v>3.8717399999999999E-2</v>
      </c>
      <c r="K37" s="143"/>
      <c r="L37" s="143">
        <v>4.2217400000000002E-2</v>
      </c>
      <c r="M37" s="142"/>
      <c r="N37" s="143"/>
      <c r="O37" s="123"/>
      <c r="P37" s="123"/>
      <c r="Q37" s="115"/>
      <c r="R37" s="142"/>
      <c r="S37" s="116"/>
      <c r="T37" s="2"/>
    </row>
    <row r="38" spans="1:20" ht="15.6" x14ac:dyDescent="0.3">
      <c r="A38" s="112"/>
      <c r="B38" s="113" t="s">
        <v>10</v>
      </c>
      <c r="C38" s="144"/>
      <c r="D38" s="143">
        <v>0</v>
      </c>
      <c r="E38" s="143"/>
      <c r="F38" s="143">
        <v>0</v>
      </c>
      <c r="G38" s="143"/>
      <c r="H38" s="143">
        <v>0</v>
      </c>
      <c r="I38" s="143"/>
      <c r="J38" s="143">
        <v>0</v>
      </c>
      <c r="K38" s="143"/>
      <c r="L38" s="143">
        <v>0</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2.4187400000000001E-2</v>
      </c>
      <c r="E40" s="143"/>
      <c r="F40" s="143">
        <f>+F37</f>
        <v>2.1717400000000001E-2</v>
      </c>
      <c r="G40" s="143"/>
      <c r="H40" s="143">
        <f>+H37</f>
        <v>3.1217399999999999E-2</v>
      </c>
      <c r="I40" s="143"/>
      <c r="J40" s="143">
        <f>+J37</f>
        <v>3.8717399999999999E-2</v>
      </c>
      <c r="K40" s="143"/>
      <c r="L40" s="143">
        <f>+L37</f>
        <v>4.2217400000000002E-2</v>
      </c>
      <c r="M40" s="142"/>
      <c r="N40" s="143"/>
      <c r="O40" s="123"/>
      <c r="P40" s="123"/>
      <c r="Q40" s="115"/>
      <c r="R40" s="142">
        <f>SUMPRODUCT(D40:L40,D31:L31)/R31</f>
        <v>2.4610284713705084E-2</v>
      </c>
      <c r="S40" s="116"/>
      <c r="T40" s="2"/>
    </row>
    <row r="41" spans="1:20" ht="15.6" x14ac:dyDescent="0.3">
      <c r="A41" s="112"/>
      <c r="B41" s="113" t="s">
        <v>228</v>
      </c>
      <c r="C41" s="144"/>
      <c r="D41" s="143">
        <v>0</v>
      </c>
      <c r="E41" s="143"/>
      <c r="F41" s="143">
        <v>0</v>
      </c>
      <c r="G41" s="143"/>
      <c r="H41" s="143">
        <v>0</v>
      </c>
      <c r="I41" s="143"/>
      <c r="J41" s="143">
        <v>0</v>
      </c>
      <c r="K41" s="143"/>
      <c r="L41" s="143">
        <v>0</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0.18372716739933462</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42475</v>
      </c>
      <c r="S52" s="116"/>
      <c r="T52" s="2"/>
    </row>
    <row r="53" spans="1:21" ht="15.6" x14ac:dyDescent="0.3">
      <c r="A53" s="112"/>
      <c r="B53" s="113" t="s">
        <v>99</v>
      </c>
      <c r="C53" s="113"/>
      <c r="D53" s="150"/>
      <c r="E53" s="150"/>
      <c r="F53" s="150"/>
      <c r="G53" s="150"/>
      <c r="H53" s="150"/>
      <c r="I53" s="150"/>
      <c r="J53" s="150"/>
      <c r="K53" s="150"/>
      <c r="L53" s="150"/>
      <c r="M53" s="150"/>
      <c r="N53" s="113"/>
      <c r="O53" s="150"/>
      <c r="P53" s="151"/>
      <c r="Q53" s="152"/>
      <c r="R53" s="151"/>
      <c r="S53" s="116"/>
      <c r="T53" s="2"/>
    </row>
    <row r="54" spans="1:21" ht="15.6" x14ac:dyDescent="0.3">
      <c r="A54" s="112"/>
      <c r="B54" s="113" t="s">
        <v>100</v>
      </c>
      <c r="C54" s="113"/>
      <c r="D54" s="113"/>
      <c r="E54" s="113"/>
      <c r="F54" s="113"/>
      <c r="G54" s="113"/>
      <c r="H54" s="113"/>
      <c r="I54" s="113"/>
      <c r="J54" s="113"/>
      <c r="K54" s="113"/>
      <c r="L54" s="113"/>
      <c r="M54" s="113"/>
      <c r="N54" s="113">
        <f>+R54-P54+1</f>
        <v>148</v>
      </c>
      <c r="O54" s="113"/>
      <c r="P54" s="151">
        <v>42327</v>
      </c>
      <c r="Q54" s="152"/>
      <c r="R54" s="151">
        <v>42474</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42461</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261</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348459</v>
      </c>
      <c r="I64" s="155"/>
      <c r="J64" s="156">
        <v>327</v>
      </c>
      <c r="K64" s="155"/>
      <c r="L64" s="155">
        <f>5297+459</f>
        <v>5756</v>
      </c>
      <c r="M64" s="155"/>
      <c r="N64" s="155">
        <v>514</v>
      </c>
      <c r="O64" s="155"/>
      <c r="P64" s="155">
        <v>0</v>
      </c>
      <c r="Q64" s="155"/>
      <c r="R64" s="156">
        <f>F64-J64-L64+N64-P64</f>
        <v>342890</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348459</v>
      </c>
      <c r="I67" s="155"/>
      <c r="J67" s="155">
        <f>J64+J65</f>
        <v>327</v>
      </c>
      <c r="K67" s="155"/>
      <c r="L67" s="155">
        <f>SUM(L64:L66)</f>
        <v>5756</v>
      </c>
      <c r="M67" s="155"/>
      <c r="N67" s="155">
        <f>SUM(N64:N66)</f>
        <v>514</v>
      </c>
      <c r="O67" s="155"/>
      <c r="P67" s="155">
        <f>SUM(P64:P66)</f>
        <v>0</v>
      </c>
      <c r="Q67" s="155"/>
      <c r="R67" s="155">
        <f>SUM(R64:R66)</f>
        <v>342890</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1652</v>
      </c>
      <c r="I78" s="155"/>
      <c r="J78" s="155"/>
      <c r="K78" s="155"/>
      <c r="L78" s="155"/>
      <c r="M78" s="155"/>
      <c r="N78" s="155">
        <v>-152</v>
      </c>
      <c r="O78" s="155"/>
      <c r="P78" s="155"/>
      <c r="Q78" s="155"/>
      <c r="R78" s="155">
        <f>+H78+N78</f>
        <v>1500</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350111</v>
      </c>
      <c r="I80" s="155"/>
      <c r="J80" s="155"/>
      <c r="K80" s="155"/>
      <c r="L80" s="155"/>
      <c r="M80" s="155"/>
      <c r="N80" s="155"/>
      <c r="O80" s="155"/>
      <c r="P80" s="155"/>
      <c r="Q80" s="155"/>
      <c r="R80" s="155">
        <f>SUM(R67:R79)</f>
        <v>344390</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42460</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152</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v>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6083</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6292-786</f>
        <v>5506</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101</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16</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375</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1212</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6235</v>
      </c>
      <c r="Q97" s="113"/>
      <c r="R97" s="155">
        <f>SUM(R84:R96)</f>
        <v>7210</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6235</v>
      </c>
      <c r="Q100" s="113"/>
      <c r="R100" s="155">
        <f>R97+R98+R99</f>
        <v>7210</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-690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233</v>
      </c>
      <c r="C104" s="113"/>
      <c r="D104" s="135"/>
      <c r="E104" s="135"/>
      <c r="F104" s="135"/>
      <c r="G104" s="135"/>
      <c r="H104" s="135"/>
      <c r="I104" s="135"/>
      <c r="J104" s="135"/>
      <c r="K104" s="135"/>
      <c r="L104" s="135"/>
      <c r="M104" s="135"/>
      <c r="N104" s="135"/>
      <c r="O104" s="135"/>
      <c r="P104" s="113"/>
      <c r="Q104" s="113"/>
      <c r="R104" s="156">
        <f>-192-2-4</f>
        <v>-198</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-609</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-867</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-1834</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-244</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-399</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-150</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-192</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-61-302</f>
        <v>-363</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-1635</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-514</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f>-O188</f>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-1704</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-4017</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-6235</v>
      </c>
      <c r="Q128" s="155"/>
      <c r="R128" s="155">
        <f>SUM(R101:R127)</f>
        <v>-7210</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MARCH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362.07920483000089</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8390.9207951699991</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211</v>
      </c>
      <c r="C155" s="232"/>
      <c r="D155" s="232"/>
      <c r="E155" s="232"/>
      <c r="F155" s="232"/>
      <c r="G155" s="232"/>
      <c r="H155" s="232"/>
      <c r="I155" s="232"/>
      <c r="J155" s="232"/>
      <c r="K155" s="232"/>
      <c r="L155" s="232"/>
      <c r="M155" s="232"/>
      <c r="N155" s="232"/>
      <c r="O155" s="232"/>
      <c r="P155" s="232"/>
      <c r="Q155" s="232"/>
      <c r="R155" s="233">
        <v>1652</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v>0</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f>N78</f>
        <v>-152</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R155+R157</f>
        <v>1500</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v>1578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242</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375</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1203</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342890</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1500</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344390</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344390</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v>0</v>
      </c>
      <c r="P187" s="156">
        <v>0</v>
      </c>
      <c r="Q187" s="113"/>
      <c r="R187" s="156">
        <f>O187+P187</f>
        <v>0</v>
      </c>
      <c r="S187" s="116"/>
      <c r="T187" s="2"/>
    </row>
    <row r="188" spans="1:20" ht="15.6" x14ac:dyDescent="0.3">
      <c r="A188" s="112"/>
      <c r="B188" s="113" t="s">
        <v>49</v>
      </c>
      <c r="C188" s="113"/>
      <c r="D188" s="113"/>
      <c r="E188" s="113"/>
      <c r="F188" s="113"/>
      <c r="G188" s="113"/>
      <c r="H188" s="113"/>
      <c r="I188" s="113"/>
      <c r="J188" s="113"/>
      <c r="K188" s="113"/>
      <c r="L188" s="113"/>
      <c r="M188" s="113"/>
      <c r="N188" s="113"/>
      <c r="O188" s="155">
        <v>0</v>
      </c>
      <c r="P188" s="155">
        <v>514</v>
      </c>
      <c r="Q188" s="113"/>
      <c r="R188" s="156">
        <f>O188+P188</f>
        <v>514</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0</v>
      </c>
      <c r="P189" s="156">
        <f>P188+P187</f>
        <v>514</v>
      </c>
      <c r="Q189" s="113"/>
      <c r="R189" s="156">
        <f>O189+P189</f>
        <v>514</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27494.880000000001</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2.1140318400592375</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2.11</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12.331967213114755</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12.33</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6.9298245614035086</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6.93</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15.6</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15.6</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MARCH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42460</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f>+R40</f>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4.6717399999999999E-2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3.8129999999999997E-2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2.4610284713705084E-2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1.3519715286294913E-2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1.8622665383264164E-2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20.66</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1.7456860061011482E-2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4.2599999999999999E-2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2056</v>
      </c>
      <c r="O246" s="81">
        <f>N246/$N$255</f>
        <v>1</v>
      </c>
      <c r="P246" s="82">
        <f>+P258+P270+P282</f>
        <v>342890</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2056</v>
      </c>
      <c r="O255" s="192">
        <f>SUM(O246:O254)</f>
        <v>1</v>
      </c>
      <c r="P255" s="156">
        <f>SUM(P246:P254)</f>
        <v>342890</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2056</v>
      </c>
      <c r="O258" s="81">
        <f>N258/$N$267</f>
        <v>1</v>
      </c>
      <c r="P258" s="82">
        <v>342890</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2056</v>
      </c>
      <c r="O267" s="192">
        <f>SUM(O258:O266)</f>
        <v>1</v>
      </c>
      <c r="P267" s="156">
        <f>SUM(P258:P266)</f>
        <v>342890</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2056</v>
      </c>
      <c r="O293" s="192"/>
      <c r="P293" s="197">
        <f>+P291+P279+P267</f>
        <v>342890</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1500</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344390</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344390</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5.0831930513618444E-2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191</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192</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193</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PM24 INVESTOR REPORT QUARTER ENDING MARCH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phoneticPr fontId="0" type="noConversion"/>
  <hyperlinks>
    <hyperlink ref="N243" r:id="rId1" xr:uid="{00000000-0004-0000-0000-000000000000}"/>
    <hyperlink ref="K9" r:id="rId2" xr:uid="{00000000-0004-0000-00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43300</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177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290</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20396.325000000001</v>
      </c>
      <c r="E29" s="307"/>
      <c r="F29" s="308">
        <f>F28*F35</f>
        <v>33988.435980000002</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16053.475</v>
      </c>
      <c r="E30" s="312"/>
      <c r="F30" s="312">
        <f t="shared" ref="F30" si="0">F28*F34</f>
        <v>26751.510740000002</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14417.4278748</v>
      </c>
      <c r="E32" s="308"/>
      <c r="F32" s="308">
        <f>F31*F35</f>
        <v>33988.435980000002</v>
      </c>
      <c r="G32" s="308"/>
      <c r="H32" s="308">
        <f>H31*H35</f>
        <v>19300</v>
      </c>
      <c r="I32" s="308"/>
      <c r="J32" s="308">
        <f>J31*J35</f>
        <v>25400</v>
      </c>
      <c r="K32" s="308"/>
      <c r="L32" s="308">
        <f>L31*L35</f>
        <v>8753</v>
      </c>
      <c r="M32" s="303"/>
      <c r="N32" s="313"/>
      <c r="O32" s="303"/>
      <c r="P32" s="303"/>
      <c r="Q32" s="302"/>
      <c r="R32" s="303">
        <f>SUM(D32:L32)</f>
        <v>101858.8638548</v>
      </c>
      <c r="S32" s="304"/>
      <c r="T32" s="273"/>
    </row>
    <row r="33" spans="1:20" s="274" customFormat="1" x14ac:dyDescent="0.3">
      <c r="A33" s="300"/>
      <c r="B33" s="297" t="s">
        <v>223</v>
      </c>
      <c r="C33" s="302"/>
      <c r="D33" s="312">
        <f>D31*D34</f>
        <v>11347.6235524</v>
      </c>
      <c r="E33" s="312"/>
      <c r="F33" s="312">
        <f t="shared" ref="F33:L33" si="4">F31*F34</f>
        <v>26751.510740000002</v>
      </c>
      <c r="G33" s="312"/>
      <c r="H33" s="312">
        <f t="shared" si="4"/>
        <v>19300</v>
      </c>
      <c r="I33" s="312"/>
      <c r="J33" s="312">
        <f t="shared" si="4"/>
        <v>25400</v>
      </c>
      <c r="K33" s="312"/>
      <c r="L33" s="312">
        <f t="shared" si="4"/>
        <v>8753</v>
      </c>
      <c r="M33" s="310"/>
      <c r="N33" s="313"/>
      <c r="O33" s="303"/>
      <c r="P33" s="303"/>
      <c r="Q33" s="302"/>
      <c r="R33" s="310">
        <f>SUM(D33:L33)</f>
        <v>91552.134292400006</v>
      </c>
      <c r="S33" s="304"/>
      <c r="T33" s="273"/>
    </row>
    <row r="34" spans="1:20" s="324" customFormat="1" x14ac:dyDescent="0.3">
      <c r="A34" s="314"/>
      <c r="B34" s="315" t="s">
        <v>103</v>
      </c>
      <c r="C34" s="316"/>
      <c r="D34" s="317">
        <v>0.12842780000000001</v>
      </c>
      <c r="E34" s="317"/>
      <c r="F34" s="317">
        <v>0.12842780000000001</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0.1631706</v>
      </c>
      <c r="E35" s="325"/>
      <c r="F35" s="325">
        <v>0.1631706</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7.7099999999999998E-3</v>
      </c>
      <c r="E37" s="329"/>
      <c r="F37" s="329">
        <v>2.2858799999999999E-2</v>
      </c>
      <c r="G37" s="329"/>
      <c r="H37" s="329">
        <v>3.23588E-2</v>
      </c>
      <c r="I37" s="329"/>
      <c r="J37" s="329">
        <v>3.98588E-2</v>
      </c>
      <c r="K37" s="329"/>
      <c r="L37" s="329">
        <v>4.3358800000000003E-2</v>
      </c>
      <c r="M37" s="328"/>
      <c r="N37" s="329"/>
      <c r="O37" s="301"/>
      <c r="P37" s="301"/>
      <c r="Q37" s="293"/>
      <c r="R37" s="328"/>
      <c r="S37" s="296"/>
      <c r="T37" s="273"/>
    </row>
    <row r="38" spans="1:20" s="274" customFormat="1" x14ac:dyDescent="0.3">
      <c r="A38" s="300"/>
      <c r="B38" s="293" t="s">
        <v>10</v>
      </c>
      <c r="C38" s="330"/>
      <c r="D38" s="329">
        <v>7.7099999999999998E-3</v>
      </c>
      <c r="E38" s="329"/>
      <c r="F38" s="329">
        <v>2.0212500000000001E-2</v>
      </c>
      <c r="G38" s="329"/>
      <c r="H38" s="329">
        <v>2.9712499999999999E-2</v>
      </c>
      <c r="I38" s="329"/>
      <c r="J38" s="329">
        <v>3.7212500000000003E-2</v>
      </c>
      <c r="K38" s="329"/>
      <c r="L38" s="329">
        <v>4.0712499999999999E-2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2.5328799999999999E-2</v>
      </c>
      <c r="E40" s="329"/>
      <c r="F40" s="329">
        <f>+F37</f>
        <v>2.2858799999999999E-2</v>
      </c>
      <c r="G40" s="329"/>
      <c r="H40" s="329">
        <f>+H37</f>
        <v>3.23588E-2</v>
      </c>
      <c r="I40" s="329"/>
      <c r="J40" s="329">
        <f>+J37</f>
        <v>3.98588E-2</v>
      </c>
      <c r="K40" s="329"/>
      <c r="L40" s="329">
        <f>+L37</f>
        <v>4.3358800000000003E-2</v>
      </c>
      <c r="M40" s="328"/>
      <c r="N40" s="329"/>
      <c r="O40" s="301"/>
      <c r="P40" s="301"/>
      <c r="Q40" s="293"/>
      <c r="R40" s="328">
        <f>SUMPRODUCT(D40:L40,D32:L32)/R32</f>
        <v>3.1009269339950657E-2</v>
      </c>
      <c r="S40" s="296"/>
      <c r="T40" s="273"/>
    </row>
    <row r="41" spans="1:20" s="274" customFormat="1" x14ac:dyDescent="0.3">
      <c r="A41" s="300"/>
      <c r="B41" s="293" t="s">
        <v>228</v>
      </c>
      <c r="C41" s="330"/>
      <c r="D41" s="329">
        <v>2.2682500000000001E-2</v>
      </c>
      <c r="E41" s="329"/>
      <c r="F41" s="329">
        <f>+F38</f>
        <v>2.0212500000000001E-2</v>
      </c>
      <c r="G41" s="329"/>
      <c r="H41" s="329">
        <f>+H38</f>
        <v>2.9712499999999999E-2</v>
      </c>
      <c r="I41" s="329"/>
      <c r="J41" s="329">
        <f>+J38</f>
        <v>3.7212500000000003E-2</v>
      </c>
      <c r="K41" s="329"/>
      <c r="L41" s="329">
        <f>+L38</f>
        <v>4.0712499999999999E-2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1.4029977581580582</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43297</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43115</v>
      </c>
      <c r="Q53" s="340"/>
      <c r="R53" s="339">
        <v>43205</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43206</v>
      </c>
      <c r="Q54" s="340"/>
      <c r="R54" s="339">
        <v>43296</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43282</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291</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101859</v>
      </c>
      <c r="I64" s="360"/>
      <c r="J64" s="361">
        <v>89</v>
      </c>
      <c r="K64" s="360"/>
      <c r="L64" s="360">
        <v>5568</v>
      </c>
      <c r="M64" s="360"/>
      <c r="N64" s="360">
        <v>0</v>
      </c>
      <c r="O64" s="360"/>
      <c r="P64" s="360">
        <f>240+3504+906</f>
        <v>4650</v>
      </c>
      <c r="Q64" s="360"/>
      <c r="R64" s="361">
        <f>H64-J64-L64+N64-P64</f>
        <v>91552</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101859</v>
      </c>
      <c r="I67" s="360"/>
      <c r="J67" s="360">
        <f>J64+J65</f>
        <v>89</v>
      </c>
      <c r="K67" s="360"/>
      <c r="L67" s="360">
        <f>SUM(L64:L66)</f>
        <v>5568</v>
      </c>
      <c r="M67" s="360"/>
      <c r="N67" s="360">
        <f>SUM(N64:N66)</f>
        <v>0</v>
      </c>
      <c r="O67" s="360"/>
      <c r="P67" s="360">
        <f>SUM(P64:P66)</f>
        <v>4650</v>
      </c>
      <c r="Q67" s="360"/>
      <c r="R67" s="360">
        <f>SUM(R64:R66)</f>
        <v>91552</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101859</v>
      </c>
      <c r="I80" s="360"/>
      <c r="J80" s="360"/>
      <c r="K80" s="360"/>
      <c r="L80" s="360"/>
      <c r="M80" s="360"/>
      <c r="N80" s="360"/>
      <c r="O80" s="360"/>
      <c r="P80" s="360"/>
      <c r="Q80" s="360"/>
      <c r="R80" s="360">
        <f>SUM(R67:R79)</f>
        <v>91552</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43280</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10307</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1277-162</f>
        <v>1115</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54</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23</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145</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10307</v>
      </c>
      <c r="Q97" s="293"/>
      <c r="R97" s="360">
        <f>SUM(R84:R96)</f>
        <v>1337</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10307</v>
      </c>
      <c r="Q100" s="293"/>
      <c r="R100" s="360">
        <f>R97+R98+R99</f>
        <v>1337</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-38-5-3</f>
        <v>-46</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-15</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-91</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-193</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-156</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-252</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-25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-95</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-38</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-17-179</f>
        <v>-196</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-227</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-3070</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-7237</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-10307</v>
      </c>
      <c r="Q128" s="360"/>
      <c r="R128" s="360">
        <f>SUM(R101:R127)</f>
        <v>-1337</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JUNE 2018</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6683.0216426899997</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2069.9783573100003</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+'March 18'!R173</f>
        <v>1008</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145</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863</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91552</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91552</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91552</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+'March 18'!O189</f>
        <v>497</v>
      </c>
      <c r="P187" s="361">
        <f>+'March 18'!P189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4.482394366197183</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2.4900000000000002</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6.3397435897435894</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12.15</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3.3055555555555554</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6.75</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5.8526315789473689</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14.96</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JUNE 2018</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43280</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4.78588E-2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4.6039999999999998E-2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3.1009269339950657E-2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1.5030730660049341E-2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1.3125987885213875E-2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17.670000000000002</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0.10118889837913193</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0.39629999999999999</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4650</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'March 18'!P233+P232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565</v>
      </c>
      <c r="O246" s="464">
        <f>N246/$N$255</f>
        <v>1</v>
      </c>
      <c r="P246" s="373">
        <f>+P258+P270+P282</f>
        <v>91552</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565</v>
      </c>
      <c r="O255" s="470">
        <f>SUM(O246:O254)</f>
        <v>1</v>
      </c>
      <c r="P255" s="361">
        <f>SUM(P246:P254)</f>
        <v>91552</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565</v>
      </c>
      <c r="O258" s="464">
        <f>N258/$N$267</f>
        <v>1</v>
      </c>
      <c r="P258" s="373">
        <v>91552</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565</v>
      </c>
      <c r="O267" s="470">
        <f>SUM(O258:O266)</f>
        <v>1</v>
      </c>
      <c r="P267" s="361">
        <f>SUM(P258:P266)</f>
        <v>91552</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565</v>
      </c>
      <c r="O293" s="470"/>
      <c r="P293" s="483">
        <f>+P291+P279+P267</f>
        <v>91552</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91552</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91552</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0.19121345597568687</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JUNE 2018</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900-000000000000}"/>
    <hyperlink ref="K9" r:id="rId2" display="http://www.paragon-group.co.uk" xr:uid="{00000000-0004-0000-09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43391</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177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290</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16053.475</v>
      </c>
      <c r="E29" s="307"/>
      <c r="F29" s="308">
        <f>F28*F35</f>
        <v>26751.510740000002</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11715.237499999999</v>
      </c>
      <c r="E30" s="312"/>
      <c r="F30" s="312">
        <f t="shared" ref="F30" si="0">F28*F34</f>
        <v>19522.271769999999</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11347.6235524</v>
      </c>
      <c r="E32" s="308"/>
      <c r="F32" s="308">
        <f>F31*F35</f>
        <v>26751.510740000002</v>
      </c>
      <c r="G32" s="308"/>
      <c r="H32" s="308">
        <f>H31*H35</f>
        <v>19300</v>
      </c>
      <c r="I32" s="308"/>
      <c r="J32" s="308">
        <f>J31*J35</f>
        <v>25400</v>
      </c>
      <c r="K32" s="308"/>
      <c r="L32" s="308">
        <f>L31*L35</f>
        <v>8753</v>
      </c>
      <c r="M32" s="303"/>
      <c r="N32" s="313"/>
      <c r="O32" s="303"/>
      <c r="P32" s="303"/>
      <c r="Q32" s="302"/>
      <c r="R32" s="303">
        <f>SUM(D32:L32)</f>
        <v>91552.134292400006</v>
      </c>
      <c r="S32" s="304"/>
      <c r="T32" s="273"/>
    </row>
    <row r="33" spans="1:20" s="274" customFormat="1" x14ac:dyDescent="0.3">
      <c r="A33" s="300"/>
      <c r="B33" s="297" t="s">
        <v>223</v>
      </c>
      <c r="C33" s="302"/>
      <c r="D33" s="312">
        <f>D31*D34</f>
        <v>8281.0796401999996</v>
      </c>
      <c r="E33" s="312"/>
      <c r="F33" s="312">
        <f t="shared" ref="F33:L33" si="4">F31*F34</f>
        <v>19522.271769999999</v>
      </c>
      <c r="G33" s="312"/>
      <c r="H33" s="312">
        <f t="shared" si="4"/>
        <v>19300</v>
      </c>
      <c r="I33" s="312"/>
      <c r="J33" s="312">
        <f t="shared" si="4"/>
        <v>25400</v>
      </c>
      <c r="K33" s="312"/>
      <c r="L33" s="312">
        <f t="shared" si="4"/>
        <v>8753</v>
      </c>
      <c r="M33" s="310"/>
      <c r="N33" s="313"/>
      <c r="O33" s="303"/>
      <c r="P33" s="303"/>
      <c r="Q33" s="302"/>
      <c r="R33" s="310">
        <f>SUM(D33:L33)</f>
        <v>81256.351410200004</v>
      </c>
      <c r="S33" s="304"/>
      <c r="T33" s="273"/>
    </row>
    <row r="34" spans="1:20" s="324" customFormat="1" x14ac:dyDescent="0.3">
      <c r="A34" s="314"/>
      <c r="B34" s="315" t="s">
        <v>103</v>
      </c>
      <c r="C34" s="316"/>
      <c r="D34" s="317">
        <v>9.3721899999999997E-2</v>
      </c>
      <c r="E34" s="317"/>
      <c r="F34" s="317">
        <v>9.3721899999999997E-2</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0.12842780000000001</v>
      </c>
      <c r="E35" s="325"/>
      <c r="F35" s="325">
        <v>0.12842780000000001</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7.79E-3</v>
      </c>
      <c r="E37" s="329"/>
      <c r="F37" s="329">
        <v>2.2530600000000001E-2</v>
      </c>
      <c r="G37" s="329"/>
      <c r="H37" s="329">
        <v>3.2030599999999999E-2</v>
      </c>
      <c r="I37" s="329"/>
      <c r="J37" s="329">
        <v>3.9530599999999999E-2</v>
      </c>
      <c r="K37" s="329"/>
      <c r="L37" s="329">
        <v>4.3030600000000002E-2</v>
      </c>
      <c r="M37" s="328"/>
      <c r="N37" s="329"/>
      <c r="O37" s="301"/>
      <c r="P37" s="301"/>
      <c r="Q37" s="293"/>
      <c r="R37" s="328"/>
      <c r="S37" s="296"/>
      <c r="T37" s="273"/>
    </row>
    <row r="38" spans="1:20" s="274" customFormat="1" x14ac:dyDescent="0.3">
      <c r="A38" s="300"/>
      <c r="B38" s="293" t="s">
        <v>10</v>
      </c>
      <c r="C38" s="330"/>
      <c r="D38" s="329">
        <v>7.7099999999999998E-3</v>
      </c>
      <c r="E38" s="329"/>
      <c r="F38" s="329">
        <v>2.2858799999999999E-2</v>
      </c>
      <c r="G38" s="329"/>
      <c r="H38" s="329">
        <v>3.23588E-2</v>
      </c>
      <c r="I38" s="329"/>
      <c r="J38" s="329">
        <v>3.98588E-2</v>
      </c>
      <c r="K38" s="329"/>
      <c r="L38" s="329">
        <v>4.3358800000000003E-2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2.5000600000000001E-2</v>
      </c>
      <c r="E40" s="329"/>
      <c r="F40" s="329">
        <f>+F37</f>
        <v>2.2530600000000001E-2</v>
      </c>
      <c r="G40" s="329"/>
      <c r="H40" s="329">
        <f>+H37</f>
        <v>3.2030599999999999E-2</v>
      </c>
      <c r="I40" s="329"/>
      <c r="J40" s="329">
        <f>+J37</f>
        <v>3.9530599999999999E-2</v>
      </c>
      <c r="K40" s="329"/>
      <c r="L40" s="329">
        <f>+L37</f>
        <v>4.3030600000000002E-2</v>
      </c>
      <c r="M40" s="328"/>
      <c r="N40" s="329"/>
      <c r="O40" s="301"/>
      <c r="P40" s="301"/>
      <c r="Q40" s="293"/>
      <c r="R40" s="328">
        <f>SUMPRODUCT(D40:L40,D32:L32)/R32</f>
        <v>3.15158097554291E-2</v>
      </c>
      <c r="S40" s="296"/>
      <c r="T40" s="273"/>
    </row>
    <row r="41" spans="1:20" s="274" customFormat="1" x14ac:dyDescent="0.3">
      <c r="A41" s="300"/>
      <c r="B41" s="293" t="s">
        <v>228</v>
      </c>
      <c r="C41" s="330"/>
      <c r="D41" s="329">
        <v>2.5328799999999999E-2</v>
      </c>
      <c r="E41" s="329"/>
      <c r="F41" s="329">
        <f>+F38</f>
        <v>2.2858799999999999E-2</v>
      </c>
      <c r="G41" s="329"/>
      <c r="H41" s="329">
        <f>+H38</f>
        <v>3.23588E-2</v>
      </c>
      <c r="I41" s="329"/>
      <c r="J41" s="329">
        <f>+J38</f>
        <v>3.98588E-2</v>
      </c>
      <c r="K41" s="329"/>
      <c r="L41" s="329">
        <f>+L38</f>
        <v>4.3358800000000003E-2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1.9225380139025297</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43388</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43206</v>
      </c>
      <c r="Q53" s="340"/>
      <c r="R53" s="339">
        <v>43296</v>
      </c>
      <c r="S53" s="296"/>
      <c r="T53" s="273"/>
    </row>
    <row r="54" spans="1:21" s="274" customFormat="1" x14ac:dyDescent="0.3">
      <c r="A54" s="300"/>
      <c r="B54" s="293" t="s">
        <v>100</v>
      </c>
      <c r="C54" s="293"/>
      <c r="D54" s="293"/>
      <c r="E54" s="293"/>
      <c r="F54" s="293"/>
      <c r="G54" s="293"/>
      <c r="H54" s="293"/>
      <c r="I54" s="293"/>
      <c r="J54" s="293"/>
      <c r="K54" s="293"/>
      <c r="L54" s="293"/>
      <c r="M54" s="293"/>
      <c r="N54" s="293">
        <f>+R54-P54+1</f>
        <v>92</v>
      </c>
      <c r="O54" s="293"/>
      <c r="P54" s="339">
        <v>43297</v>
      </c>
      <c r="Q54" s="340"/>
      <c r="R54" s="339">
        <v>43388</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43374</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292</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91552</v>
      </c>
      <c r="I64" s="360"/>
      <c r="J64" s="361">
        <v>74</v>
      </c>
      <c r="K64" s="360"/>
      <c r="L64" s="360">
        <v>6602</v>
      </c>
      <c r="M64" s="360"/>
      <c r="N64" s="360">
        <v>0</v>
      </c>
      <c r="O64" s="360"/>
      <c r="P64" s="360">
        <f>1410+1076+1134</f>
        <v>3620</v>
      </c>
      <c r="Q64" s="360"/>
      <c r="R64" s="361">
        <f>H64-J64-L64+N64-P64</f>
        <v>81256</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91552</v>
      </c>
      <c r="I67" s="360"/>
      <c r="J67" s="360">
        <f>J64+J65</f>
        <v>74</v>
      </c>
      <c r="K67" s="360"/>
      <c r="L67" s="360">
        <f>SUM(L64:L66)</f>
        <v>6602</v>
      </c>
      <c r="M67" s="360"/>
      <c r="N67" s="360">
        <f>SUM(N64:N66)</f>
        <v>0</v>
      </c>
      <c r="O67" s="360"/>
      <c r="P67" s="360">
        <f>SUM(P64:P66)</f>
        <v>3620</v>
      </c>
      <c r="Q67" s="360"/>
      <c r="R67" s="360">
        <f>SUM(R64:R66)</f>
        <v>81256</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91552</v>
      </c>
      <c r="I80" s="360"/>
      <c r="J80" s="360"/>
      <c r="K80" s="360"/>
      <c r="L80" s="360"/>
      <c r="M80" s="360"/>
      <c r="N80" s="360"/>
      <c r="O80" s="360"/>
      <c r="P80" s="360"/>
      <c r="Q80" s="360"/>
      <c r="R80" s="360">
        <f>SUM(R67:R79)</f>
        <v>81256</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43371</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10296</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1295-329</f>
        <v>966</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47</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26</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145</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10296</v>
      </c>
      <c r="Q97" s="293"/>
      <c r="R97" s="360">
        <f>SUM(R84:R96)</f>
        <v>1184</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10296</v>
      </c>
      <c r="Q100" s="293"/>
      <c r="R100" s="360">
        <f>R97+R98+R99</f>
        <v>1184</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-35-4-3</f>
        <v>-42</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-19</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-71</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-150</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-154</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-250</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-25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-94</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-34</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-15-179</f>
        <v>-194</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-148</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-3067</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-7229</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-10296</v>
      </c>
      <c r="Q128" s="360"/>
      <c r="R128" s="360">
        <f>SUM(R101:R127)</f>
        <v>-1184</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SEPTEMBER 2018</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6940.4162147449997</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1812.5837852550003</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+'June 18'!R173</f>
        <v>863</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145</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718</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81256</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81256</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81256</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+'June 18'!O189</f>
        <v>497</v>
      </c>
      <c r="P187" s="361">
        <f>+'June 18'!P189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5.0678733031674206</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2.54</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5.837662337662338</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11.56</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2.98</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6.41</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5</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14.06</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SEPTEMBER 2018</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43371</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4.7530599999999999E-2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4.5199999999999997E-2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3.15158097554291E-2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1.3684190244570897E-2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1.2932541069556099E-2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17.36</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0.11246067808458581</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0.39489999999999997</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3620</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'June 18'!P233+P232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512</v>
      </c>
      <c r="O246" s="464">
        <f>N246/$N$255</f>
        <v>0.99805068226120852</v>
      </c>
      <c r="P246" s="373">
        <f>+P258+P270+P282</f>
        <v>81190</v>
      </c>
      <c r="Q246" s="464">
        <f t="shared" ref="Q246:Q253" si="5">P246/$P$255</f>
        <v>0.99918775228906176</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1</v>
      </c>
      <c r="O248" s="472">
        <f t="shared" si="7"/>
        <v>1.9493177387914229E-3</v>
      </c>
      <c r="P248" s="398">
        <f t="shared" si="8"/>
        <v>66</v>
      </c>
      <c r="Q248" s="470">
        <f t="shared" si="5"/>
        <v>8.1224771093826918E-4</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513</v>
      </c>
      <c r="O255" s="470">
        <f>SUM(O246:O254)</f>
        <v>1</v>
      </c>
      <c r="P255" s="361">
        <f>SUM(P246:P254)</f>
        <v>81256</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512</v>
      </c>
      <c r="O258" s="464">
        <f>N258/$N$267</f>
        <v>0.99805068226120852</v>
      </c>
      <c r="P258" s="373">
        <v>81190</v>
      </c>
      <c r="Q258" s="464">
        <f>P258/$P$267</f>
        <v>0.99918775228906176</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1</v>
      </c>
      <c r="O260" s="470">
        <f t="shared" si="9"/>
        <v>1.9493177387914229E-3</v>
      </c>
      <c r="P260" s="361">
        <v>66</v>
      </c>
      <c r="Q260" s="470">
        <f t="shared" si="10"/>
        <v>8.1224771093826918E-4</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513</v>
      </c>
      <c r="O267" s="470">
        <f>SUM(O258:O266)</f>
        <v>1</v>
      </c>
      <c r="P267" s="361">
        <f>SUM(P258:P266)</f>
        <v>81256</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513</v>
      </c>
      <c r="O293" s="470"/>
      <c r="P293" s="483">
        <f>+P291+P279+P267</f>
        <v>81256</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81256</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81256</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0.2154416202079496</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SEPTEMBER 2018</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A00-000000000000}"/>
    <hyperlink ref="K9" r:id="rId2" display="http://www.paragon-group.co.uk" xr:uid="{00000000-0004-0000-0A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43486</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177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11715.237499999999</v>
      </c>
      <c r="E29" s="307"/>
      <c r="F29" s="308">
        <f>F28*F35</f>
        <v>19522.271769999999</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8274.8874999999989</v>
      </c>
      <c r="E30" s="312"/>
      <c r="F30" s="312">
        <f t="shared" ref="F30" si="0">F28*F34</f>
        <v>13789.27253</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8281.0796401999996</v>
      </c>
      <c r="E32" s="308"/>
      <c r="F32" s="308">
        <f>F31*F35</f>
        <v>19522.271769999999</v>
      </c>
      <c r="G32" s="308"/>
      <c r="H32" s="308">
        <f>H31*H35</f>
        <v>19300</v>
      </c>
      <c r="I32" s="308"/>
      <c r="J32" s="308">
        <f>J31*J35</f>
        <v>25400</v>
      </c>
      <c r="K32" s="308"/>
      <c r="L32" s="308">
        <f>L31*L35</f>
        <v>8753</v>
      </c>
      <c r="M32" s="303"/>
      <c r="N32" s="313"/>
      <c r="O32" s="303"/>
      <c r="P32" s="303"/>
      <c r="Q32" s="302"/>
      <c r="R32" s="303">
        <f>SUM(D32:L32)</f>
        <v>81256.351410200004</v>
      </c>
      <c r="S32" s="304"/>
      <c r="T32" s="273"/>
    </row>
    <row r="33" spans="1:20" s="274" customFormat="1" x14ac:dyDescent="0.3">
      <c r="A33" s="300"/>
      <c r="B33" s="297" t="s">
        <v>223</v>
      </c>
      <c r="C33" s="302"/>
      <c r="D33" s="312">
        <f>D31*D34</f>
        <v>5849.2200777999997</v>
      </c>
      <c r="E33" s="312"/>
      <c r="F33" s="312">
        <f t="shared" ref="F33:L33" si="4">F31*F34</f>
        <v>13789.27253</v>
      </c>
      <c r="G33" s="312"/>
      <c r="H33" s="312">
        <f t="shared" si="4"/>
        <v>19300</v>
      </c>
      <c r="I33" s="312"/>
      <c r="J33" s="312">
        <f t="shared" si="4"/>
        <v>25400</v>
      </c>
      <c r="K33" s="312"/>
      <c r="L33" s="312">
        <f t="shared" si="4"/>
        <v>8753</v>
      </c>
      <c r="M33" s="310"/>
      <c r="N33" s="313"/>
      <c r="O33" s="303"/>
      <c r="P33" s="303"/>
      <c r="Q33" s="302"/>
      <c r="R33" s="310">
        <f>SUM(D33:L33)</f>
        <v>73091.492607799999</v>
      </c>
      <c r="S33" s="304"/>
      <c r="T33" s="273"/>
    </row>
    <row r="34" spans="1:20" s="324" customFormat="1" x14ac:dyDescent="0.3">
      <c r="A34" s="314"/>
      <c r="B34" s="315" t="s">
        <v>103</v>
      </c>
      <c r="C34" s="316"/>
      <c r="D34" s="317">
        <v>6.6199099999999997E-2</v>
      </c>
      <c r="E34" s="317"/>
      <c r="F34" s="317">
        <v>6.6199099999999997E-2</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9.3721899999999997E-2</v>
      </c>
      <c r="E35" s="325"/>
      <c r="F35" s="325">
        <v>9.3721899999999997E-2</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7.8200000000000006E-3</v>
      </c>
      <c r="E37" s="329"/>
      <c r="F37" s="329">
        <v>2.3128800000000001E-2</v>
      </c>
      <c r="G37" s="329"/>
      <c r="H37" s="329">
        <v>3.2628799999999999E-2</v>
      </c>
      <c r="I37" s="329"/>
      <c r="J37" s="329">
        <v>4.0128799999999999E-2</v>
      </c>
      <c r="K37" s="329"/>
      <c r="L37" s="329">
        <v>4.3628800000000002E-2</v>
      </c>
      <c r="M37" s="328"/>
      <c r="N37" s="329"/>
      <c r="O37" s="301"/>
      <c r="P37" s="301"/>
      <c r="Q37" s="293"/>
      <c r="R37" s="328"/>
      <c r="S37" s="296"/>
      <c r="T37" s="273"/>
    </row>
    <row r="38" spans="1:20" s="274" customFormat="1" x14ac:dyDescent="0.3">
      <c r="A38" s="300"/>
      <c r="B38" s="293" t="s">
        <v>10</v>
      </c>
      <c r="C38" s="330"/>
      <c r="D38" s="329">
        <v>7.79E-3</v>
      </c>
      <c r="E38" s="329"/>
      <c r="F38" s="329">
        <v>2.2530600000000001E-2</v>
      </c>
      <c r="G38" s="329"/>
      <c r="H38" s="329">
        <v>3.2030599999999999E-2</v>
      </c>
      <c r="I38" s="329"/>
      <c r="J38" s="329">
        <v>3.9530599999999999E-2</v>
      </c>
      <c r="K38" s="329"/>
      <c r="L38" s="329">
        <v>4.3030600000000002E-2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2.5598800000000001E-2</v>
      </c>
      <c r="E40" s="329"/>
      <c r="F40" s="329">
        <f>+F37</f>
        <v>2.3128800000000001E-2</v>
      </c>
      <c r="G40" s="329"/>
      <c r="H40" s="329">
        <f>+H37</f>
        <v>3.2628799999999999E-2</v>
      </c>
      <c r="I40" s="329"/>
      <c r="J40" s="329">
        <f>+J37</f>
        <v>4.0128799999999999E-2</v>
      </c>
      <c r="K40" s="329"/>
      <c r="L40" s="329">
        <f>+L37</f>
        <v>4.3628800000000002E-2</v>
      </c>
      <c r="M40" s="328"/>
      <c r="N40" s="329"/>
      <c r="O40" s="301"/>
      <c r="P40" s="301"/>
      <c r="Q40" s="293"/>
      <c r="R40" s="328">
        <f>SUMPRODUCT(D40:L40,D32:L32)/R32</f>
        <v>3.3159286879687576E-2</v>
      </c>
      <c r="S40" s="296"/>
      <c r="T40" s="273"/>
    </row>
    <row r="41" spans="1:20" s="274" customFormat="1" x14ac:dyDescent="0.3">
      <c r="A41" s="300"/>
      <c r="B41" s="293" t="s">
        <v>228</v>
      </c>
      <c r="C41" s="330"/>
      <c r="D41" s="329">
        <v>2.5000600000000001E-2</v>
      </c>
      <c r="E41" s="329"/>
      <c r="F41" s="329">
        <f>+F38</f>
        <v>2.2530600000000001E-2</v>
      </c>
      <c r="G41" s="329"/>
      <c r="H41" s="329">
        <f>+H38</f>
        <v>3.2030599999999999E-2</v>
      </c>
      <c r="I41" s="329"/>
      <c r="J41" s="329">
        <f>+J38</f>
        <v>3.9530599999999999E-2</v>
      </c>
      <c r="K41" s="329"/>
      <c r="L41" s="329">
        <f>+L38</f>
        <v>4.3030600000000002E-2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2.7218484161441996</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43480</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43297</v>
      </c>
      <c r="Q53" s="340"/>
      <c r="R53" s="339">
        <v>43387</v>
      </c>
      <c r="S53" s="296"/>
      <c r="T53" s="273"/>
    </row>
    <row r="54" spans="1:21" s="274" customFormat="1" x14ac:dyDescent="0.3">
      <c r="A54" s="300"/>
      <c r="B54" s="293" t="s">
        <v>100</v>
      </c>
      <c r="C54" s="293"/>
      <c r="D54" s="293"/>
      <c r="E54" s="293"/>
      <c r="F54" s="293"/>
      <c r="G54" s="293"/>
      <c r="H54" s="293"/>
      <c r="I54" s="293"/>
      <c r="J54" s="293"/>
      <c r="K54" s="293"/>
      <c r="L54" s="293"/>
      <c r="M54" s="293"/>
      <c r="N54" s="293">
        <f>+R54-P54+1</f>
        <v>92</v>
      </c>
      <c r="O54" s="293"/>
      <c r="P54" s="339">
        <v>43388</v>
      </c>
      <c r="Q54" s="340"/>
      <c r="R54" s="339">
        <v>43479</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43467</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293</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81256</v>
      </c>
      <c r="I64" s="360"/>
      <c r="J64" s="361">
        <v>69</v>
      </c>
      <c r="K64" s="360"/>
      <c r="L64" s="360">
        <v>5742</v>
      </c>
      <c r="M64" s="360"/>
      <c r="N64" s="360">
        <v>0</v>
      </c>
      <c r="O64" s="360"/>
      <c r="P64" s="360">
        <f>186+921+1247</f>
        <v>2354</v>
      </c>
      <c r="Q64" s="360"/>
      <c r="R64" s="361">
        <f>H64-J64-L64+N64-P64</f>
        <v>73091</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81256</v>
      </c>
      <c r="I67" s="360"/>
      <c r="J67" s="360">
        <f>J64+J65</f>
        <v>69</v>
      </c>
      <c r="K67" s="360"/>
      <c r="L67" s="360">
        <f>SUM(L64:L66)</f>
        <v>5742</v>
      </c>
      <c r="M67" s="360"/>
      <c r="N67" s="360">
        <f>SUM(N64:N66)</f>
        <v>0</v>
      </c>
      <c r="O67" s="360"/>
      <c r="P67" s="360">
        <f>SUM(P64:P66)</f>
        <v>2354</v>
      </c>
      <c r="Q67" s="360"/>
      <c r="R67" s="360">
        <f>SUM(R64:R66)</f>
        <v>73091</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81256</v>
      </c>
      <c r="I80" s="360"/>
      <c r="J80" s="360"/>
      <c r="K80" s="360"/>
      <c r="L80" s="360"/>
      <c r="M80" s="360"/>
      <c r="N80" s="360"/>
      <c r="O80" s="360"/>
      <c r="P80" s="360"/>
      <c r="Q80" s="360"/>
      <c r="R80" s="360">
        <f>SUM(R67:R79)</f>
        <v>73091</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43465</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8165</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923-67</f>
        <v>856</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30</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26</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145</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8165</v>
      </c>
      <c r="Q97" s="293"/>
      <c r="R97" s="360">
        <f>SUM(R84:R96)</f>
        <v>1057</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8165</v>
      </c>
      <c r="Q100" s="293"/>
      <c r="R100" s="360">
        <f>R97+R98+R99</f>
        <v>1057</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-31-5-3</f>
        <v>-39</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-8</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-53</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-114</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-159</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-257</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-16</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-96</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-31</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-13-179</f>
        <v>-192</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-89</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-2432</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-5733</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-8165</v>
      </c>
      <c r="Q128" s="360"/>
      <c r="R128" s="360">
        <f>SUM(R101:R127)</f>
        <v>-1057</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DECEMBER 2018</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7144.537684805</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1608.462315195</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+'Sept 18'!R173</f>
        <v>718</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145</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573</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73091</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73091</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73091</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+'Sept 18'!O189</f>
        <v>497</v>
      </c>
      <c r="P187" s="361">
        <f>+'Sept 18'!P189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6.0299401197604787</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2.59</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5.283018867924528</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11.05</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2.649805447470817</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6.1</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4.25</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13.28</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DECEMBER 2018</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43465</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4.8128799999999999E-2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4.5330000000000002E-2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3.3159286879687576E-2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1.2170713120312426E-2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1.3008270158511371E-2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17.16</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0.10048488726986315</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0.3911</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2354</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'Sept 18'!P233+P232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472</v>
      </c>
      <c r="O246" s="464">
        <f>N246/$N$255</f>
        <v>1</v>
      </c>
      <c r="P246" s="373">
        <f>+P258+P270+P282</f>
        <v>73091</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472</v>
      </c>
      <c r="O255" s="470">
        <f>SUM(O246:O254)</f>
        <v>1</v>
      </c>
      <c r="P255" s="361">
        <f>SUM(P246:P254)</f>
        <v>73091</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472</v>
      </c>
      <c r="O258" s="464">
        <f>N258/$N$267</f>
        <v>1</v>
      </c>
      <c r="P258" s="373">
        <v>73091</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472</v>
      </c>
      <c r="O267" s="470">
        <f>SUM(O258:O266)</f>
        <v>1</v>
      </c>
      <c r="P267" s="361">
        <f>SUM(P258:P266)</f>
        <v>73091</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472</v>
      </c>
      <c r="O293" s="470"/>
      <c r="P293" s="483">
        <f>+P291+P279+P267</f>
        <v>73091</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73091</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73091</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0.23950803815069222</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DECEMBER 2018</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B00-000000000000}"/>
    <hyperlink ref="K9" r:id="rId2" display="http://www.paragon-group.co.uk" xr:uid="{00000000-0004-0000-0B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43573</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112</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8274.8874999999989</v>
      </c>
      <c r="E29" s="307"/>
      <c r="F29" s="308">
        <f>F28*F35</f>
        <v>13789.27253</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6815.2624999999998</v>
      </c>
      <c r="E30" s="312"/>
      <c r="F30" s="312">
        <f t="shared" ref="F30" si="0">F28*F34</f>
        <v>11356.95343</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5849.2200777999997</v>
      </c>
      <c r="E32" s="308"/>
      <c r="F32" s="308">
        <f>F31*F35</f>
        <v>13789.27253</v>
      </c>
      <c r="G32" s="308"/>
      <c r="H32" s="308">
        <f>H31*H35</f>
        <v>19300</v>
      </c>
      <c r="I32" s="308"/>
      <c r="J32" s="308">
        <f>J31*J35</f>
        <v>25400</v>
      </c>
      <c r="K32" s="308"/>
      <c r="L32" s="308">
        <f>L31*L35</f>
        <v>8753</v>
      </c>
      <c r="M32" s="303"/>
      <c r="N32" s="313"/>
      <c r="O32" s="303"/>
      <c r="P32" s="303"/>
      <c r="Q32" s="302"/>
      <c r="R32" s="303">
        <f>SUM(D32:L32)</f>
        <v>73091.492607799999</v>
      </c>
      <c r="S32" s="304"/>
      <c r="T32" s="273"/>
    </row>
    <row r="33" spans="1:20" s="274" customFormat="1" x14ac:dyDescent="0.3">
      <c r="A33" s="300"/>
      <c r="B33" s="297" t="s">
        <v>223</v>
      </c>
      <c r="C33" s="302"/>
      <c r="D33" s="312">
        <f>D31*D34</f>
        <v>4817.4637118000001</v>
      </c>
      <c r="E33" s="312"/>
      <c r="F33" s="312">
        <f t="shared" ref="F33:L33" si="4">F31*F34</f>
        <v>11356.95343</v>
      </c>
      <c r="G33" s="312"/>
      <c r="H33" s="312">
        <f t="shared" si="4"/>
        <v>19300</v>
      </c>
      <c r="I33" s="312"/>
      <c r="J33" s="312">
        <f t="shared" si="4"/>
        <v>25400</v>
      </c>
      <c r="K33" s="312"/>
      <c r="L33" s="312">
        <f t="shared" si="4"/>
        <v>8753</v>
      </c>
      <c r="M33" s="310"/>
      <c r="N33" s="313"/>
      <c r="O33" s="303"/>
      <c r="P33" s="303"/>
      <c r="Q33" s="302"/>
      <c r="R33" s="310">
        <f>SUM(D33:L33)</f>
        <v>69627.417141800004</v>
      </c>
      <c r="S33" s="304"/>
      <c r="T33" s="273"/>
    </row>
    <row r="34" spans="1:20" s="324" customFormat="1" x14ac:dyDescent="0.3">
      <c r="A34" s="314"/>
      <c r="B34" s="315" t="s">
        <v>103</v>
      </c>
      <c r="C34" s="316"/>
      <c r="D34" s="317">
        <v>5.4522099999999997E-2</v>
      </c>
      <c r="E34" s="317"/>
      <c r="F34" s="317">
        <v>5.4522099999999997E-2</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6.6199099999999997E-2</v>
      </c>
      <c r="E35" s="325"/>
      <c r="F35" s="325">
        <v>6.6199099999999997E-2</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7.92E-3</v>
      </c>
      <c r="E37" s="329"/>
      <c r="F37" s="329">
        <v>2.42794E-2</v>
      </c>
      <c r="G37" s="329"/>
      <c r="H37" s="329">
        <v>3.3779400000000001E-2</v>
      </c>
      <c r="I37" s="329"/>
      <c r="J37" s="329">
        <v>4.1279400000000001E-2</v>
      </c>
      <c r="K37" s="329"/>
      <c r="L37" s="329">
        <v>4.4779399999999997E-2</v>
      </c>
      <c r="M37" s="328"/>
      <c r="N37" s="329"/>
      <c r="O37" s="301"/>
      <c r="P37" s="301"/>
      <c r="Q37" s="293"/>
      <c r="R37" s="328"/>
      <c r="S37" s="296"/>
      <c r="T37" s="273"/>
    </row>
    <row r="38" spans="1:20" s="274" customFormat="1" x14ac:dyDescent="0.3">
      <c r="A38" s="300"/>
      <c r="B38" s="293" t="s">
        <v>10</v>
      </c>
      <c r="C38" s="330"/>
      <c r="D38" s="329">
        <v>7.8200000000000006E-3</v>
      </c>
      <c r="E38" s="329"/>
      <c r="F38" s="329">
        <v>2.3128800000000001E-2</v>
      </c>
      <c r="G38" s="329"/>
      <c r="H38" s="329">
        <v>3.2628799999999999E-2</v>
      </c>
      <c r="I38" s="329"/>
      <c r="J38" s="329">
        <v>4.0128799999999999E-2</v>
      </c>
      <c r="K38" s="329"/>
      <c r="L38" s="329">
        <v>4.3628800000000002E-2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2.67494E-2</v>
      </c>
      <c r="E40" s="329"/>
      <c r="F40" s="329">
        <f>+F37</f>
        <v>2.42794E-2</v>
      </c>
      <c r="G40" s="329"/>
      <c r="H40" s="329">
        <f>+H37</f>
        <v>3.3779400000000001E-2</v>
      </c>
      <c r="I40" s="329"/>
      <c r="J40" s="329">
        <f>+J37</f>
        <v>4.1279400000000001E-2</v>
      </c>
      <c r="K40" s="329"/>
      <c r="L40" s="329">
        <f>+L37</f>
        <v>4.4779399999999997E-2</v>
      </c>
      <c r="M40" s="328"/>
      <c r="N40" s="329"/>
      <c r="O40" s="301"/>
      <c r="P40" s="301"/>
      <c r="Q40" s="293"/>
      <c r="R40" s="328">
        <f>SUMPRODUCT(D40:L40,D32:L32)/R32</f>
        <v>3.5348185774198695E-2</v>
      </c>
      <c r="S40" s="296"/>
      <c r="T40" s="273"/>
    </row>
    <row r="41" spans="1:20" s="274" customFormat="1" x14ac:dyDescent="0.3">
      <c r="A41" s="300"/>
      <c r="B41" s="293" t="s">
        <v>228</v>
      </c>
      <c r="C41" s="330"/>
      <c r="D41" s="329">
        <v>2.5598800000000001E-2</v>
      </c>
      <c r="E41" s="329"/>
      <c r="F41" s="329">
        <f>+F38</f>
        <v>2.3128800000000001E-2</v>
      </c>
      <c r="G41" s="329"/>
      <c r="H41" s="329">
        <f>+H38</f>
        <v>3.2628799999999999E-2</v>
      </c>
      <c r="I41" s="329"/>
      <c r="J41" s="329">
        <f>+J38</f>
        <v>4.0128799999999999E-2</v>
      </c>
      <c r="K41" s="329"/>
      <c r="L41" s="329">
        <f>+L38</f>
        <v>4.3628800000000002E-2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3.3047867834359179</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43570</v>
      </c>
      <c r="S52" s="296"/>
      <c r="T52" s="273"/>
    </row>
    <row r="53" spans="1:21" s="274" customFormat="1" x14ac:dyDescent="0.3">
      <c r="A53" s="300"/>
      <c r="B53" s="293" t="s">
        <v>99</v>
      </c>
      <c r="C53" s="293"/>
      <c r="D53" s="338"/>
      <c r="E53" s="338"/>
      <c r="F53" s="338"/>
      <c r="G53" s="338"/>
      <c r="H53" s="338"/>
      <c r="I53" s="338"/>
      <c r="J53" s="338"/>
      <c r="K53" s="338"/>
      <c r="L53" s="338"/>
      <c r="M53" s="338"/>
      <c r="N53" s="293">
        <f>+R53-P53+1</f>
        <v>92</v>
      </c>
      <c r="O53" s="293"/>
      <c r="P53" s="339">
        <v>43388</v>
      </c>
      <c r="Q53" s="340"/>
      <c r="R53" s="339">
        <v>43479</v>
      </c>
      <c r="S53" s="296"/>
      <c r="T53" s="273"/>
    </row>
    <row r="54" spans="1:21" s="274" customFormat="1" x14ac:dyDescent="0.3">
      <c r="A54" s="300"/>
      <c r="B54" s="293" t="s">
        <v>100</v>
      </c>
      <c r="C54" s="293"/>
      <c r="D54" s="293"/>
      <c r="E54" s="293"/>
      <c r="F54" s="293"/>
      <c r="G54" s="293"/>
      <c r="H54" s="293"/>
      <c r="I54" s="293"/>
      <c r="J54" s="293"/>
      <c r="K54" s="293"/>
      <c r="L54" s="293"/>
      <c r="M54" s="293"/>
      <c r="N54" s="293">
        <f>+R54-P54+1</f>
        <v>90</v>
      </c>
      <c r="O54" s="293"/>
      <c r="P54" s="339">
        <v>43480</v>
      </c>
      <c r="Q54" s="340"/>
      <c r="R54" s="339">
        <v>43569</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43556</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294</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73091</v>
      </c>
      <c r="I64" s="360"/>
      <c r="J64" s="361">
        <v>68</v>
      </c>
      <c r="K64" s="360"/>
      <c r="L64" s="360">
        <v>2862</v>
      </c>
      <c r="M64" s="360"/>
      <c r="N64" s="360">
        <v>0</v>
      </c>
      <c r="O64" s="360"/>
      <c r="P64" s="360">
        <f>123+326+85</f>
        <v>534</v>
      </c>
      <c r="Q64" s="360"/>
      <c r="R64" s="361">
        <f>H64-J64-L64+N64-P64</f>
        <v>69627</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73091</v>
      </c>
      <c r="I67" s="360"/>
      <c r="J67" s="360">
        <f>J64+J65</f>
        <v>68</v>
      </c>
      <c r="K67" s="360"/>
      <c r="L67" s="360">
        <f>SUM(L64:L66)</f>
        <v>2862</v>
      </c>
      <c r="M67" s="360"/>
      <c r="N67" s="360">
        <f>SUM(N64:N66)</f>
        <v>0</v>
      </c>
      <c r="O67" s="360"/>
      <c r="P67" s="360">
        <f>SUM(P64:P66)</f>
        <v>534</v>
      </c>
      <c r="Q67" s="360"/>
      <c r="R67" s="360">
        <f>SUM(R64:R66)</f>
        <v>69627</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73091</v>
      </c>
      <c r="I80" s="360"/>
      <c r="J80" s="360"/>
      <c r="K80" s="360"/>
      <c r="L80" s="360"/>
      <c r="M80" s="360"/>
      <c r="N80" s="360"/>
      <c r="O80" s="360"/>
      <c r="P80" s="360"/>
      <c r="Q80" s="360"/>
      <c r="R80" s="360">
        <f>SUM(R67:R79)</f>
        <v>69627</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43553</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3464</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925-119</f>
        <v>806</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21</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28</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144</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3464</v>
      </c>
      <c r="Q97" s="293"/>
      <c r="R97" s="360">
        <f>SUM(R84:R96)</f>
        <v>999</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3464</v>
      </c>
      <c r="Q100" s="293"/>
      <c r="R100" s="360">
        <f>R97+R98+R99</f>
        <v>999</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-27-3</f>
        <v>-30</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7</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-39</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-82</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-161</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-259</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-16</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-97</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-27</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-11-179</f>
        <v>-190</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-102</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-1032</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-2432</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-3464</v>
      </c>
      <c r="Q128" s="360"/>
      <c r="R128" s="360">
        <f>SUM(R101:R127)</f>
        <v>-999</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MARCH 2019</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7231.1395714549999</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1521.8604285450001</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+'Dec 18'!R173</f>
        <v>573</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144</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429</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69627</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69627</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69627</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+'Dec 18'!O189</f>
        <v>497</v>
      </c>
      <c r="P187" s="361">
        <f>+'Dec 18'!P189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8.0413223140495873</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2.64</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5.2919254658385091</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10.58</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2.6679536679536682</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5.83</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4.2886597938144329</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12.57</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MARCH 2019</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43553</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4.9279400000000001E-2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4.5199999999999997E-2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3.5348185774198695E-2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9.8518142258013017E-3</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1.3667893447893721E-2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16.98</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4.7392975879383237E-2</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0.3775</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534</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'Dec 18'!P233+P232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448</v>
      </c>
      <c r="O246" s="464">
        <f>N246/$N$255</f>
        <v>1</v>
      </c>
      <c r="P246" s="373">
        <f>+P258+P270+P282</f>
        <v>69627</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448</v>
      </c>
      <c r="O255" s="470">
        <f>SUM(O246:O254)</f>
        <v>1</v>
      </c>
      <c r="P255" s="361">
        <f>SUM(P246:P254)</f>
        <v>69627</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448</v>
      </c>
      <c r="O258" s="464">
        <f>N258/$N$267</f>
        <v>1</v>
      </c>
      <c r="P258" s="373">
        <v>69627</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448</v>
      </c>
      <c r="O267" s="470">
        <f>SUM(O258:O266)</f>
        <v>1</v>
      </c>
      <c r="P267" s="361">
        <f>SUM(P258:P266)</f>
        <v>69627</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448</v>
      </c>
      <c r="O293" s="470"/>
      <c r="P293" s="483">
        <f>+P291+P279+P267</f>
        <v>69627</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69627</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69627</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0.25142394646562982</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MARCH 2019</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C00-000000000000}"/>
    <hyperlink ref="K9" r:id="rId2" display="http://www.paragon-group.co.uk" xr:uid="{00000000-0004-0000-0C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0F305-DBC0-4D41-9123-E58F7320D1EF}">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43665</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112</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6815.2624999999998</v>
      </c>
      <c r="E29" s="307"/>
      <c r="F29" s="308">
        <f>F28*F35</f>
        <v>11356.95343</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573.28750000000002</v>
      </c>
      <c r="E30" s="312"/>
      <c r="F30" s="312">
        <f t="shared" ref="F30" si="0">F28*F34</f>
        <v>955.32628999999997</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4817.4637118000001</v>
      </c>
      <c r="E32" s="308"/>
      <c r="F32" s="308">
        <f>F31*F35</f>
        <v>11356.95343</v>
      </c>
      <c r="G32" s="308"/>
      <c r="H32" s="308">
        <f>H31*H35</f>
        <v>19300</v>
      </c>
      <c r="I32" s="308"/>
      <c r="J32" s="308">
        <f>J31*J35</f>
        <v>25400</v>
      </c>
      <c r="K32" s="308"/>
      <c r="L32" s="308">
        <f>L31*L35</f>
        <v>8753</v>
      </c>
      <c r="M32" s="303"/>
      <c r="N32" s="313"/>
      <c r="O32" s="303"/>
      <c r="P32" s="303"/>
      <c r="Q32" s="302"/>
      <c r="R32" s="303">
        <f>SUM(D32:L32)</f>
        <v>69627.417141800004</v>
      </c>
      <c r="S32" s="304"/>
      <c r="T32" s="273"/>
    </row>
    <row r="33" spans="1:20" s="274" customFormat="1" x14ac:dyDescent="0.3">
      <c r="A33" s="300"/>
      <c r="B33" s="297" t="s">
        <v>223</v>
      </c>
      <c r="C33" s="302"/>
      <c r="D33" s="312">
        <f>D31*D34</f>
        <v>405.23629539999996</v>
      </c>
      <c r="E33" s="312"/>
      <c r="F33" s="312">
        <f t="shared" ref="F33:L33" si="4">F31*F34</f>
        <v>955.32628999999997</v>
      </c>
      <c r="G33" s="312"/>
      <c r="H33" s="312">
        <f t="shared" si="4"/>
        <v>19300</v>
      </c>
      <c r="I33" s="312"/>
      <c r="J33" s="312">
        <f t="shared" si="4"/>
        <v>25400</v>
      </c>
      <c r="K33" s="312"/>
      <c r="L33" s="312">
        <f t="shared" si="4"/>
        <v>8753</v>
      </c>
      <c r="M33" s="310"/>
      <c r="N33" s="313"/>
      <c r="O33" s="303"/>
      <c r="P33" s="303"/>
      <c r="Q33" s="302"/>
      <c r="R33" s="310">
        <f>SUM(D33:L33)</f>
        <v>54813.562585399995</v>
      </c>
      <c r="S33" s="304"/>
      <c r="T33" s="273"/>
    </row>
    <row r="34" spans="1:20" s="324" customFormat="1" x14ac:dyDescent="0.3">
      <c r="A34" s="314"/>
      <c r="B34" s="315" t="s">
        <v>103</v>
      </c>
      <c r="C34" s="316"/>
      <c r="D34" s="317">
        <v>4.5862999999999998E-3</v>
      </c>
      <c r="E34" s="317"/>
      <c r="F34" s="317">
        <v>4.5862999999999998E-3</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5.4522099999999997E-2</v>
      </c>
      <c r="E35" s="325"/>
      <c r="F35" s="325">
        <v>5.4522099999999997E-2</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7.9000000000000008E-3</v>
      </c>
      <c r="E37" s="329"/>
      <c r="F37" s="329">
        <v>2.3208800000000002E-2</v>
      </c>
      <c r="G37" s="329"/>
      <c r="H37" s="329">
        <v>3.2708800000000003E-2</v>
      </c>
      <c r="I37" s="329"/>
      <c r="J37" s="329">
        <v>4.0208800000000003E-2</v>
      </c>
      <c r="K37" s="329"/>
      <c r="L37" s="329">
        <v>4.3708799999999999E-2</v>
      </c>
      <c r="M37" s="328"/>
      <c r="N37" s="329"/>
      <c r="O37" s="301"/>
      <c r="P37" s="301"/>
      <c r="Q37" s="293"/>
      <c r="R37" s="328"/>
      <c r="S37" s="296"/>
      <c r="T37" s="273"/>
    </row>
    <row r="38" spans="1:20" s="274" customFormat="1" x14ac:dyDescent="0.3">
      <c r="A38" s="300"/>
      <c r="B38" s="293" t="s">
        <v>10</v>
      </c>
      <c r="C38" s="330"/>
      <c r="D38" s="329">
        <v>7.92E-3</v>
      </c>
      <c r="E38" s="329"/>
      <c r="F38" s="329">
        <v>2.42794E-2</v>
      </c>
      <c r="G38" s="329"/>
      <c r="H38" s="329">
        <v>3.3779400000000001E-2</v>
      </c>
      <c r="I38" s="329"/>
      <c r="J38" s="329">
        <v>4.1279400000000001E-2</v>
      </c>
      <c r="K38" s="329"/>
      <c r="L38" s="329">
        <v>4.4779399999999997E-2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2.5678800000000002E-2</v>
      </c>
      <c r="E40" s="329"/>
      <c r="F40" s="329">
        <f>+F37</f>
        <v>2.3208800000000002E-2</v>
      </c>
      <c r="G40" s="329"/>
      <c r="H40" s="329">
        <f>+H37</f>
        <v>3.2708800000000003E-2</v>
      </c>
      <c r="I40" s="329"/>
      <c r="J40" s="329">
        <f>+J37</f>
        <v>4.0208800000000003E-2</v>
      </c>
      <c r="K40" s="329"/>
      <c r="L40" s="329">
        <f>+L37</f>
        <v>4.3708799999999999E-2</v>
      </c>
      <c r="M40" s="328"/>
      <c r="N40" s="329"/>
      <c r="O40" s="301"/>
      <c r="P40" s="301"/>
      <c r="Q40" s="293"/>
      <c r="R40" s="328">
        <f>SUMPRODUCT(D40:L40,D32:L32)/R32</f>
        <v>3.4791674512287228E-2</v>
      </c>
      <c r="S40" s="296"/>
      <c r="T40" s="273"/>
    </row>
    <row r="41" spans="1:20" s="274" customFormat="1" x14ac:dyDescent="0.3">
      <c r="A41" s="300"/>
      <c r="B41" s="293" t="s">
        <v>228</v>
      </c>
      <c r="C41" s="330"/>
      <c r="D41" s="329">
        <v>2.67494E-2</v>
      </c>
      <c r="E41" s="329"/>
      <c r="F41" s="329">
        <f>+F38</f>
        <v>2.42794E-2</v>
      </c>
      <c r="G41" s="329"/>
      <c r="H41" s="329">
        <f>+H38</f>
        <v>3.3779400000000001E-2</v>
      </c>
      <c r="I41" s="329"/>
      <c r="J41" s="329">
        <f>+J38</f>
        <v>4.1279400000000001E-2</v>
      </c>
      <c r="K41" s="329"/>
      <c r="L41" s="329">
        <f>+L38</f>
        <v>4.4779399999999997E-2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39.287424609199462</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43661</v>
      </c>
      <c r="S52" s="296"/>
      <c r="T52" s="273"/>
    </row>
    <row r="53" spans="1:21" s="274" customFormat="1" x14ac:dyDescent="0.3">
      <c r="A53" s="300"/>
      <c r="B53" s="293" t="s">
        <v>99</v>
      </c>
      <c r="C53" s="293"/>
      <c r="D53" s="338"/>
      <c r="E53" s="338"/>
      <c r="F53" s="338"/>
      <c r="G53" s="338"/>
      <c r="H53" s="338"/>
      <c r="I53" s="338"/>
      <c r="J53" s="338"/>
      <c r="K53" s="338"/>
      <c r="L53" s="338"/>
      <c r="M53" s="338"/>
      <c r="N53" s="293">
        <f>+R53-P53+1</f>
        <v>90</v>
      </c>
      <c r="O53" s="293"/>
      <c r="P53" s="339">
        <v>43480</v>
      </c>
      <c r="Q53" s="340"/>
      <c r="R53" s="339">
        <v>43569</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43570</v>
      </c>
      <c r="Q54" s="340"/>
      <c r="R54" s="339">
        <v>43660</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43647</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295</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69627</v>
      </c>
      <c r="I64" s="360"/>
      <c r="J64" s="361">
        <v>45</v>
      </c>
      <c r="K64" s="360"/>
      <c r="L64" s="360">
        <v>4358</v>
      </c>
      <c r="M64" s="360"/>
      <c r="N64" s="360">
        <v>0</v>
      </c>
      <c r="O64" s="360"/>
      <c r="P64" s="360">
        <f>5552+4343+515</f>
        <v>10410</v>
      </c>
      <c r="Q64" s="360"/>
      <c r="R64" s="361">
        <f>H64-J64-L64+N64-P64</f>
        <v>54814</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69627</v>
      </c>
      <c r="I67" s="360"/>
      <c r="J67" s="360">
        <f>J64+J65</f>
        <v>45</v>
      </c>
      <c r="K67" s="360"/>
      <c r="L67" s="360">
        <f>SUM(L64:L66)</f>
        <v>4358</v>
      </c>
      <c r="M67" s="360"/>
      <c r="N67" s="360">
        <f>SUM(N64:N66)</f>
        <v>0</v>
      </c>
      <c r="O67" s="360"/>
      <c r="P67" s="360">
        <f>SUM(P64:P66)</f>
        <v>10410</v>
      </c>
      <c r="Q67" s="360"/>
      <c r="R67" s="360">
        <f>SUM(R64:R66)</f>
        <v>54814</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69627</v>
      </c>
      <c r="I80" s="360"/>
      <c r="J80" s="360"/>
      <c r="K80" s="360"/>
      <c r="L80" s="360"/>
      <c r="M80" s="360"/>
      <c r="N80" s="360"/>
      <c r="O80" s="360"/>
      <c r="P80" s="360"/>
      <c r="Q80" s="360"/>
      <c r="R80" s="360">
        <f>SUM(R67:R79)</f>
        <v>54814</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43644</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14813</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792-26</f>
        <v>766</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25</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26</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103</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14813</v>
      </c>
      <c r="Q97" s="293"/>
      <c r="R97" s="360">
        <f>SUM(R84:R96)</f>
        <v>920</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14813</v>
      </c>
      <c r="Q100" s="293"/>
      <c r="R100" s="360">
        <f>R97+R98+R99</f>
        <v>920</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-26-3</f>
        <v>-29</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-13</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-31</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-66</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-157</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-255</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-16</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-95</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-26</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-8-179</f>
        <v>-187</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-42</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-4412</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-10401</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-14813</v>
      </c>
      <c r="Q128" s="360"/>
      <c r="R128" s="360">
        <f>SUM(R101:R127)</f>
        <v>-920</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JUNE 2019</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7601.4859353649999</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1151.5140646349998</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+'March 19'!R173</f>
        <v>429</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103</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326</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54814</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54814</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54814</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+'March 19'!O189</f>
        <v>497</v>
      </c>
      <c r="P187" s="361">
        <f>+'March 19'!P189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9.0206185567010309</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2.69</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4.9554140127388537</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10.17</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2.4352941176470586</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5.59</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3.6842105263157894</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11.94</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JUNE 2019</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43644</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4.8208800000000003E-2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4.6929999999999999E-2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3.4791674512287228E-2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1.2138325487712771E-2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1.3213264969049362E-2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16.899999999999999</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0.21274792824622632</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0.3977</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10410</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'March 19'!P233+P232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349</v>
      </c>
      <c r="O246" s="464">
        <f>N246/$N$255</f>
        <v>1</v>
      </c>
      <c r="P246" s="373">
        <f>+P258+P270+P282</f>
        <v>54814</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349</v>
      </c>
      <c r="O255" s="470">
        <f>SUM(O246:O254)</f>
        <v>1</v>
      </c>
      <c r="P255" s="361">
        <f>SUM(P246:P254)</f>
        <v>54814</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349</v>
      </c>
      <c r="O258" s="464">
        <f>N258/$N$267</f>
        <v>1</v>
      </c>
      <c r="P258" s="373">
        <v>54814</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349</v>
      </c>
      <c r="O267" s="470">
        <f>SUM(O258:O266)</f>
        <v>1</v>
      </c>
      <c r="P267" s="361">
        <f>SUM(P258:P266)</f>
        <v>54814</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349</v>
      </c>
      <c r="O293" s="470"/>
      <c r="P293" s="483">
        <f>+P291+P279+P267</f>
        <v>54814</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54814</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54814</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0.31937351221653404</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JUNE 2019</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A21B16C4-962E-4A2D-B787-B720BD41299D}"/>
    <hyperlink ref="K9" r:id="rId2" display="http://www.paragon-group.co.uk" xr:uid="{CA4C47BE-9567-4075-AD8D-EF42357F5358}"/>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583A-E6CC-4266-A1B6-C762095AC1B6}">
  <sheetPr>
    <tabColor rgb="FF2D2926"/>
  </sheetPr>
  <dimension ref="A1:IR310"/>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43754</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112</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573.28750000000002</v>
      </c>
      <c r="E29" s="307"/>
      <c r="F29" s="308">
        <f>F28*F35</f>
        <v>955.32628999999997</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0</v>
      </c>
      <c r="E30" s="312"/>
      <c r="F30" s="312">
        <f t="shared" ref="F30" si="0">F28*F34</f>
        <v>0</v>
      </c>
      <c r="G30" s="312"/>
      <c r="H30" s="312">
        <f t="shared" ref="H30" si="1">H28*H34</f>
        <v>6335.0898999999999</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405.23629539999996</v>
      </c>
      <c r="E32" s="308"/>
      <c r="F32" s="308">
        <f>F31*F35</f>
        <v>955.32628999999997</v>
      </c>
      <c r="G32" s="308"/>
      <c r="H32" s="308">
        <f>H31*H35</f>
        <v>19300</v>
      </c>
      <c r="I32" s="308"/>
      <c r="J32" s="308">
        <f>J31*J35</f>
        <v>25400</v>
      </c>
      <c r="K32" s="308"/>
      <c r="L32" s="308">
        <f>L31*L35</f>
        <v>8753</v>
      </c>
      <c r="M32" s="303"/>
      <c r="N32" s="313"/>
      <c r="O32" s="303"/>
      <c r="P32" s="303"/>
      <c r="Q32" s="302"/>
      <c r="R32" s="303">
        <f>SUM(D32:L32)</f>
        <v>54813.562585399995</v>
      </c>
      <c r="S32" s="304"/>
      <c r="T32" s="273"/>
    </row>
    <row r="33" spans="1:20" s="274" customFormat="1" x14ac:dyDescent="0.3">
      <c r="A33" s="300"/>
      <c r="B33" s="297" t="s">
        <v>223</v>
      </c>
      <c r="C33" s="302"/>
      <c r="D33" s="312">
        <f>D31*D34</f>
        <v>0</v>
      </c>
      <c r="E33" s="312"/>
      <c r="F33" s="312">
        <f t="shared" ref="F33:L33" si="4">F31*F34</f>
        <v>0</v>
      </c>
      <c r="G33" s="312"/>
      <c r="H33" s="312">
        <f t="shared" si="4"/>
        <v>6335.0898999999999</v>
      </c>
      <c r="I33" s="312"/>
      <c r="J33" s="312">
        <f t="shared" si="4"/>
        <v>25400</v>
      </c>
      <c r="K33" s="312"/>
      <c r="L33" s="312">
        <f t="shared" si="4"/>
        <v>8753</v>
      </c>
      <c r="M33" s="310"/>
      <c r="N33" s="313"/>
      <c r="O33" s="303"/>
      <c r="P33" s="303"/>
      <c r="Q33" s="302"/>
      <c r="R33" s="310">
        <f>SUM(D33:L33)</f>
        <v>40488.089899999999</v>
      </c>
      <c r="S33" s="304"/>
      <c r="T33" s="273"/>
    </row>
    <row r="34" spans="1:20" s="324" customFormat="1" x14ac:dyDescent="0.3">
      <c r="A34" s="314"/>
      <c r="B34" s="315" t="s">
        <v>103</v>
      </c>
      <c r="C34" s="316"/>
      <c r="D34" s="317">
        <v>0</v>
      </c>
      <c r="E34" s="317"/>
      <c r="F34" s="317">
        <v>0</v>
      </c>
      <c r="G34" s="317"/>
      <c r="H34" s="317">
        <v>0.32824300000000001</v>
      </c>
      <c r="I34" s="317"/>
      <c r="J34" s="317">
        <v>1</v>
      </c>
      <c r="K34" s="317"/>
      <c r="L34" s="317">
        <v>1</v>
      </c>
      <c r="M34" s="318"/>
      <c r="N34" s="318"/>
      <c r="O34" s="319"/>
      <c r="P34" s="319"/>
      <c r="Q34" s="320"/>
      <c r="R34" s="321"/>
      <c r="S34" s="322"/>
      <c r="T34" s="323"/>
    </row>
    <row r="35" spans="1:20" s="324" customFormat="1" x14ac:dyDescent="0.3">
      <c r="A35" s="314"/>
      <c r="B35" s="316" t="s">
        <v>104</v>
      </c>
      <c r="C35" s="316"/>
      <c r="D35" s="325">
        <v>4.5862999999999998E-3</v>
      </c>
      <c r="E35" s="325"/>
      <c r="F35" s="325">
        <v>4.5862999999999998E-3</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7.3600000000000002E-3</v>
      </c>
      <c r="E37" s="329"/>
      <c r="F37" s="329">
        <v>2.2671299999999998E-2</v>
      </c>
      <c r="G37" s="329"/>
      <c r="H37" s="329">
        <v>3.21713E-2</v>
      </c>
      <c r="I37" s="329"/>
      <c r="J37" s="329">
        <v>3.96713E-2</v>
      </c>
      <c r="K37" s="329"/>
      <c r="L37" s="329">
        <v>4.3171300000000003E-2</v>
      </c>
      <c r="M37" s="328"/>
      <c r="N37" s="329"/>
      <c r="O37" s="301"/>
      <c r="P37" s="301"/>
      <c r="Q37" s="293"/>
      <c r="R37" s="328"/>
      <c r="S37" s="296"/>
      <c r="T37" s="273"/>
    </row>
    <row r="38" spans="1:20" s="274" customFormat="1" x14ac:dyDescent="0.3">
      <c r="A38" s="300"/>
      <c r="B38" s="293" t="s">
        <v>10</v>
      </c>
      <c r="C38" s="330"/>
      <c r="D38" s="329">
        <v>7.9000000000000008E-3</v>
      </c>
      <c r="E38" s="329"/>
      <c r="F38" s="329">
        <v>2.3208800000000002E-2</v>
      </c>
      <c r="G38" s="329"/>
      <c r="H38" s="329">
        <v>3.2708800000000003E-2</v>
      </c>
      <c r="I38" s="329"/>
      <c r="J38" s="329">
        <v>4.0208800000000003E-2</v>
      </c>
      <c r="K38" s="329"/>
      <c r="L38" s="329">
        <v>4.3708799999999999E-2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2.5141299999999998E-2</v>
      </c>
      <c r="E40" s="329"/>
      <c r="F40" s="329">
        <f>+F37</f>
        <v>2.2671299999999998E-2</v>
      </c>
      <c r="G40" s="329"/>
      <c r="H40" s="329">
        <f>+H37</f>
        <v>3.21713E-2</v>
      </c>
      <c r="I40" s="329"/>
      <c r="J40" s="329">
        <f>+J37</f>
        <v>3.96713E-2</v>
      </c>
      <c r="K40" s="329"/>
      <c r="L40" s="329">
        <f>+L37</f>
        <v>4.3171300000000003E-2</v>
      </c>
      <c r="M40" s="328"/>
      <c r="N40" s="329"/>
      <c r="O40" s="301"/>
      <c r="P40" s="301"/>
      <c r="Q40" s="293"/>
      <c r="R40" s="328">
        <f>SUMPRODUCT(D40:L40,D32:L32)/R32</f>
        <v>3.7185726651435151E-2</v>
      </c>
      <c r="S40" s="296"/>
      <c r="T40" s="273"/>
    </row>
    <row r="41" spans="1:20" s="274" customFormat="1" x14ac:dyDescent="0.3">
      <c r="A41" s="300"/>
      <c r="B41" s="293" t="s">
        <v>228</v>
      </c>
      <c r="C41" s="330"/>
      <c r="D41" s="329">
        <v>2.5678800000000002E-2</v>
      </c>
      <c r="E41" s="329"/>
      <c r="F41" s="329">
        <f>+F38</f>
        <v>2.3208800000000002E-2</v>
      </c>
      <c r="G41" s="329"/>
      <c r="H41" s="329">
        <f>+H38</f>
        <v>3.2708800000000003E-2</v>
      </c>
      <c r="I41" s="329"/>
      <c r="J41" s="329">
        <f>+J38</f>
        <v>4.0208800000000003E-2</v>
      </c>
      <c r="K41" s="329"/>
      <c r="L41" s="329">
        <f>+L38</f>
        <v>4.3708799999999999E-2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498" t="s">
        <v>97</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43753</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43570</v>
      </c>
      <c r="Q53" s="340"/>
      <c r="R53" s="339">
        <v>43660</v>
      </c>
      <c r="S53" s="296"/>
      <c r="T53" s="273"/>
    </row>
    <row r="54" spans="1:21" s="274" customFormat="1" x14ac:dyDescent="0.3">
      <c r="A54" s="300"/>
      <c r="B54" s="293" t="s">
        <v>100</v>
      </c>
      <c r="C54" s="293"/>
      <c r="D54" s="293"/>
      <c r="E54" s="293"/>
      <c r="F54" s="293"/>
      <c r="G54" s="293"/>
      <c r="H54" s="293"/>
      <c r="I54" s="293"/>
      <c r="J54" s="293"/>
      <c r="K54" s="293"/>
      <c r="L54" s="293"/>
      <c r="M54" s="293"/>
      <c r="N54" s="293">
        <f>+R54-P54+1</f>
        <v>92</v>
      </c>
      <c r="O54" s="293"/>
      <c r="P54" s="339">
        <v>43661</v>
      </c>
      <c r="Q54" s="340"/>
      <c r="R54" s="339">
        <v>43752</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43739</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296</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54814</v>
      </c>
      <c r="I64" s="360"/>
      <c r="J64" s="361">
        <v>32</v>
      </c>
      <c r="K64" s="360"/>
      <c r="L64" s="360">
        <v>8404</v>
      </c>
      <c r="M64" s="360"/>
      <c r="N64" s="360">
        <v>0</v>
      </c>
      <c r="O64" s="360"/>
      <c r="P64" s="360">
        <f>1312+3724+854</f>
        <v>5890</v>
      </c>
      <c r="Q64" s="360"/>
      <c r="R64" s="361">
        <f>H64-J64-L64+N64-P64</f>
        <v>40488</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54814</v>
      </c>
      <c r="I67" s="360"/>
      <c r="J67" s="360">
        <f>J64+J65</f>
        <v>32</v>
      </c>
      <c r="K67" s="360"/>
      <c r="L67" s="360">
        <f>SUM(L64:L66)</f>
        <v>8404</v>
      </c>
      <c r="M67" s="360"/>
      <c r="N67" s="360">
        <f>SUM(N64:N66)</f>
        <v>0</v>
      </c>
      <c r="O67" s="360"/>
      <c r="P67" s="360">
        <f>SUM(P64:P66)</f>
        <v>5890</v>
      </c>
      <c r="Q67" s="360"/>
      <c r="R67" s="360">
        <f>SUM(R64:R66)</f>
        <v>40488</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54814</v>
      </c>
      <c r="I80" s="360"/>
      <c r="J80" s="360"/>
      <c r="K80" s="360"/>
      <c r="L80" s="360"/>
      <c r="M80" s="360"/>
      <c r="N80" s="360"/>
      <c r="O80" s="360"/>
      <c r="P80" s="360"/>
      <c r="Q80" s="360"/>
      <c r="R80" s="360">
        <f>SUM(R67:R79)</f>
        <v>40488</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+P209</f>
        <v>43738</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14326</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934-393</f>
        <v>541</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26</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35</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39</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14326</v>
      </c>
      <c r="Q97" s="293"/>
      <c r="R97" s="360">
        <f>SUM(R84:R96)</f>
        <v>641</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14326</v>
      </c>
      <c r="Q100" s="293"/>
      <c r="R100" s="360">
        <f>R97+R98+R99</f>
        <v>641</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-20-2</f>
        <v>-22</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-26</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-3</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-5</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-157</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-254</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-15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-95</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-21</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-6-34</f>
        <v>-40</v>
      </c>
      <c r="S118" s="296"/>
      <c r="T118" s="273"/>
    </row>
    <row r="119" spans="1:20" s="274" customFormat="1" x14ac:dyDescent="0.3">
      <c r="A119" s="300">
        <v>17</v>
      </c>
      <c r="B119" s="293" t="s">
        <v>297</v>
      </c>
      <c r="C119" s="293"/>
      <c r="D119" s="293"/>
      <c r="E119" s="293"/>
      <c r="F119" s="293"/>
      <c r="G119" s="293"/>
      <c r="H119" s="293"/>
      <c r="I119" s="293"/>
      <c r="J119" s="293"/>
      <c r="K119" s="293"/>
      <c r="L119" s="293"/>
      <c r="M119" s="293"/>
      <c r="N119" s="293"/>
      <c r="O119" s="293"/>
      <c r="P119" s="293"/>
      <c r="Q119" s="293"/>
      <c r="R119" s="361">
        <v>0</v>
      </c>
      <c r="S119" s="296"/>
      <c r="T119" s="273"/>
    </row>
    <row r="120" spans="1:20" s="274" customFormat="1" x14ac:dyDescent="0.3">
      <c r="A120" s="300">
        <v>18</v>
      </c>
      <c r="B120" s="293" t="s">
        <v>298</v>
      </c>
      <c r="C120" s="293"/>
      <c r="D120" s="293"/>
      <c r="E120" s="293"/>
      <c r="F120" s="293"/>
      <c r="G120" s="293"/>
      <c r="H120" s="293"/>
      <c r="I120" s="293"/>
      <c r="J120" s="293"/>
      <c r="K120" s="293"/>
      <c r="L120" s="293"/>
      <c r="M120" s="293"/>
      <c r="N120" s="293"/>
      <c r="O120" s="293"/>
      <c r="P120" s="293"/>
      <c r="Q120" s="293"/>
      <c r="R120" s="361">
        <v>0</v>
      </c>
      <c r="S120" s="296"/>
      <c r="T120" s="273"/>
    </row>
    <row r="121" spans="1:20" s="274" customFormat="1" x14ac:dyDescent="0.3">
      <c r="A121" s="300">
        <v>19</v>
      </c>
      <c r="B121" s="293" t="s">
        <v>299</v>
      </c>
      <c r="C121" s="293"/>
      <c r="D121" s="293"/>
      <c r="E121" s="293"/>
      <c r="F121" s="293"/>
      <c r="G121" s="293"/>
      <c r="H121" s="293"/>
      <c r="I121" s="293"/>
      <c r="J121" s="293"/>
      <c r="K121" s="293"/>
      <c r="L121" s="293"/>
      <c r="M121" s="293"/>
      <c r="N121" s="293"/>
      <c r="O121" s="293"/>
      <c r="P121" s="293"/>
      <c r="Q121" s="293"/>
      <c r="R121" s="361">
        <v>0</v>
      </c>
      <c r="S121" s="296"/>
      <c r="T121" s="273"/>
    </row>
    <row r="122" spans="1:20" s="274" customFormat="1" x14ac:dyDescent="0.3">
      <c r="A122" s="300">
        <v>20</v>
      </c>
      <c r="B122" s="293" t="s">
        <v>300</v>
      </c>
      <c r="C122" s="293"/>
      <c r="D122" s="293"/>
      <c r="E122" s="293"/>
      <c r="F122" s="293"/>
      <c r="G122" s="293"/>
      <c r="H122" s="293"/>
      <c r="I122" s="293"/>
      <c r="J122" s="293"/>
      <c r="K122" s="293"/>
      <c r="L122" s="293"/>
      <c r="M122" s="293"/>
      <c r="N122" s="293"/>
      <c r="O122" s="293"/>
      <c r="P122" s="293"/>
      <c r="Q122" s="293"/>
      <c r="R122" s="361">
        <f>-R100-SUM(R102:R121)</f>
        <v>0</v>
      </c>
      <c r="S122" s="296"/>
      <c r="T122" s="273"/>
    </row>
    <row r="123" spans="1:20" x14ac:dyDescent="0.3">
      <c r="A123" s="376"/>
      <c r="B123" s="377" t="s">
        <v>30</v>
      </c>
      <c r="C123" s="316"/>
      <c r="D123" s="316"/>
      <c r="E123" s="316"/>
      <c r="F123" s="316"/>
      <c r="G123" s="316"/>
      <c r="H123" s="316"/>
      <c r="I123" s="316"/>
      <c r="J123" s="316"/>
      <c r="K123" s="316"/>
      <c r="L123" s="316"/>
      <c r="M123" s="316"/>
      <c r="N123" s="316"/>
      <c r="O123" s="316"/>
      <c r="P123" s="379"/>
      <c r="Q123" s="379"/>
      <c r="R123" s="383"/>
      <c r="S123" s="381"/>
      <c r="T123" s="256"/>
    </row>
    <row r="124" spans="1:20" s="274" customFormat="1" x14ac:dyDescent="0.3">
      <c r="A124" s="300"/>
      <c r="B124" s="293" t="s">
        <v>207</v>
      </c>
      <c r="C124" s="293"/>
      <c r="D124" s="293"/>
      <c r="E124" s="293"/>
      <c r="F124" s="293"/>
      <c r="G124" s="293"/>
      <c r="H124" s="293"/>
      <c r="I124" s="293"/>
      <c r="J124" s="293"/>
      <c r="K124" s="293"/>
      <c r="L124" s="293"/>
      <c r="M124" s="293"/>
      <c r="N124" s="293"/>
      <c r="O124" s="293"/>
      <c r="P124" s="360">
        <f>-P191</f>
        <v>0</v>
      </c>
      <c r="Q124" s="360"/>
      <c r="R124" s="361"/>
      <c r="S124" s="296"/>
      <c r="T124" s="273"/>
    </row>
    <row r="125" spans="1:20" s="274" customFormat="1" x14ac:dyDescent="0.3">
      <c r="A125" s="300"/>
      <c r="B125" s="293" t="s">
        <v>208</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237</v>
      </c>
      <c r="C126" s="293"/>
      <c r="D126" s="293"/>
      <c r="E126" s="293"/>
      <c r="F126" s="293"/>
      <c r="G126" s="293"/>
      <c r="H126" s="293"/>
      <c r="I126" s="293"/>
      <c r="J126" s="293"/>
      <c r="K126" s="293"/>
      <c r="L126" s="293"/>
      <c r="M126" s="293"/>
      <c r="N126" s="293"/>
      <c r="O126" s="293"/>
      <c r="P126" s="360">
        <v>-405</v>
      </c>
      <c r="Q126" s="360"/>
      <c r="R126" s="361"/>
      <c r="S126" s="296"/>
      <c r="T126" s="273"/>
    </row>
    <row r="127" spans="1:20" s="274" customFormat="1" x14ac:dyDescent="0.3">
      <c r="A127" s="300"/>
      <c r="B127" s="293" t="s">
        <v>236</v>
      </c>
      <c r="C127" s="293"/>
      <c r="D127" s="293"/>
      <c r="E127" s="293"/>
      <c r="F127" s="293"/>
      <c r="G127" s="293"/>
      <c r="H127" s="293"/>
      <c r="I127" s="293"/>
      <c r="J127" s="293"/>
      <c r="K127" s="293"/>
      <c r="L127" s="293"/>
      <c r="M127" s="293"/>
      <c r="N127" s="293"/>
      <c r="O127" s="293"/>
      <c r="P127" s="360">
        <v>-956</v>
      </c>
      <c r="Q127" s="360"/>
      <c r="R127" s="361"/>
      <c r="S127" s="296"/>
      <c r="T127" s="273"/>
    </row>
    <row r="128" spans="1:20" s="274" customFormat="1" x14ac:dyDescent="0.3">
      <c r="A128" s="300"/>
      <c r="B128" s="293" t="s">
        <v>180</v>
      </c>
      <c r="C128" s="293"/>
      <c r="D128" s="293"/>
      <c r="E128" s="293"/>
      <c r="F128" s="293"/>
      <c r="G128" s="293"/>
      <c r="H128" s="293"/>
      <c r="I128" s="293"/>
      <c r="J128" s="293"/>
      <c r="K128" s="293"/>
      <c r="L128" s="293"/>
      <c r="M128" s="293"/>
      <c r="N128" s="293"/>
      <c r="O128" s="293"/>
      <c r="P128" s="360">
        <v>-12965</v>
      </c>
      <c r="Q128" s="360"/>
      <c r="R128" s="361"/>
      <c r="S128" s="296"/>
      <c r="T128" s="273"/>
    </row>
    <row r="129" spans="1:20" s="274" customFormat="1" x14ac:dyDescent="0.3">
      <c r="A129" s="300"/>
      <c r="B129" s="293" t="s">
        <v>181</v>
      </c>
      <c r="C129" s="293"/>
      <c r="D129" s="293"/>
      <c r="E129" s="293"/>
      <c r="F129" s="293"/>
      <c r="G129" s="293"/>
      <c r="H129" s="293"/>
      <c r="I129" s="293"/>
      <c r="J129" s="293"/>
      <c r="K129" s="293"/>
      <c r="L129" s="293"/>
      <c r="M129" s="293"/>
      <c r="N129" s="293"/>
      <c r="O129" s="293"/>
      <c r="P129" s="360">
        <v>0</v>
      </c>
      <c r="Q129" s="360"/>
      <c r="R129" s="361"/>
      <c r="S129" s="296"/>
      <c r="T129" s="273"/>
    </row>
    <row r="130" spans="1:20" s="274" customFormat="1" x14ac:dyDescent="0.3">
      <c r="A130" s="300"/>
      <c r="B130" s="293" t="s">
        <v>270</v>
      </c>
      <c r="C130" s="293"/>
      <c r="D130" s="293"/>
      <c r="E130" s="293"/>
      <c r="F130" s="293"/>
      <c r="G130" s="293"/>
      <c r="H130" s="293"/>
      <c r="I130" s="293"/>
      <c r="J130" s="293"/>
      <c r="K130" s="293"/>
      <c r="L130" s="293"/>
      <c r="M130" s="293"/>
      <c r="N130" s="293"/>
      <c r="O130" s="293"/>
      <c r="P130" s="360">
        <v>0</v>
      </c>
      <c r="Q130" s="360"/>
      <c r="R130" s="361"/>
      <c r="S130" s="296"/>
      <c r="T130" s="273"/>
    </row>
    <row r="131" spans="1:20" s="274" customFormat="1" x14ac:dyDescent="0.3">
      <c r="A131" s="300"/>
      <c r="B131" s="293" t="s">
        <v>31</v>
      </c>
      <c r="C131" s="293"/>
      <c r="D131" s="293"/>
      <c r="E131" s="293"/>
      <c r="F131" s="293"/>
      <c r="G131" s="293"/>
      <c r="H131" s="293"/>
      <c r="I131" s="293"/>
      <c r="J131" s="293"/>
      <c r="K131" s="293"/>
      <c r="L131" s="293"/>
      <c r="M131" s="293"/>
      <c r="N131" s="293"/>
      <c r="O131" s="293"/>
      <c r="P131" s="360">
        <f>SUM(P124:P130)</f>
        <v>-14326</v>
      </c>
      <c r="Q131" s="360"/>
      <c r="R131" s="360">
        <f>SUM(R101:R130)</f>
        <v>-641</v>
      </c>
      <c r="S131" s="296"/>
      <c r="T131" s="273"/>
    </row>
    <row r="132" spans="1:20" s="274" customFormat="1" x14ac:dyDescent="0.3">
      <c r="A132" s="300"/>
      <c r="B132" s="293" t="s">
        <v>32</v>
      </c>
      <c r="C132" s="293"/>
      <c r="D132" s="293"/>
      <c r="E132" s="293"/>
      <c r="F132" s="293"/>
      <c r="G132" s="293"/>
      <c r="H132" s="293"/>
      <c r="I132" s="293"/>
      <c r="J132" s="293"/>
      <c r="K132" s="293"/>
      <c r="L132" s="293"/>
      <c r="M132" s="293"/>
      <c r="N132" s="293"/>
      <c r="O132" s="293"/>
      <c r="P132" s="360">
        <f>P100+P131+P111</f>
        <v>0</v>
      </c>
      <c r="Q132" s="360"/>
      <c r="R132" s="360">
        <f>R100+R131</f>
        <v>0</v>
      </c>
      <c r="S132" s="296"/>
      <c r="T132" s="273"/>
    </row>
    <row r="133" spans="1:20" s="274" customFormat="1" x14ac:dyDescent="0.3">
      <c r="A133" s="269"/>
      <c r="B133" s="290"/>
      <c r="C133" s="290"/>
      <c r="D133" s="290"/>
      <c r="E133" s="290"/>
      <c r="F133" s="290"/>
      <c r="G133" s="290"/>
      <c r="H133" s="290"/>
      <c r="I133" s="290"/>
      <c r="J133" s="290"/>
      <c r="K133" s="290"/>
      <c r="L133" s="290"/>
      <c r="M133" s="290"/>
      <c r="N133" s="290"/>
      <c r="O133" s="290"/>
      <c r="P133" s="372"/>
      <c r="Q133" s="372"/>
      <c r="R133" s="372"/>
      <c r="S133" s="272"/>
      <c r="T133" s="273"/>
    </row>
    <row r="134" spans="1:20" s="274" customFormat="1" x14ac:dyDescent="0.3">
      <c r="A134" s="269"/>
      <c r="B134" s="271"/>
      <c r="C134" s="271"/>
      <c r="D134" s="271"/>
      <c r="E134" s="271"/>
      <c r="F134" s="271"/>
      <c r="G134" s="271"/>
      <c r="H134" s="271"/>
      <c r="I134" s="271"/>
      <c r="J134" s="271"/>
      <c r="K134" s="271"/>
      <c r="L134" s="271"/>
      <c r="M134" s="271"/>
      <c r="N134" s="271"/>
      <c r="O134" s="271"/>
      <c r="P134" s="271"/>
      <c r="Q134" s="271"/>
      <c r="R134" s="384"/>
      <c r="S134" s="272"/>
      <c r="T134" s="273"/>
    </row>
    <row r="135" spans="1:20" s="274" customFormat="1" ht="18.600000000000001" thickBot="1" x14ac:dyDescent="0.4">
      <c r="A135" s="346"/>
      <c r="B135" s="347" t="str">
        <f>B60</f>
        <v>PM24 INVESTOR REPORT QUARTER ENDING SEPTEMBER 2019</v>
      </c>
      <c r="C135" s="348"/>
      <c r="D135" s="348"/>
      <c r="E135" s="348"/>
      <c r="F135" s="348"/>
      <c r="G135" s="348"/>
      <c r="H135" s="348"/>
      <c r="I135" s="348"/>
      <c r="J135" s="348"/>
      <c r="K135" s="348"/>
      <c r="L135" s="348"/>
      <c r="M135" s="348"/>
      <c r="N135" s="348"/>
      <c r="O135" s="348"/>
      <c r="P135" s="348"/>
      <c r="Q135" s="348"/>
      <c r="R135" s="385"/>
      <c r="S135" s="350"/>
      <c r="T135" s="273"/>
    </row>
    <row r="136" spans="1:20" x14ac:dyDescent="0.3">
      <c r="A136" s="386"/>
      <c r="B136" s="387" t="s">
        <v>33</v>
      </c>
      <c r="C136" s="388"/>
      <c r="D136" s="388"/>
      <c r="E136" s="388"/>
      <c r="F136" s="388"/>
      <c r="G136" s="388"/>
      <c r="H136" s="388"/>
      <c r="I136" s="388"/>
      <c r="J136" s="388"/>
      <c r="K136" s="388"/>
      <c r="L136" s="388"/>
      <c r="M136" s="388"/>
      <c r="N136" s="388"/>
      <c r="O136" s="388"/>
      <c r="P136" s="388"/>
      <c r="Q136" s="388"/>
      <c r="R136" s="389"/>
      <c r="S136" s="390"/>
      <c r="T136" s="256"/>
    </row>
    <row r="137" spans="1:20" x14ac:dyDescent="0.3">
      <c r="A137" s="258"/>
      <c r="B137" s="391"/>
      <c r="C137" s="260"/>
      <c r="D137" s="260"/>
      <c r="E137" s="260"/>
      <c r="F137" s="260"/>
      <c r="G137" s="260"/>
      <c r="H137" s="260"/>
      <c r="I137" s="260"/>
      <c r="J137" s="260"/>
      <c r="K137" s="260"/>
      <c r="L137" s="260"/>
      <c r="M137" s="260"/>
      <c r="N137" s="260"/>
      <c r="O137" s="260"/>
      <c r="P137" s="260"/>
      <c r="Q137" s="260"/>
      <c r="R137" s="354"/>
      <c r="S137" s="261"/>
      <c r="T137" s="256"/>
    </row>
    <row r="138" spans="1:20" x14ac:dyDescent="0.3">
      <c r="A138" s="258"/>
      <c r="B138" s="392" t="s">
        <v>34</v>
      </c>
      <c r="C138" s="260"/>
      <c r="D138" s="260"/>
      <c r="E138" s="260"/>
      <c r="F138" s="260"/>
      <c r="G138" s="260"/>
      <c r="H138" s="260"/>
      <c r="I138" s="260"/>
      <c r="J138" s="260"/>
      <c r="K138" s="260"/>
      <c r="L138" s="260"/>
      <c r="M138" s="260"/>
      <c r="N138" s="260"/>
      <c r="O138" s="260"/>
      <c r="P138" s="260"/>
      <c r="Q138" s="260"/>
      <c r="R138" s="354"/>
      <c r="S138" s="261"/>
      <c r="T138" s="256"/>
    </row>
    <row r="139" spans="1:20" s="274" customFormat="1" x14ac:dyDescent="0.3">
      <c r="A139" s="300"/>
      <c r="B139" s="293" t="s">
        <v>35</v>
      </c>
      <c r="C139" s="293"/>
      <c r="D139" s="293"/>
      <c r="E139" s="293"/>
      <c r="F139" s="293"/>
      <c r="G139" s="293"/>
      <c r="H139" s="293"/>
      <c r="I139" s="293"/>
      <c r="J139" s="293"/>
      <c r="K139" s="293"/>
      <c r="L139" s="293"/>
      <c r="M139" s="293"/>
      <c r="N139" s="293"/>
      <c r="O139" s="293"/>
      <c r="P139" s="293"/>
      <c r="Q139" s="293"/>
      <c r="R139" s="361">
        <v>8753</v>
      </c>
      <c r="S139" s="296"/>
      <c r="T139" s="273"/>
    </row>
    <row r="140" spans="1:20" s="274" customFormat="1" x14ac:dyDescent="0.3">
      <c r="A140" s="300"/>
      <c r="B140" s="293" t="s">
        <v>36</v>
      </c>
      <c r="C140" s="293"/>
      <c r="D140" s="293"/>
      <c r="E140" s="293"/>
      <c r="F140" s="293"/>
      <c r="G140" s="293"/>
      <c r="H140" s="293"/>
      <c r="I140" s="293"/>
      <c r="J140" s="293"/>
      <c r="K140" s="293"/>
      <c r="L140" s="293"/>
      <c r="M140" s="293"/>
      <c r="N140" s="293"/>
      <c r="O140" s="293"/>
      <c r="P140" s="293"/>
      <c r="Q140" s="293"/>
      <c r="R140" s="361">
        <v>0</v>
      </c>
      <c r="S140" s="296"/>
      <c r="T140" s="273"/>
    </row>
    <row r="141" spans="1:20" s="274" customFormat="1" x14ac:dyDescent="0.3">
      <c r="A141" s="300"/>
      <c r="B141" s="293" t="s">
        <v>169</v>
      </c>
      <c r="C141" s="293"/>
      <c r="D141" s="293"/>
      <c r="E141" s="293"/>
      <c r="F141" s="293"/>
      <c r="G141" s="293"/>
      <c r="H141" s="293"/>
      <c r="I141" s="293"/>
      <c r="J141" s="293"/>
      <c r="K141" s="293"/>
      <c r="L141" s="293"/>
      <c r="M141" s="293"/>
      <c r="N141" s="293"/>
      <c r="O141" s="293"/>
      <c r="P141" s="293"/>
      <c r="Q141" s="293"/>
      <c r="R141" s="361">
        <f>R139-R142</f>
        <v>7959.6227524999995</v>
      </c>
      <c r="S141" s="296"/>
      <c r="T141" s="273"/>
    </row>
    <row r="142" spans="1:20" s="274" customFormat="1" x14ac:dyDescent="0.3">
      <c r="A142" s="300"/>
      <c r="B142" s="293" t="s">
        <v>209</v>
      </c>
      <c r="C142" s="293"/>
      <c r="D142" s="293"/>
      <c r="E142" s="293"/>
      <c r="F142" s="293"/>
      <c r="G142" s="293"/>
      <c r="H142" s="293"/>
      <c r="I142" s="293"/>
      <c r="J142" s="293"/>
      <c r="K142" s="293"/>
      <c r="L142" s="293"/>
      <c r="M142" s="293"/>
      <c r="N142" s="293"/>
      <c r="O142" s="293"/>
      <c r="P142" s="293"/>
      <c r="Q142" s="293"/>
      <c r="R142" s="361">
        <f>SUM(D33:J33)*0.025</f>
        <v>793.37724750000007</v>
      </c>
      <c r="S142" s="296"/>
      <c r="T142" s="273"/>
    </row>
    <row r="143" spans="1:20" s="274" customFormat="1" x14ac:dyDescent="0.3">
      <c r="A143" s="300"/>
      <c r="B143" s="293" t="s">
        <v>108</v>
      </c>
      <c r="C143" s="293"/>
      <c r="D143" s="293"/>
      <c r="E143" s="293"/>
      <c r="F143" s="293"/>
      <c r="G143" s="293"/>
      <c r="H143" s="293"/>
      <c r="I143" s="293"/>
      <c r="J143" s="293"/>
      <c r="K143" s="293"/>
      <c r="L143" s="293"/>
      <c r="M143" s="293"/>
      <c r="N143" s="293"/>
      <c r="O143" s="293"/>
      <c r="P143" s="293"/>
      <c r="Q143" s="293"/>
      <c r="R143" s="361"/>
      <c r="S143" s="296"/>
      <c r="T143" s="273"/>
    </row>
    <row r="144" spans="1:20" s="274" customFormat="1" x14ac:dyDescent="0.3">
      <c r="A144" s="300"/>
      <c r="B144" s="293" t="s">
        <v>155</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188</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189</v>
      </c>
      <c r="C146" s="293"/>
      <c r="D146" s="293"/>
      <c r="E146" s="293"/>
      <c r="F146" s="293"/>
      <c r="G146" s="293"/>
      <c r="H146" s="293"/>
      <c r="I146" s="293"/>
      <c r="J146" s="293"/>
      <c r="K146" s="293"/>
      <c r="L146" s="293"/>
      <c r="M146" s="293"/>
      <c r="N146" s="293"/>
      <c r="O146" s="293"/>
      <c r="P146" s="293"/>
      <c r="Q146" s="293"/>
      <c r="R146" s="361">
        <v>0</v>
      </c>
      <c r="S146" s="296"/>
      <c r="T146" s="273"/>
    </row>
    <row r="147" spans="1:21" s="274" customFormat="1" x14ac:dyDescent="0.3">
      <c r="A147" s="300"/>
      <c r="B147" s="293" t="s">
        <v>37</v>
      </c>
      <c r="C147" s="293"/>
      <c r="D147" s="293"/>
      <c r="E147" s="293"/>
      <c r="F147" s="293"/>
      <c r="G147" s="293"/>
      <c r="H147" s="293"/>
      <c r="I147" s="293"/>
      <c r="J147" s="293"/>
      <c r="K147" s="293"/>
      <c r="L147" s="293"/>
      <c r="M147" s="293"/>
      <c r="N147" s="293"/>
      <c r="O147" s="293"/>
      <c r="P147" s="293"/>
      <c r="Q147" s="293"/>
      <c r="R147" s="361">
        <v>0</v>
      </c>
      <c r="S147" s="296"/>
      <c r="T147" s="273"/>
    </row>
    <row r="148" spans="1:21" s="274" customFormat="1" x14ac:dyDescent="0.3">
      <c r="A148" s="300"/>
      <c r="B148" s="293" t="s">
        <v>102</v>
      </c>
      <c r="C148" s="293"/>
      <c r="D148" s="293"/>
      <c r="E148" s="293"/>
      <c r="F148" s="293"/>
      <c r="G148" s="293"/>
      <c r="H148" s="293"/>
      <c r="I148" s="293"/>
      <c r="J148" s="293"/>
      <c r="K148" s="293"/>
      <c r="L148" s="293"/>
      <c r="M148" s="293"/>
      <c r="N148" s="293"/>
      <c r="O148" s="293"/>
      <c r="P148" s="293"/>
      <c r="Q148" s="293"/>
      <c r="R148" s="361">
        <v>0</v>
      </c>
      <c r="S148" s="296"/>
      <c r="T148" s="273"/>
    </row>
    <row r="149" spans="1:21" s="274" customFormat="1" x14ac:dyDescent="0.3">
      <c r="A149" s="300"/>
      <c r="B149" s="293" t="s">
        <v>271</v>
      </c>
      <c r="C149" s="293"/>
      <c r="D149" s="293"/>
      <c r="E149" s="293"/>
      <c r="F149" s="293"/>
      <c r="G149" s="293"/>
      <c r="H149" s="293"/>
      <c r="I149" s="293"/>
      <c r="J149" s="293"/>
      <c r="K149" s="293"/>
      <c r="L149" s="293"/>
      <c r="M149" s="293"/>
      <c r="N149" s="293"/>
      <c r="O149" s="293"/>
      <c r="P149" s="293"/>
      <c r="Q149" s="293"/>
      <c r="R149" s="361">
        <v>0</v>
      </c>
      <c r="S149" s="296"/>
      <c r="T149" s="273"/>
      <c r="U149" s="382"/>
    </row>
    <row r="150" spans="1:21" s="274" customFormat="1" x14ac:dyDescent="0.3">
      <c r="A150" s="300"/>
      <c r="B150" s="293" t="s">
        <v>38</v>
      </c>
      <c r="C150" s="293"/>
      <c r="D150" s="293"/>
      <c r="E150" s="293"/>
      <c r="F150" s="293"/>
      <c r="G150" s="293"/>
      <c r="H150" s="293"/>
      <c r="I150" s="293"/>
      <c r="J150" s="293"/>
      <c r="K150" s="293"/>
      <c r="L150" s="293"/>
      <c r="M150" s="293"/>
      <c r="N150" s="293"/>
      <c r="O150" s="293"/>
      <c r="P150" s="293"/>
      <c r="Q150" s="293"/>
      <c r="R150" s="361">
        <f>SUM(R140:R149)</f>
        <v>8753</v>
      </c>
      <c r="S150" s="296"/>
      <c r="T150" s="273"/>
    </row>
    <row r="151" spans="1:21" x14ac:dyDescent="0.3">
      <c r="A151" s="258"/>
      <c r="B151" s="362"/>
      <c r="C151" s="362"/>
      <c r="D151" s="362"/>
      <c r="E151" s="362"/>
      <c r="F151" s="362"/>
      <c r="G151" s="362"/>
      <c r="H151" s="362"/>
      <c r="I151" s="362"/>
      <c r="J151" s="362"/>
      <c r="K151" s="362"/>
      <c r="L151" s="362"/>
      <c r="M151" s="362"/>
      <c r="N151" s="362"/>
      <c r="O151" s="362"/>
      <c r="P151" s="362"/>
      <c r="Q151" s="362"/>
      <c r="R151" s="393"/>
      <c r="S151" s="261"/>
      <c r="T151" s="256"/>
    </row>
    <row r="152" spans="1:21" x14ac:dyDescent="0.3">
      <c r="A152" s="258"/>
      <c r="B152" s="392" t="s">
        <v>202</v>
      </c>
      <c r="C152" s="260"/>
      <c r="D152" s="260"/>
      <c r="E152" s="260"/>
      <c r="F152" s="260"/>
      <c r="G152" s="260"/>
      <c r="H152" s="260"/>
      <c r="I152" s="260"/>
      <c r="J152" s="260"/>
      <c r="K152" s="260"/>
      <c r="L152" s="260"/>
      <c r="M152" s="260"/>
      <c r="N152" s="260"/>
      <c r="O152" s="260"/>
      <c r="P152" s="260"/>
      <c r="Q152" s="260"/>
      <c r="R152" s="354"/>
      <c r="S152" s="261"/>
      <c r="T152" s="256"/>
    </row>
    <row r="153" spans="1:21" s="274" customFormat="1" x14ac:dyDescent="0.3">
      <c r="A153" s="300"/>
      <c r="B153" s="293" t="s">
        <v>168</v>
      </c>
      <c r="C153" s="293"/>
      <c r="D153" s="293"/>
      <c r="E153" s="293"/>
      <c r="F153" s="293"/>
      <c r="G153" s="293"/>
      <c r="H153" s="293"/>
      <c r="I153" s="293"/>
      <c r="J153" s="293"/>
      <c r="K153" s="293"/>
      <c r="L153" s="293"/>
      <c r="M153" s="293"/>
      <c r="N153" s="293"/>
      <c r="O153" s="293"/>
      <c r="P153" s="293"/>
      <c r="Q153" s="293"/>
      <c r="R153" s="361">
        <f>+F77</f>
        <v>0</v>
      </c>
      <c r="S153" s="296"/>
      <c r="T153" s="273"/>
    </row>
    <row r="154" spans="1:21" s="274" customFormat="1" x14ac:dyDescent="0.3">
      <c r="A154" s="300"/>
      <c r="B154" s="293" t="s">
        <v>190</v>
      </c>
      <c r="C154" s="293"/>
      <c r="D154" s="293"/>
      <c r="E154" s="293"/>
      <c r="F154" s="293"/>
      <c r="G154" s="293"/>
      <c r="H154" s="293"/>
      <c r="I154" s="293"/>
      <c r="J154" s="293"/>
      <c r="K154" s="293"/>
      <c r="L154" s="293"/>
      <c r="M154" s="293"/>
      <c r="N154" s="293"/>
      <c r="O154" s="293"/>
      <c r="P154" s="293"/>
      <c r="Q154" s="293"/>
      <c r="R154" s="361">
        <f>+J77</f>
        <v>0</v>
      </c>
      <c r="S154" s="296"/>
      <c r="T154" s="273"/>
    </row>
    <row r="155" spans="1:21" s="274" customFormat="1" x14ac:dyDescent="0.3">
      <c r="A155" s="300"/>
      <c r="B155" s="293" t="s">
        <v>204</v>
      </c>
      <c r="C155" s="293"/>
      <c r="D155" s="293"/>
      <c r="E155" s="293"/>
      <c r="F155" s="293"/>
      <c r="G155" s="293"/>
      <c r="H155" s="293"/>
      <c r="I155" s="293"/>
      <c r="J155" s="293"/>
      <c r="K155" s="293"/>
      <c r="L155" s="293"/>
      <c r="M155" s="293"/>
      <c r="N155" s="293"/>
      <c r="O155" s="293"/>
      <c r="P155" s="293"/>
      <c r="Q155" s="293"/>
      <c r="R155" s="361">
        <f>R153+R154</f>
        <v>0</v>
      </c>
      <c r="S155" s="296"/>
      <c r="T155" s="273"/>
    </row>
    <row r="156" spans="1:21" x14ac:dyDescent="0.3">
      <c r="A156" s="258"/>
      <c r="B156" s="394"/>
      <c r="C156" s="394"/>
      <c r="D156" s="394"/>
      <c r="E156" s="394"/>
      <c r="F156" s="394"/>
      <c r="G156" s="394"/>
      <c r="H156" s="394"/>
      <c r="I156" s="394"/>
      <c r="J156" s="394"/>
      <c r="K156" s="394"/>
      <c r="L156" s="394"/>
      <c r="M156" s="394"/>
      <c r="N156" s="394"/>
      <c r="O156" s="394"/>
      <c r="P156" s="394"/>
      <c r="Q156" s="394"/>
      <c r="R156" s="395"/>
      <c r="S156" s="261"/>
      <c r="T156" s="256"/>
    </row>
    <row r="157" spans="1:21" x14ac:dyDescent="0.3">
      <c r="A157" s="258"/>
      <c r="B157" s="392" t="s">
        <v>210</v>
      </c>
      <c r="C157" s="394"/>
      <c r="D157" s="394"/>
      <c r="E157" s="394"/>
      <c r="F157" s="394"/>
      <c r="G157" s="394"/>
      <c r="H157" s="394"/>
      <c r="I157" s="394"/>
      <c r="J157" s="394"/>
      <c r="K157" s="394"/>
      <c r="L157" s="394"/>
      <c r="M157" s="394"/>
      <c r="N157" s="394"/>
      <c r="O157" s="394"/>
      <c r="P157" s="394"/>
      <c r="Q157" s="394"/>
      <c r="R157" s="395"/>
      <c r="S157" s="261"/>
      <c r="T157" s="256"/>
    </row>
    <row r="158" spans="1:21" s="274" customFormat="1" x14ac:dyDescent="0.3">
      <c r="A158" s="396"/>
      <c r="B158" s="397" t="s">
        <v>279</v>
      </c>
      <c r="C158" s="397"/>
      <c r="D158" s="397"/>
      <c r="E158" s="397"/>
      <c r="F158" s="397"/>
      <c r="G158" s="397"/>
      <c r="H158" s="397"/>
      <c r="I158" s="397"/>
      <c r="J158" s="397"/>
      <c r="K158" s="397"/>
      <c r="L158" s="397"/>
      <c r="M158" s="397"/>
      <c r="N158" s="397"/>
      <c r="O158" s="397"/>
      <c r="P158" s="397"/>
      <c r="Q158" s="397"/>
      <c r="R158" s="398">
        <v>0</v>
      </c>
      <c r="S158" s="399"/>
      <c r="T158" s="273"/>
    </row>
    <row r="159" spans="1:21" s="274" customFormat="1" x14ac:dyDescent="0.3">
      <c r="A159" s="396"/>
      <c r="B159" s="397" t="s">
        <v>212</v>
      </c>
      <c r="C159" s="397"/>
      <c r="D159" s="397"/>
      <c r="E159" s="397"/>
      <c r="F159" s="397"/>
      <c r="G159" s="397"/>
      <c r="H159" s="397"/>
      <c r="I159" s="397"/>
      <c r="J159" s="397"/>
      <c r="K159" s="397"/>
      <c r="L159" s="397"/>
      <c r="M159" s="397"/>
      <c r="N159" s="397"/>
      <c r="O159" s="397"/>
      <c r="P159" s="397"/>
      <c r="Q159" s="397"/>
      <c r="R159" s="398">
        <f>P86</f>
        <v>0</v>
      </c>
      <c r="S159" s="399"/>
      <c r="T159" s="273"/>
    </row>
    <row r="160" spans="1:21" s="274" customFormat="1" x14ac:dyDescent="0.3">
      <c r="A160" s="396"/>
      <c r="B160" s="397" t="s">
        <v>213</v>
      </c>
      <c r="C160" s="397"/>
      <c r="D160" s="397"/>
      <c r="E160" s="397"/>
      <c r="F160" s="397"/>
      <c r="G160" s="397"/>
      <c r="H160" s="397"/>
      <c r="I160" s="397"/>
      <c r="J160" s="397"/>
      <c r="K160" s="397"/>
      <c r="L160" s="397"/>
      <c r="M160" s="397"/>
      <c r="N160" s="397"/>
      <c r="O160" s="397"/>
      <c r="P160" s="397"/>
      <c r="Q160" s="397"/>
      <c r="R160" s="398">
        <v>0</v>
      </c>
      <c r="S160" s="399"/>
      <c r="T160" s="273"/>
    </row>
    <row r="161" spans="1:252" s="274" customFormat="1" x14ac:dyDescent="0.3">
      <c r="A161" s="396"/>
      <c r="B161" s="397" t="s">
        <v>214</v>
      </c>
      <c r="C161" s="397"/>
      <c r="D161" s="397"/>
      <c r="E161" s="397"/>
      <c r="F161" s="397"/>
      <c r="G161" s="397"/>
      <c r="H161" s="397"/>
      <c r="I161" s="397"/>
      <c r="J161" s="397"/>
      <c r="K161" s="397"/>
      <c r="L161" s="397"/>
      <c r="M161" s="397"/>
      <c r="N161" s="397"/>
      <c r="O161" s="397"/>
      <c r="P161" s="397"/>
      <c r="Q161" s="397"/>
      <c r="R161" s="398">
        <f>R158+R159+R160</f>
        <v>0</v>
      </c>
      <c r="S161" s="399"/>
      <c r="T161" s="273"/>
    </row>
    <row r="162" spans="1:252" x14ac:dyDescent="0.3">
      <c r="A162" s="258"/>
      <c r="B162" s="362"/>
      <c r="C162" s="362"/>
      <c r="D162" s="362"/>
      <c r="E162" s="362"/>
      <c r="F162" s="362"/>
      <c r="G162" s="362"/>
      <c r="H162" s="362"/>
      <c r="I162" s="362"/>
      <c r="J162" s="362"/>
      <c r="K162" s="362"/>
      <c r="L162" s="362"/>
      <c r="M162" s="362"/>
      <c r="N162" s="362"/>
      <c r="O162" s="362"/>
      <c r="P162" s="362"/>
      <c r="Q162" s="362"/>
      <c r="R162" s="393"/>
      <c r="S162" s="261"/>
      <c r="T162" s="256"/>
    </row>
    <row r="163" spans="1:252" x14ac:dyDescent="0.3">
      <c r="A163" s="258"/>
      <c r="B163" s="392" t="s">
        <v>39</v>
      </c>
      <c r="C163" s="260"/>
      <c r="D163" s="260"/>
      <c r="E163" s="260"/>
      <c r="F163" s="260"/>
      <c r="G163" s="260"/>
      <c r="H163" s="260"/>
      <c r="I163" s="260"/>
      <c r="J163" s="260"/>
      <c r="K163" s="260"/>
      <c r="L163" s="260"/>
      <c r="M163" s="260"/>
      <c r="N163" s="260"/>
      <c r="O163" s="260"/>
      <c r="P163" s="260"/>
      <c r="Q163" s="260"/>
      <c r="R163" s="400"/>
      <c r="S163" s="261"/>
      <c r="T163" s="256"/>
    </row>
    <row r="164" spans="1:252" s="274" customFormat="1" x14ac:dyDescent="0.3">
      <c r="A164" s="300"/>
      <c r="B164" s="293" t="s">
        <v>40</v>
      </c>
      <c r="C164" s="293"/>
      <c r="D164" s="293"/>
      <c r="E164" s="293"/>
      <c r="F164" s="293"/>
      <c r="G164" s="293"/>
      <c r="H164" s="293"/>
      <c r="I164" s="293"/>
      <c r="J164" s="293"/>
      <c r="K164" s="293"/>
      <c r="L164" s="293"/>
      <c r="M164" s="293"/>
      <c r="N164" s="293"/>
      <c r="O164" s="293"/>
      <c r="P164" s="293"/>
      <c r="Q164" s="293"/>
      <c r="R164" s="361">
        <v>0</v>
      </c>
      <c r="S164" s="296"/>
      <c r="T164" s="273"/>
    </row>
    <row r="165" spans="1:252" s="274" customFormat="1" x14ac:dyDescent="0.3">
      <c r="A165" s="300"/>
      <c r="B165" s="293" t="s">
        <v>41</v>
      </c>
      <c r="C165" s="293"/>
      <c r="D165" s="293"/>
      <c r="E165" s="293"/>
      <c r="F165" s="293"/>
      <c r="G165" s="293"/>
      <c r="H165" s="293"/>
      <c r="I165" s="293"/>
      <c r="J165" s="293"/>
      <c r="K165" s="293"/>
      <c r="L165" s="293"/>
      <c r="M165" s="293"/>
      <c r="N165" s="293"/>
      <c r="O165" s="293"/>
      <c r="P165" s="293"/>
      <c r="Q165" s="293"/>
      <c r="R165" s="361">
        <v>0</v>
      </c>
      <c r="S165" s="296"/>
      <c r="T165" s="273"/>
    </row>
    <row r="166" spans="1:252" s="274" customFormat="1" x14ac:dyDescent="0.3">
      <c r="A166" s="300"/>
      <c r="B166" s="293" t="s">
        <v>42</v>
      </c>
      <c r="C166" s="293"/>
      <c r="D166" s="293"/>
      <c r="E166" s="293"/>
      <c r="F166" s="293"/>
      <c r="G166" s="293"/>
      <c r="H166" s="293"/>
      <c r="I166" s="293"/>
      <c r="J166" s="293"/>
      <c r="K166" s="293"/>
      <c r="L166" s="293"/>
      <c r="M166" s="293"/>
      <c r="N166" s="293"/>
      <c r="O166" s="293"/>
      <c r="P166" s="293"/>
      <c r="Q166" s="293"/>
      <c r="R166" s="361">
        <f>R165+R164</f>
        <v>0</v>
      </c>
      <c r="S166" s="296"/>
      <c r="T166" s="273"/>
    </row>
    <row r="167" spans="1:252" s="274" customFormat="1" x14ac:dyDescent="0.3">
      <c r="A167" s="300"/>
      <c r="B167" s="293" t="s">
        <v>173</v>
      </c>
      <c r="C167" s="293"/>
      <c r="D167" s="293"/>
      <c r="E167" s="293"/>
      <c r="F167" s="293"/>
      <c r="G167" s="293"/>
      <c r="H167" s="293"/>
      <c r="I167" s="293"/>
      <c r="J167" s="293"/>
      <c r="K167" s="293"/>
      <c r="L167" s="293"/>
      <c r="M167" s="293"/>
      <c r="N167" s="293"/>
      <c r="O167" s="293"/>
      <c r="P167" s="293"/>
      <c r="Q167" s="293"/>
      <c r="R167" s="361">
        <f>R111</f>
        <v>0</v>
      </c>
      <c r="S167" s="296"/>
      <c r="T167" s="273"/>
    </row>
    <row r="168" spans="1:252" s="274" customFormat="1" x14ac:dyDescent="0.3">
      <c r="A168" s="300"/>
      <c r="B168" s="293" t="s">
        <v>43</v>
      </c>
      <c r="C168" s="293"/>
      <c r="D168" s="293"/>
      <c r="E168" s="293"/>
      <c r="F168" s="293"/>
      <c r="G168" s="293"/>
      <c r="H168" s="293"/>
      <c r="I168" s="293"/>
      <c r="J168" s="293"/>
      <c r="K168" s="293"/>
      <c r="L168" s="293"/>
      <c r="M168" s="293"/>
      <c r="N168" s="293"/>
      <c r="O168" s="293"/>
      <c r="P168" s="293"/>
      <c r="Q168" s="293"/>
      <c r="R168" s="361">
        <f>R166+R167</f>
        <v>0</v>
      </c>
      <c r="S168" s="296"/>
      <c r="T168" s="273"/>
    </row>
    <row r="169" spans="1:252" s="274" customFormat="1" x14ac:dyDescent="0.3">
      <c r="A169" s="300"/>
      <c r="B169" s="293" t="s">
        <v>150</v>
      </c>
      <c r="C169" s="293"/>
      <c r="D169" s="293"/>
      <c r="E169" s="293"/>
      <c r="F169" s="293"/>
      <c r="G169" s="293"/>
      <c r="H169" s="293"/>
      <c r="I169" s="293"/>
      <c r="J169" s="293"/>
      <c r="K169" s="293"/>
      <c r="L169" s="293"/>
      <c r="M169" s="293"/>
      <c r="N169" s="293"/>
      <c r="O169" s="293"/>
      <c r="P169" s="293"/>
      <c r="Q169" s="293"/>
      <c r="R169" s="361">
        <f>-R99</f>
        <v>0</v>
      </c>
      <c r="S169" s="296"/>
      <c r="T169" s="273"/>
    </row>
    <row r="170" spans="1:252" ht="16.2" thickBot="1" x14ac:dyDescent="0.35">
      <c r="A170" s="258"/>
      <c r="B170" s="362"/>
      <c r="C170" s="362"/>
      <c r="D170" s="362"/>
      <c r="E170" s="362"/>
      <c r="F170" s="362"/>
      <c r="G170" s="362"/>
      <c r="H170" s="362"/>
      <c r="I170" s="362"/>
      <c r="J170" s="362"/>
      <c r="K170" s="362"/>
      <c r="L170" s="362"/>
      <c r="M170" s="362"/>
      <c r="N170" s="362"/>
      <c r="O170" s="362"/>
      <c r="P170" s="362"/>
      <c r="Q170" s="362"/>
      <c r="R170" s="393"/>
      <c r="S170" s="261"/>
      <c r="T170" s="256"/>
    </row>
    <row r="171" spans="1:252" x14ac:dyDescent="0.3">
      <c r="A171" s="252"/>
      <c r="B171" s="254"/>
      <c r="C171" s="254"/>
      <c r="D171" s="254"/>
      <c r="E171" s="254"/>
      <c r="F171" s="254"/>
      <c r="G171" s="254"/>
      <c r="H171" s="254"/>
      <c r="I171" s="254"/>
      <c r="J171" s="254"/>
      <c r="K171" s="254"/>
      <c r="L171" s="254"/>
      <c r="M171" s="254"/>
      <c r="N171" s="254"/>
      <c r="O171" s="254"/>
      <c r="P171" s="254"/>
      <c r="Q171" s="254"/>
      <c r="R171" s="401"/>
      <c r="S171" s="255"/>
      <c r="T171" s="256"/>
    </row>
    <row r="172" spans="1:252" s="403" customFormat="1" x14ac:dyDescent="0.3">
      <c r="A172" s="258"/>
      <c r="B172" s="392" t="s">
        <v>203</v>
      </c>
      <c r="C172" s="362"/>
      <c r="D172" s="362"/>
      <c r="E172" s="362"/>
      <c r="F172" s="362"/>
      <c r="G172" s="362"/>
      <c r="H172" s="362"/>
      <c r="I172" s="362"/>
      <c r="J172" s="362"/>
      <c r="K172" s="362"/>
      <c r="L172" s="362"/>
      <c r="M172" s="362"/>
      <c r="N172" s="362"/>
      <c r="O172" s="362"/>
      <c r="P172" s="362"/>
      <c r="Q172" s="362"/>
      <c r="R172" s="402"/>
      <c r="S172" s="261"/>
      <c r="T172" s="256"/>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row>
    <row r="173" spans="1:252" s="404" customFormat="1" x14ac:dyDescent="0.3">
      <c r="A173" s="300"/>
      <c r="B173" s="293" t="s">
        <v>141</v>
      </c>
      <c r="C173" s="293"/>
      <c r="D173" s="293"/>
      <c r="E173" s="293"/>
      <c r="F173" s="293"/>
      <c r="G173" s="293"/>
      <c r="H173" s="293"/>
      <c r="I173" s="293"/>
      <c r="J173" s="293"/>
      <c r="K173" s="293"/>
      <c r="L173" s="293"/>
      <c r="M173" s="293"/>
      <c r="N173" s="293"/>
      <c r="O173" s="293"/>
      <c r="P173" s="293"/>
      <c r="Q173" s="293"/>
      <c r="R173" s="361">
        <f>+'June 19'!R173</f>
        <v>326</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4" customFormat="1" x14ac:dyDescent="0.3">
      <c r="A174" s="300"/>
      <c r="B174" s="293" t="s">
        <v>282</v>
      </c>
      <c r="C174" s="293"/>
      <c r="D174" s="293"/>
      <c r="E174" s="293"/>
      <c r="F174" s="293"/>
      <c r="G174" s="293"/>
      <c r="H174" s="293"/>
      <c r="I174" s="293"/>
      <c r="J174" s="293"/>
      <c r="K174" s="293"/>
      <c r="L174" s="293"/>
      <c r="M174" s="293"/>
      <c r="N174" s="293"/>
      <c r="O174" s="293"/>
      <c r="P174" s="293"/>
      <c r="Q174" s="293"/>
      <c r="R174" s="361">
        <v>0</v>
      </c>
      <c r="S174" s="296"/>
      <c r="T174" s="273"/>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274"/>
      <c r="BO174" s="274"/>
      <c r="BP174" s="274"/>
      <c r="BQ174" s="274"/>
      <c r="BR174" s="274"/>
      <c r="BS174" s="274"/>
      <c r="BT174" s="274"/>
      <c r="BU174" s="274"/>
      <c r="BV174" s="274"/>
      <c r="BW174" s="274"/>
      <c r="BX174" s="274"/>
      <c r="BY174" s="274"/>
      <c r="BZ174" s="274"/>
      <c r="CA174" s="274"/>
      <c r="CB174" s="274"/>
      <c r="CC174" s="274"/>
      <c r="CD174" s="274"/>
      <c r="CE174" s="274"/>
      <c r="CF174" s="274"/>
      <c r="CG174" s="274"/>
      <c r="CH174" s="274"/>
      <c r="CI174" s="274"/>
      <c r="CJ174" s="274"/>
      <c r="CK174" s="274"/>
      <c r="CL174" s="274"/>
      <c r="CM174" s="274"/>
      <c r="CN174" s="274"/>
      <c r="CO174" s="274"/>
      <c r="CP174" s="274"/>
      <c r="CQ174" s="274"/>
      <c r="CR174" s="274"/>
      <c r="CS174" s="274"/>
      <c r="CT174" s="274"/>
      <c r="CU174" s="274"/>
      <c r="CV174" s="274"/>
      <c r="CW174" s="274"/>
      <c r="CX174" s="274"/>
      <c r="CY174" s="274"/>
      <c r="CZ174" s="274"/>
      <c r="DA174" s="274"/>
      <c r="DB174" s="274"/>
      <c r="DC174" s="274"/>
      <c r="DD174" s="274"/>
      <c r="DE174" s="274"/>
      <c r="DF174" s="274"/>
      <c r="DG174" s="274"/>
      <c r="DH174" s="274"/>
      <c r="DI174" s="274"/>
      <c r="DJ174" s="274"/>
      <c r="DK174" s="274"/>
      <c r="DL174" s="274"/>
      <c r="DM174" s="274"/>
      <c r="DN174" s="274"/>
      <c r="DO174" s="274"/>
      <c r="DP174" s="274"/>
      <c r="DQ174" s="274"/>
      <c r="DR174" s="274"/>
      <c r="DS174" s="274"/>
      <c r="DT174" s="274"/>
      <c r="DU174" s="274"/>
      <c r="DV174" s="274"/>
      <c r="DW174" s="274"/>
      <c r="DX174" s="274"/>
      <c r="DY174" s="274"/>
      <c r="DZ174" s="274"/>
      <c r="EA174" s="274"/>
      <c r="EB174" s="274"/>
      <c r="EC174" s="274"/>
      <c r="ED174" s="274"/>
      <c r="EE174" s="274"/>
      <c r="EF174" s="274"/>
      <c r="EG174" s="274"/>
      <c r="EH174" s="274"/>
      <c r="EI174" s="274"/>
      <c r="EJ174" s="274"/>
      <c r="EK174" s="274"/>
      <c r="EL174" s="274"/>
      <c r="EM174" s="274"/>
      <c r="EN174" s="274"/>
      <c r="EO174" s="274"/>
      <c r="EP174" s="274"/>
      <c r="EQ174" s="274"/>
      <c r="ER174" s="274"/>
      <c r="ES174" s="274"/>
      <c r="ET174" s="274"/>
      <c r="EU174" s="274"/>
      <c r="EV174" s="274"/>
      <c r="EW174" s="274"/>
      <c r="EX174" s="274"/>
      <c r="EY174" s="274"/>
      <c r="EZ174" s="274"/>
      <c r="FA174" s="274"/>
      <c r="FB174" s="274"/>
      <c r="FC174" s="274"/>
      <c r="FD174" s="274"/>
      <c r="FE174" s="274"/>
      <c r="FF174" s="274"/>
      <c r="FG174" s="274"/>
      <c r="FH174" s="274"/>
      <c r="FI174" s="274"/>
      <c r="FJ174" s="274"/>
      <c r="FK174" s="274"/>
      <c r="FL174" s="274"/>
      <c r="FM174" s="274"/>
      <c r="FN174" s="274"/>
      <c r="FO174" s="274"/>
      <c r="FP174" s="274"/>
      <c r="FQ174" s="274"/>
      <c r="FR174" s="274"/>
      <c r="FS174" s="274"/>
      <c r="FT174" s="274"/>
      <c r="FU174" s="274"/>
      <c r="FV174" s="274"/>
      <c r="FW174" s="274"/>
      <c r="FX174" s="274"/>
      <c r="FY174" s="274"/>
      <c r="FZ174" s="274"/>
      <c r="GA174" s="274"/>
      <c r="GB174" s="274"/>
      <c r="GC174" s="274"/>
      <c r="GD174" s="274"/>
      <c r="GE174" s="274"/>
      <c r="GF174" s="274"/>
      <c r="GG174" s="274"/>
      <c r="GH174" s="274"/>
      <c r="GI174" s="274"/>
      <c r="GJ174" s="274"/>
      <c r="GK174" s="274"/>
      <c r="GL174" s="274"/>
      <c r="GM174" s="274"/>
      <c r="GN174" s="274"/>
      <c r="GO174" s="274"/>
      <c r="GP174" s="274"/>
      <c r="GQ174" s="274"/>
      <c r="GR174" s="274"/>
      <c r="GS174" s="274"/>
      <c r="GT174" s="274"/>
      <c r="GU174" s="274"/>
      <c r="GV174" s="274"/>
      <c r="GW174" s="274"/>
      <c r="GX174" s="274"/>
      <c r="GY174" s="274"/>
      <c r="GZ174" s="274"/>
      <c r="HA174" s="274"/>
      <c r="HB174" s="274"/>
      <c r="HC174" s="274"/>
      <c r="HD174" s="274"/>
      <c r="HE174" s="274"/>
      <c r="HF174" s="274"/>
      <c r="HG174" s="274"/>
      <c r="HH174" s="274"/>
      <c r="HI174" s="274"/>
      <c r="HJ174" s="274"/>
      <c r="HK174" s="274"/>
      <c r="HL174" s="274"/>
      <c r="HM174" s="274"/>
      <c r="HN174" s="274"/>
      <c r="HO174" s="274"/>
      <c r="HP174" s="274"/>
      <c r="HQ174" s="274"/>
      <c r="HR174" s="274"/>
      <c r="HS174" s="274"/>
      <c r="HT174" s="274"/>
      <c r="HU174" s="274"/>
      <c r="HV174" s="274"/>
      <c r="HW174" s="274"/>
      <c r="HX174" s="274"/>
      <c r="HY174" s="274"/>
      <c r="HZ174" s="274"/>
      <c r="IA174" s="274"/>
      <c r="IB174" s="274"/>
      <c r="IC174" s="274"/>
      <c r="ID174" s="274"/>
      <c r="IE174" s="274"/>
      <c r="IF174" s="274"/>
      <c r="IG174" s="274"/>
      <c r="IH174" s="274"/>
      <c r="II174" s="274"/>
      <c r="IJ174" s="274"/>
      <c r="IK174" s="274"/>
      <c r="IL174" s="274"/>
      <c r="IM174" s="274"/>
      <c r="IN174" s="274"/>
      <c r="IO174" s="274"/>
      <c r="IP174" s="274"/>
      <c r="IQ174" s="274"/>
      <c r="IR174" s="274"/>
    </row>
    <row r="175" spans="1:252" s="404" customFormat="1" x14ac:dyDescent="0.3">
      <c r="A175" s="300"/>
      <c r="B175" s="293" t="s">
        <v>144</v>
      </c>
      <c r="C175" s="293"/>
      <c r="D175" s="293"/>
      <c r="E175" s="293"/>
      <c r="F175" s="293"/>
      <c r="G175" s="293"/>
      <c r="H175" s="293"/>
      <c r="I175" s="293"/>
      <c r="J175" s="293"/>
      <c r="K175" s="293"/>
      <c r="L175" s="293"/>
      <c r="M175" s="293"/>
      <c r="N175" s="293"/>
      <c r="O175" s="293"/>
      <c r="P175" s="293"/>
      <c r="Q175" s="293"/>
      <c r="R175" s="361">
        <f>+R92</f>
        <v>39</v>
      </c>
      <c r="S175" s="296"/>
      <c r="T175" s="273"/>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c r="IE175" s="274"/>
      <c r="IF175" s="274"/>
      <c r="IG175" s="274"/>
      <c r="IH175" s="274"/>
      <c r="II175" s="274"/>
      <c r="IJ175" s="274"/>
      <c r="IK175" s="274"/>
      <c r="IL175" s="274"/>
      <c r="IM175" s="274"/>
      <c r="IN175" s="274"/>
      <c r="IO175" s="274"/>
      <c r="IP175" s="274"/>
      <c r="IQ175" s="274"/>
      <c r="IR175" s="274"/>
    </row>
    <row r="176" spans="1:252" s="404" customFormat="1" x14ac:dyDescent="0.3">
      <c r="A176" s="300"/>
      <c r="B176" s="293" t="s">
        <v>142</v>
      </c>
      <c r="C176" s="293"/>
      <c r="D176" s="293"/>
      <c r="E176" s="293"/>
      <c r="F176" s="293"/>
      <c r="G176" s="293"/>
      <c r="H176" s="293"/>
      <c r="I176" s="293"/>
      <c r="J176" s="293"/>
      <c r="K176" s="293"/>
      <c r="L176" s="293"/>
      <c r="M176" s="293"/>
      <c r="N176" s="293"/>
      <c r="O176" s="293"/>
      <c r="P176" s="293"/>
      <c r="Q176" s="293"/>
      <c r="R176" s="361">
        <f>+R173+R174-R175</f>
        <v>287</v>
      </c>
      <c r="S176" s="296"/>
      <c r="T176" s="273"/>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c r="IE176" s="274"/>
      <c r="IF176" s="274"/>
      <c r="IG176" s="274"/>
      <c r="IH176" s="274"/>
      <c r="II176" s="274"/>
      <c r="IJ176" s="274"/>
      <c r="IK176" s="274"/>
      <c r="IL176" s="274"/>
      <c r="IM176" s="274"/>
      <c r="IN176" s="274"/>
      <c r="IO176" s="274"/>
      <c r="IP176" s="274"/>
      <c r="IQ176" s="274"/>
      <c r="IR176" s="274"/>
    </row>
    <row r="177" spans="1:252" s="406" customFormat="1" ht="16.2" thickBot="1" x14ac:dyDescent="0.35">
      <c r="A177" s="405"/>
      <c r="B177" s="362"/>
      <c r="C177" s="362"/>
      <c r="D177" s="362"/>
      <c r="E177" s="362"/>
      <c r="F177" s="362"/>
      <c r="G177" s="362"/>
      <c r="H177" s="362"/>
      <c r="I177" s="362"/>
      <c r="J177" s="362"/>
      <c r="K177" s="362"/>
      <c r="L177" s="362"/>
      <c r="M177" s="362"/>
      <c r="N177" s="362"/>
      <c r="O177" s="362"/>
      <c r="P177" s="362"/>
      <c r="Q177" s="362"/>
      <c r="R177" s="393"/>
      <c r="S177" s="261"/>
      <c r="T177" s="256"/>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row>
    <row r="178" spans="1:252" s="407" customFormat="1" x14ac:dyDescent="0.3">
      <c r="A178" s="252"/>
      <c r="B178" s="254"/>
      <c r="C178" s="254"/>
      <c r="D178" s="254"/>
      <c r="E178" s="254"/>
      <c r="F178" s="254"/>
      <c r="G178" s="254"/>
      <c r="H178" s="254"/>
      <c r="I178" s="254"/>
      <c r="J178" s="254"/>
      <c r="K178" s="254"/>
      <c r="L178" s="254"/>
      <c r="M178" s="254"/>
      <c r="N178" s="254"/>
      <c r="O178" s="254"/>
      <c r="P178" s="254"/>
      <c r="Q178" s="254"/>
      <c r="R178" s="401"/>
      <c r="S178" s="255"/>
      <c r="T178" s="256"/>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row>
    <row r="179" spans="1:252" x14ac:dyDescent="0.3">
      <c r="A179" s="258"/>
      <c r="B179" s="392" t="s">
        <v>44</v>
      </c>
      <c r="C179" s="260"/>
      <c r="D179" s="260"/>
      <c r="E179" s="260"/>
      <c r="F179" s="260"/>
      <c r="G179" s="260"/>
      <c r="H179" s="260"/>
      <c r="I179" s="260"/>
      <c r="J179" s="260"/>
      <c r="K179" s="260"/>
      <c r="L179" s="260"/>
      <c r="M179" s="260"/>
      <c r="N179" s="260"/>
      <c r="O179" s="260"/>
      <c r="P179" s="260"/>
      <c r="Q179" s="260"/>
      <c r="R179" s="354"/>
      <c r="S179" s="261"/>
      <c r="T179" s="256"/>
    </row>
    <row r="180" spans="1:252" x14ac:dyDescent="0.3">
      <c r="A180" s="258"/>
      <c r="B180" s="391"/>
      <c r="C180" s="260"/>
      <c r="D180" s="260"/>
      <c r="E180" s="260"/>
      <c r="F180" s="260"/>
      <c r="G180" s="260"/>
      <c r="H180" s="260"/>
      <c r="I180" s="260"/>
      <c r="J180" s="260"/>
      <c r="K180" s="260"/>
      <c r="L180" s="260"/>
      <c r="M180" s="260"/>
      <c r="N180" s="260"/>
      <c r="O180" s="260"/>
      <c r="P180" s="260"/>
      <c r="Q180" s="260"/>
      <c r="R180" s="354"/>
      <c r="S180" s="261"/>
      <c r="T180" s="256"/>
    </row>
    <row r="181" spans="1:252" s="274" customFormat="1" x14ac:dyDescent="0.3">
      <c r="A181" s="300"/>
      <c r="B181" s="293" t="s">
        <v>171</v>
      </c>
      <c r="C181" s="293"/>
      <c r="D181" s="293"/>
      <c r="E181" s="293"/>
      <c r="F181" s="293"/>
      <c r="G181" s="293"/>
      <c r="H181" s="293"/>
      <c r="I181" s="293"/>
      <c r="J181" s="293"/>
      <c r="K181" s="293"/>
      <c r="L181" s="293"/>
      <c r="M181" s="293"/>
      <c r="N181" s="293"/>
      <c r="O181" s="293"/>
      <c r="P181" s="293"/>
      <c r="Q181" s="293"/>
      <c r="R181" s="361">
        <f>+R67</f>
        <v>40488</v>
      </c>
      <c r="S181" s="296"/>
      <c r="T181" s="273"/>
    </row>
    <row r="182" spans="1:252" s="274" customFormat="1" x14ac:dyDescent="0.3">
      <c r="A182" s="300"/>
      <c r="B182" s="293" t="s">
        <v>172</v>
      </c>
      <c r="C182" s="293"/>
      <c r="D182" s="293"/>
      <c r="E182" s="293"/>
      <c r="F182" s="293"/>
      <c r="G182" s="293"/>
      <c r="H182" s="293"/>
      <c r="I182" s="293"/>
      <c r="J182" s="293"/>
      <c r="K182" s="293"/>
      <c r="L182" s="293"/>
      <c r="M182" s="293"/>
      <c r="N182" s="293"/>
      <c r="O182" s="293"/>
      <c r="P182" s="293"/>
      <c r="Q182" s="293"/>
      <c r="R182" s="361">
        <f>+R77</f>
        <v>0</v>
      </c>
      <c r="S182" s="296"/>
      <c r="T182" s="273"/>
    </row>
    <row r="183" spans="1:252" s="274" customFormat="1" x14ac:dyDescent="0.3">
      <c r="A183" s="300"/>
      <c r="B183" s="293" t="s">
        <v>215</v>
      </c>
      <c r="C183" s="293"/>
      <c r="D183" s="293"/>
      <c r="E183" s="293"/>
      <c r="F183" s="293"/>
      <c r="G183" s="293"/>
      <c r="H183" s="293"/>
      <c r="I183" s="293"/>
      <c r="J183" s="293"/>
      <c r="K183" s="293"/>
      <c r="L183" s="293"/>
      <c r="M183" s="293"/>
      <c r="N183" s="293"/>
      <c r="O183" s="293"/>
      <c r="P183" s="293"/>
      <c r="Q183" s="293"/>
      <c r="R183" s="361">
        <f>+R78</f>
        <v>0</v>
      </c>
      <c r="S183" s="296"/>
      <c r="T183" s="273"/>
    </row>
    <row r="184" spans="1:252" s="274" customFormat="1" x14ac:dyDescent="0.3">
      <c r="A184" s="300"/>
      <c r="B184" s="293" t="s">
        <v>126</v>
      </c>
      <c r="C184" s="293"/>
      <c r="D184" s="293"/>
      <c r="E184" s="293"/>
      <c r="F184" s="293"/>
      <c r="G184" s="293"/>
      <c r="H184" s="293"/>
      <c r="I184" s="293"/>
      <c r="J184" s="293"/>
      <c r="K184" s="293"/>
      <c r="L184" s="293"/>
      <c r="M184" s="293"/>
      <c r="N184" s="293"/>
      <c r="O184" s="293"/>
      <c r="P184" s="293"/>
      <c r="Q184" s="293"/>
      <c r="R184" s="361">
        <f>+R181+R182+R183</f>
        <v>40488</v>
      </c>
      <c r="S184" s="296"/>
      <c r="T184" s="273"/>
    </row>
    <row r="185" spans="1:252" s="274" customFormat="1" x14ac:dyDescent="0.3">
      <c r="A185" s="300"/>
      <c r="B185" s="293" t="s">
        <v>45</v>
      </c>
      <c r="C185" s="293"/>
      <c r="D185" s="293"/>
      <c r="E185" s="293"/>
      <c r="F185" s="293"/>
      <c r="G185" s="293"/>
      <c r="H185" s="293"/>
      <c r="I185" s="293"/>
      <c r="J185" s="293"/>
      <c r="K185" s="293"/>
      <c r="L185" s="293"/>
      <c r="M185" s="293"/>
      <c r="N185" s="293"/>
      <c r="O185" s="293"/>
      <c r="P185" s="293"/>
      <c r="Q185" s="293"/>
      <c r="R185" s="361">
        <f>R80</f>
        <v>40488</v>
      </c>
      <c r="S185" s="296"/>
      <c r="T185" s="273"/>
    </row>
    <row r="186" spans="1:252" ht="16.2" thickBot="1" x14ac:dyDescent="0.35">
      <c r="A186" s="258"/>
      <c r="B186" s="362"/>
      <c r="C186" s="362"/>
      <c r="D186" s="362"/>
      <c r="E186" s="362"/>
      <c r="F186" s="362"/>
      <c r="G186" s="362"/>
      <c r="H186" s="362"/>
      <c r="I186" s="362"/>
      <c r="J186" s="362"/>
      <c r="K186" s="362"/>
      <c r="L186" s="362"/>
      <c r="M186" s="362"/>
      <c r="N186" s="362"/>
      <c r="O186" s="362"/>
      <c r="P186" s="362"/>
      <c r="Q186" s="362"/>
      <c r="R186" s="393"/>
      <c r="S186" s="261"/>
      <c r="T186" s="256"/>
    </row>
    <row r="187" spans="1:252" x14ac:dyDescent="0.3">
      <c r="A187" s="252"/>
      <c r="B187" s="254"/>
      <c r="C187" s="254"/>
      <c r="D187" s="254"/>
      <c r="E187" s="254"/>
      <c r="F187" s="254"/>
      <c r="G187" s="254"/>
      <c r="H187" s="254"/>
      <c r="I187" s="254"/>
      <c r="J187" s="254"/>
      <c r="K187" s="254"/>
      <c r="L187" s="254"/>
      <c r="M187" s="254"/>
      <c r="N187" s="254"/>
      <c r="O187" s="254"/>
      <c r="P187" s="254"/>
      <c r="Q187" s="254"/>
      <c r="R187" s="401"/>
      <c r="S187" s="255"/>
      <c r="T187" s="256"/>
    </row>
    <row r="188" spans="1:252" s="324" customFormat="1" x14ac:dyDescent="0.3">
      <c r="A188" s="355"/>
      <c r="B188" s="392" t="s">
        <v>46</v>
      </c>
      <c r="C188" s="408"/>
      <c r="D188" s="409"/>
      <c r="E188" s="409"/>
      <c r="F188" s="409"/>
      <c r="G188" s="409"/>
      <c r="H188" s="409"/>
      <c r="I188" s="409"/>
      <c r="J188" s="409"/>
      <c r="K188" s="409"/>
      <c r="L188" s="409"/>
      <c r="M188" s="409"/>
      <c r="N188" s="409"/>
      <c r="O188" s="409" t="s">
        <v>82</v>
      </c>
      <c r="P188" s="409" t="s">
        <v>170</v>
      </c>
      <c r="Q188" s="263"/>
      <c r="R188" s="410" t="s">
        <v>94</v>
      </c>
      <c r="S188" s="411"/>
      <c r="T188" s="323"/>
    </row>
    <row r="189" spans="1:252" s="274" customFormat="1" x14ac:dyDescent="0.3">
      <c r="A189" s="300"/>
      <c r="B189" s="293" t="s">
        <v>47</v>
      </c>
      <c r="C189" s="293"/>
      <c r="D189" s="293"/>
      <c r="E189" s="293"/>
      <c r="F189" s="293"/>
      <c r="G189" s="293"/>
      <c r="H189" s="293"/>
      <c r="I189" s="293"/>
      <c r="J189" s="293"/>
      <c r="K189" s="293"/>
      <c r="L189" s="293"/>
      <c r="M189" s="293"/>
      <c r="N189" s="293"/>
      <c r="O189" s="361">
        <f>+R31*0.08</f>
        <v>28008.880000000001</v>
      </c>
      <c r="P189" s="332"/>
      <c r="Q189" s="293"/>
      <c r="R189" s="361"/>
      <c r="S189" s="296"/>
      <c r="T189" s="273"/>
    </row>
    <row r="190" spans="1:252" s="274" customFormat="1" x14ac:dyDescent="0.3">
      <c r="A190" s="300"/>
      <c r="B190" s="293" t="s">
        <v>48</v>
      </c>
      <c r="C190" s="293"/>
      <c r="D190" s="293"/>
      <c r="E190" s="293"/>
      <c r="F190" s="293"/>
      <c r="G190" s="293"/>
      <c r="H190" s="293"/>
      <c r="I190" s="293"/>
      <c r="J190" s="293"/>
      <c r="K190" s="293"/>
      <c r="L190" s="293"/>
      <c r="M190" s="293"/>
      <c r="N190" s="293"/>
      <c r="O190" s="361">
        <f>+'June 19'!O189</f>
        <v>497</v>
      </c>
      <c r="P190" s="361">
        <f>+'June 19'!P189</f>
        <v>727</v>
      </c>
      <c r="Q190" s="293"/>
      <c r="R190" s="361">
        <f>O190+P190</f>
        <v>1224</v>
      </c>
      <c r="S190" s="296"/>
      <c r="T190" s="273"/>
    </row>
    <row r="191" spans="1:252" s="274" customFormat="1" x14ac:dyDescent="0.3">
      <c r="A191" s="300"/>
      <c r="B191" s="293" t="s">
        <v>49</v>
      </c>
      <c r="C191" s="293"/>
      <c r="D191" s="293"/>
      <c r="E191" s="293"/>
      <c r="F191" s="293"/>
      <c r="G191" s="293"/>
      <c r="H191" s="293"/>
      <c r="I191" s="293"/>
      <c r="J191" s="293"/>
      <c r="K191" s="293"/>
      <c r="L191" s="293"/>
      <c r="M191" s="293"/>
      <c r="N191" s="293"/>
      <c r="O191" s="360">
        <v>0</v>
      </c>
      <c r="P191" s="360">
        <v>0</v>
      </c>
      <c r="Q191" s="293"/>
      <c r="R191" s="361">
        <f>O191+P191</f>
        <v>0</v>
      </c>
      <c r="S191" s="296"/>
      <c r="T191" s="273"/>
    </row>
    <row r="192" spans="1:252" s="274" customFormat="1" x14ac:dyDescent="0.3">
      <c r="A192" s="300"/>
      <c r="B192" s="293" t="s">
        <v>50</v>
      </c>
      <c r="C192" s="293"/>
      <c r="D192" s="293"/>
      <c r="E192" s="293"/>
      <c r="F192" s="293"/>
      <c r="G192" s="293"/>
      <c r="H192" s="293"/>
      <c r="I192" s="293"/>
      <c r="J192" s="293"/>
      <c r="K192" s="293"/>
      <c r="L192" s="293"/>
      <c r="M192" s="293"/>
      <c r="N192" s="293"/>
      <c r="O192" s="361">
        <f>O190+O191</f>
        <v>497</v>
      </c>
      <c r="P192" s="361">
        <f>P191+P190</f>
        <v>727</v>
      </c>
      <c r="Q192" s="293"/>
      <c r="R192" s="361">
        <f>O192+P192</f>
        <v>1224</v>
      </c>
      <c r="S192" s="296"/>
      <c r="T192" s="273"/>
    </row>
    <row r="193" spans="1:20" s="274" customFormat="1" x14ac:dyDescent="0.3">
      <c r="A193" s="300"/>
      <c r="B193" s="293" t="s">
        <v>51</v>
      </c>
      <c r="C193" s="293"/>
      <c r="D193" s="293"/>
      <c r="E193" s="293"/>
      <c r="F193" s="293"/>
      <c r="G193" s="293"/>
      <c r="H193" s="293"/>
      <c r="I193" s="293"/>
      <c r="J193" s="293"/>
      <c r="K193" s="293"/>
      <c r="L193" s="293"/>
      <c r="M193" s="293"/>
      <c r="N193" s="293"/>
      <c r="O193" s="361">
        <f>O189-O192-P192</f>
        <v>26784.880000000001</v>
      </c>
      <c r="P193" s="332"/>
      <c r="Q193" s="293"/>
      <c r="R193" s="361"/>
      <c r="S193" s="296"/>
      <c r="T193" s="273"/>
    </row>
    <row r="194" spans="1:20" ht="16.2" thickBot="1" x14ac:dyDescent="0.35">
      <c r="A194" s="258"/>
      <c r="B194" s="362"/>
      <c r="C194" s="362"/>
      <c r="D194" s="362"/>
      <c r="E194" s="362"/>
      <c r="F194" s="362"/>
      <c r="G194" s="362"/>
      <c r="H194" s="362"/>
      <c r="I194" s="362"/>
      <c r="J194" s="362"/>
      <c r="K194" s="362"/>
      <c r="L194" s="362"/>
      <c r="M194" s="362"/>
      <c r="N194" s="362"/>
      <c r="O194" s="362"/>
      <c r="P194" s="362"/>
      <c r="Q194" s="362"/>
      <c r="R194" s="393"/>
      <c r="S194" s="261"/>
      <c r="T194" s="256"/>
    </row>
    <row r="195" spans="1:20" x14ac:dyDescent="0.3">
      <c r="A195" s="252"/>
      <c r="B195" s="254"/>
      <c r="C195" s="254"/>
      <c r="D195" s="254"/>
      <c r="E195" s="254"/>
      <c r="F195" s="254"/>
      <c r="G195" s="254"/>
      <c r="H195" s="254"/>
      <c r="I195" s="254"/>
      <c r="J195" s="254"/>
      <c r="K195" s="254"/>
      <c r="L195" s="254"/>
      <c r="M195" s="254"/>
      <c r="N195" s="254"/>
      <c r="O195" s="254"/>
      <c r="P195" s="254"/>
      <c r="Q195" s="254"/>
      <c r="R195" s="401"/>
      <c r="S195" s="255"/>
      <c r="T195" s="256"/>
    </row>
    <row r="196" spans="1:20" x14ac:dyDescent="0.3">
      <c r="A196" s="258"/>
      <c r="B196" s="392" t="s">
        <v>52</v>
      </c>
      <c r="C196" s="260"/>
      <c r="D196" s="260"/>
      <c r="E196" s="260"/>
      <c r="F196" s="260"/>
      <c r="G196" s="260"/>
      <c r="H196" s="260"/>
      <c r="I196" s="260"/>
      <c r="J196" s="260"/>
      <c r="K196" s="260"/>
      <c r="L196" s="260"/>
      <c r="M196" s="260"/>
      <c r="N196" s="260"/>
      <c r="O196" s="260"/>
      <c r="P196" s="260"/>
      <c r="Q196" s="260"/>
      <c r="R196" s="412"/>
      <c r="S196" s="261"/>
      <c r="T196" s="256"/>
    </row>
    <row r="197" spans="1:20" s="274" customFormat="1" x14ac:dyDescent="0.3">
      <c r="A197" s="300"/>
      <c r="B197" s="293" t="s">
        <v>53</v>
      </c>
      <c r="C197" s="293"/>
      <c r="D197" s="293"/>
      <c r="E197" s="293"/>
      <c r="F197" s="293"/>
      <c r="G197" s="293"/>
      <c r="H197" s="293"/>
      <c r="I197" s="293"/>
      <c r="J197" s="293"/>
      <c r="K197" s="293"/>
      <c r="L197" s="293"/>
      <c r="M197" s="293"/>
      <c r="N197" s="293"/>
      <c r="O197" s="293"/>
      <c r="P197" s="293"/>
      <c r="Q197" s="293"/>
      <c r="R197" s="413">
        <f>(R100+R102+R103+R104+R105)/-(R106+R107)</f>
        <v>73.75</v>
      </c>
      <c r="S197" s="296" t="s">
        <v>95</v>
      </c>
      <c r="T197" s="273"/>
    </row>
    <row r="198" spans="1:20" s="274" customFormat="1" x14ac:dyDescent="0.3">
      <c r="A198" s="300"/>
      <c r="B198" s="293" t="s">
        <v>54</v>
      </c>
      <c r="C198" s="293"/>
      <c r="D198" s="293"/>
      <c r="E198" s="293"/>
      <c r="F198" s="293"/>
      <c r="G198" s="293"/>
      <c r="H198" s="293"/>
      <c r="I198" s="293"/>
      <c r="J198" s="293"/>
      <c r="K198" s="293"/>
      <c r="L198" s="293"/>
      <c r="M198" s="293"/>
      <c r="N198" s="293"/>
      <c r="O198" s="293"/>
      <c r="P198" s="293"/>
      <c r="Q198" s="293"/>
      <c r="R198" s="414">
        <v>2.73</v>
      </c>
      <c r="S198" s="296" t="s">
        <v>95</v>
      </c>
      <c r="T198" s="273"/>
    </row>
    <row r="199" spans="1:20" s="274" customFormat="1" x14ac:dyDescent="0.3">
      <c r="A199" s="300"/>
      <c r="B199" s="293" t="s">
        <v>182</v>
      </c>
      <c r="C199" s="293"/>
      <c r="D199" s="293"/>
      <c r="E199" s="293"/>
      <c r="F199" s="293"/>
      <c r="G199" s="293"/>
      <c r="H199" s="293"/>
      <c r="I199" s="293"/>
      <c r="J199" s="293"/>
      <c r="K199" s="293"/>
      <c r="L199" s="293"/>
      <c r="M199" s="293"/>
      <c r="N199" s="293"/>
      <c r="O199" s="293"/>
      <c r="P199" s="293"/>
      <c r="Q199" s="293"/>
      <c r="R199" s="413">
        <f>(R100+R102+R103+R104+R105+R106+R107)/-(R108)</f>
        <v>3.7070063694267517</v>
      </c>
      <c r="S199" s="296" t="s">
        <v>95</v>
      </c>
      <c r="T199" s="273"/>
    </row>
    <row r="200" spans="1:20" s="274" customFormat="1" x14ac:dyDescent="0.3">
      <c r="A200" s="300"/>
      <c r="B200" s="293" t="s">
        <v>183</v>
      </c>
      <c r="C200" s="293"/>
      <c r="D200" s="293"/>
      <c r="E200" s="293"/>
      <c r="F200" s="293"/>
      <c r="G200" s="293"/>
      <c r="H200" s="293"/>
      <c r="I200" s="293"/>
      <c r="J200" s="293"/>
      <c r="K200" s="293"/>
      <c r="L200" s="293"/>
      <c r="M200" s="293"/>
      <c r="N200" s="293"/>
      <c r="O200" s="293"/>
      <c r="P200" s="293"/>
      <c r="Q200" s="293"/>
      <c r="R200" s="414">
        <v>9.73</v>
      </c>
      <c r="S200" s="296" t="s">
        <v>95</v>
      </c>
      <c r="T200" s="273"/>
    </row>
    <row r="201" spans="1:20" s="274" customFormat="1" x14ac:dyDescent="0.3">
      <c r="A201" s="300"/>
      <c r="B201" s="293" t="s">
        <v>184</v>
      </c>
      <c r="C201" s="293"/>
      <c r="D201" s="293"/>
      <c r="E201" s="293"/>
      <c r="F201" s="293"/>
      <c r="G201" s="293"/>
      <c r="H201" s="293"/>
      <c r="I201" s="293"/>
      <c r="J201" s="293"/>
      <c r="K201" s="293"/>
      <c r="L201" s="293"/>
      <c r="M201" s="293"/>
      <c r="N201" s="293"/>
      <c r="O201" s="293"/>
      <c r="P201" s="293"/>
      <c r="Q201" s="293"/>
      <c r="R201" s="413">
        <f>(R100+R102+R103+R104+R105+R106+R107+R108)/-(R109)</f>
        <v>1.6732283464566928</v>
      </c>
      <c r="S201" s="296" t="s">
        <v>95</v>
      </c>
      <c r="T201" s="273"/>
    </row>
    <row r="202" spans="1:20" s="274" customFormat="1" x14ac:dyDescent="0.3">
      <c r="A202" s="300"/>
      <c r="B202" s="293" t="s">
        <v>185</v>
      </c>
      <c r="C202" s="293"/>
      <c r="D202" s="293"/>
      <c r="E202" s="293"/>
      <c r="F202" s="293"/>
      <c r="G202" s="293"/>
      <c r="H202" s="293"/>
      <c r="I202" s="293"/>
      <c r="J202" s="293"/>
      <c r="K202" s="293"/>
      <c r="L202" s="293"/>
      <c r="M202" s="293"/>
      <c r="N202" s="293"/>
      <c r="O202" s="293"/>
      <c r="P202" s="293"/>
      <c r="Q202" s="293"/>
      <c r="R202" s="414">
        <v>5.32</v>
      </c>
      <c r="S202" s="296" t="s">
        <v>95</v>
      </c>
      <c r="T202" s="273"/>
    </row>
    <row r="203" spans="1:20" s="274" customFormat="1" x14ac:dyDescent="0.3">
      <c r="A203" s="300"/>
      <c r="B203" s="293" t="s">
        <v>272</v>
      </c>
      <c r="C203" s="293"/>
      <c r="D203" s="293"/>
      <c r="E203" s="293"/>
      <c r="F203" s="293"/>
      <c r="G203" s="293"/>
      <c r="H203" s="293"/>
      <c r="I203" s="293"/>
      <c r="J203" s="293"/>
      <c r="K203" s="293"/>
      <c r="L203" s="293"/>
      <c r="M203" s="293"/>
      <c r="N203" s="293"/>
      <c r="O203" s="293"/>
      <c r="P203" s="293"/>
      <c r="Q203" s="293"/>
      <c r="R203" s="413">
        <f>(R100+R102+R103+R104+R105+R106+R107+R108+R109+R110+R111+R112+R113+R114)/-(R115)</f>
        <v>1.6421052631578947</v>
      </c>
      <c r="S203" s="296" t="s">
        <v>95</v>
      </c>
      <c r="T203" s="273"/>
    </row>
    <row r="204" spans="1:20" s="274" customFormat="1" x14ac:dyDescent="0.3">
      <c r="A204" s="300"/>
      <c r="B204" s="293" t="s">
        <v>273</v>
      </c>
      <c r="C204" s="293"/>
      <c r="D204" s="293"/>
      <c r="E204" s="293"/>
      <c r="F204" s="293"/>
      <c r="G204" s="293"/>
      <c r="H204" s="293"/>
      <c r="I204" s="293"/>
      <c r="J204" s="293"/>
      <c r="K204" s="293"/>
      <c r="L204" s="293"/>
      <c r="M204" s="293"/>
      <c r="N204" s="293"/>
      <c r="O204" s="293"/>
      <c r="P204" s="293"/>
      <c r="Q204" s="293"/>
      <c r="R204" s="414">
        <v>11.25</v>
      </c>
      <c r="S204" s="296" t="s">
        <v>95</v>
      </c>
      <c r="T204" s="273"/>
    </row>
    <row r="205" spans="1:20" s="274" customFormat="1" x14ac:dyDescent="0.3">
      <c r="A205" s="300"/>
      <c r="B205" s="293"/>
      <c r="C205" s="293"/>
      <c r="D205" s="293"/>
      <c r="E205" s="293"/>
      <c r="F205" s="293"/>
      <c r="G205" s="293"/>
      <c r="H205" s="293"/>
      <c r="I205" s="293"/>
      <c r="J205" s="293"/>
      <c r="K205" s="293"/>
      <c r="L205" s="293"/>
      <c r="M205" s="293"/>
      <c r="N205" s="293"/>
      <c r="O205" s="293"/>
      <c r="P205" s="293"/>
      <c r="Q205" s="293"/>
      <c r="R205" s="293"/>
      <c r="S205" s="296"/>
      <c r="T205" s="273"/>
    </row>
    <row r="206" spans="1:20" s="274" customFormat="1" x14ac:dyDescent="0.3">
      <c r="A206" s="269"/>
      <c r="B206" s="290"/>
      <c r="C206" s="290"/>
      <c r="D206" s="290"/>
      <c r="E206" s="290"/>
      <c r="F206" s="290"/>
      <c r="G206" s="290"/>
      <c r="H206" s="290"/>
      <c r="I206" s="290"/>
      <c r="J206" s="290"/>
      <c r="K206" s="290"/>
      <c r="L206" s="290"/>
      <c r="M206" s="290"/>
      <c r="N206" s="290"/>
      <c r="O206" s="290"/>
      <c r="P206" s="290"/>
      <c r="Q206" s="290"/>
      <c r="R206" s="290"/>
      <c r="S206" s="272"/>
      <c r="T206" s="273"/>
    </row>
    <row r="207" spans="1:20" s="274" customFormat="1" x14ac:dyDescent="0.3">
      <c r="A207" s="269"/>
      <c r="B207" s="271"/>
      <c r="C207" s="271"/>
      <c r="D207" s="271"/>
      <c r="E207" s="271"/>
      <c r="F207" s="271"/>
      <c r="G207" s="271"/>
      <c r="H207" s="271"/>
      <c r="I207" s="271"/>
      <c r="J207" s="271"/>
      <c r="K207" s="271"/>
      <c r="L207" s="271"/>
      <c r="M207" s="271"/>
      <c r="N207" s="271"/>
      <c r="O207" s="271"/>
      <c r="P207" s="271"/>
      <c r="Q207" s="271"/>
      <c r="R207" s="271"/>
      <c r="S207" s="272"/>
      <c r="T207" s="273"/>
    </row>
    <row r="208" spans="1:20" s="274" customFormat="1" ht="18.600000000000001" thickBot="1" x14ac:dyDescent="0.4">
      <c r="A208" s="346"/>
      <c r="B208" s="347" t="str">
        <f>B135</f>
        <v>PM24 INVESTOR REPORT QUARTER ENDING SEPTEMBER 2019</v>
      </c>
      <c r="C208" s="348"/>
      <c r="D208" s="348"/>
      <c r="E208" s="348"/>
      <c r="F208" s="348"/>
      <c r="G208" s="348"/>
      <c r="H208" s="348"/>
      <c r="I208" s="348"/>
      <c r="J208" s="348"/>
      <c r="K208" s="348"/>
      <c r="L208" s="348"/>
      <c r="M208" s="348"/>
      <c r="N208" s="348"/>
      <c r="O208" s="348"/>
      <c r="P208" s="348"/>
      <c r="Q208" s="348"/>
      <c r="R208" s="348"/>
      <c r="S208" s="350"/>
      <c r="T208" s="273"/>
    </row>
    <row r="209" spans="1:20" x14ac:dyDescent="0.3">
      <c r="A209" s="386"/>
      <c r="B209" s="387" t="s">
        <v>55</v>
      </c>
      <c r="C209" s="415"/>
      <c r="D209" s="416"/>
      <c r="E209" s="416"/>
      <c r="F209" s="416"/>
      <c r="G209" s="416"/>
      <c r="H209" s="416"/>
      <c r="I209" s="416"/>
      <c r="J209" s="416"/>
      <c r="K209" s="416"/>
      <c r="L209" s="416"/>
      <c r="M209" s="416"/>
      <c r="N209" s="416"/>
      <c r="O209" s="416"/>
      <c r="P209" s="416">
        <v>43738</v>
      </c>
      <c r="Q209" s="388"/>
      <c r="R209" s="388"/>
      <c r="S209" s="390"/>
      <c r="T209" s="256"/>
    </row>
    <row r="210" spans="1:20" x14ac:dyDescent="0.3">
      <c r="A210" s="417"/>
      <c r="B210" s="418"/>
      <c r="C210" s="419"/>
      <c r="D210" s="420"/>
      <c r="E210" s="420"/>
      <c r="F210" s="420"/>
      <c r="G210" s="420"/>
      <c r="H210" s="420"/>
      <c r="I210" s="420"/>
      <c r="J210" s="420"/>
      <c r="K210" s="420"/>
      <c r="L210" s="420"/>
      <c r="M210" s="420"/>
      <c r="N210" s="420"/>
      <c r="O210" s="420"/>
      <c r="P210" s="420"/>
      <c r="Q210" s="260"/>
      <c r="R210" s="260"/>
      <c r="S210" s="261"/>
      <c r="T210" s="256"/>
    </row>
    <row r="211" spans="1:20" s="274" customFormat="1" x14ac:dyDescent="0.3">
      <c r="A211" s="300"/>
      <c r="B211" s="293" t="s">
        <v>56</v>
      </c>
      <c r="C211" s="421"/>
      <c r="D211" s="336"/>
      <c r="E211" s="336"/>
      <c r="F211" s="336"/>
      <c r="G211" s="336"/>
      <c r="H211" s="336"/>
      <c r="I211" s="336"/>
      <c r="J211" s="336"/>
      <c r="K211" s="336"/>
      <c r="L211" s="336"/>
      <c r="M211" s="336"/>
      <c r="N211" s="336"/>
      <c r="O211" s="336"/>
      <c r="P211" s="328">
        <v>3.8129999999999997E-2</v>
      </c>
      <c r="Q211" s="293"/>
      <c r="R211" s="293"/>
      <c r="S211" s="296"/>
      <c r="T211" s="273"/>
    </row>
    <row r="212" spans="1:20" s="274" customFormat="1" x14ac:dyDescent="0.3">
      <c r="A212" s="300"/>
      <c r="B212" s="293" t="s">
        <v>158</v>
      </c>
      <c r="C212" s="421"/>
      <c r="D212" s="336"/>
      <c r="E212" s="336"/>
      <c r="F212" s="336"/>
      <c r="G212" s="336"/>
      <c r="H212" s="336"/>
      <c r="I212" s="336"/>
      <c r="J212" s="336"/>
      <c r="K212" s="336"/>
      <c r="L212" s="336"/>
      <c r="M212" s="336"/>
      <c r="N212" s="336"/>
      <c r="O212" s="336"/>
      <c r="P212" s="328">
        <v>2.4610284713705084E-2</v>
      </c>
      <c r="Q212" s="293"/>
      <c r="R212" s="293"/>
      <c r="S212" s="296"/>
      <c r="T212" s="273"/>
    </row>
    <row r="213" spans="1:20" s="274" customFormat="1" x14ac:dyDescent="0.3">
      <c r="A213" s="300"/>
      <c r="B213" s="293" t="s">
        <v>57</v>
      </c>
      <c r="C213" s="421"/>
      <c r="D213" s="336"/>
      <c r="E213" s="336"/>
      <c r="F213" s="336"/>
      <c r="G213" s="336"/>
      <c r="H213" s="336"/>
      <c r="I213" s="336"/>
      <c r="J213" s="336"/>
      <c r="K213" s="336"/>
      <c r="L213" s="336"/>
      <c r="M213" s="336"/>
      <c r="N213" s="336"/>
      <c r="O213" s="336"/>
      <c r="P213" s="328">
        <f>P211-P212</f>
        <v>1.3519715286294913E-2</v>
      </c>
      <c r="Q213" s="293"/>
      <c r="R213" s="293"/>
      <c r="S213" s="296"/>
      <c r="T213" s="273"/>
    </row>
    <row r="214" spans="1:20" s="274" customFormat="1" x14ac:dyDescent="0.3">
      <c r="A214" s="300"/>
      <c r="B214" s="293" t="s">
        <v>161</v>
      </c>
      <c r="C214" s="421"/>
      <c r="D214" s="336"/>
      <c r="E214" s="336"/>
      <c r="F214" s="336"/>
      <c r="G214" s="336"/>
      <c r="H214" s="336"/>
      <c r="I214" s="336"/>
      <c r="J214" s="336"/>
      <c r="K214" s="336"/>
      <c r="L214" s="336"/>
      <c r="M214" s="336"/>
      <c r="N214" s="336"/>
      <c r="O214" s="336"/>
      <c r="P214" s="328">
        <v>4.76713E-2</v>
      </c>
      <c r="Q214" s="293"/>
      <c r="R214" s="293"/>
      <c r="S214" s="296"/>
      <c r="T214" s="273"/>
    </row>
    <row r="215" spans="1:20" s="274" customFormat="1" x14ac:dyDescent="0.3">
      <c r="A215" s="300"/>
      <c r="B215" s="293" t="s">
        <v>58</v>
      </c>
      <c r="C215" s="421"/>
      <c r="D215" s="336"/>
      <c r="E215" s="336"/>
      <c r="F215" s="336"/>
      <c r="G215" s="336"/>
      <c r="H215" s="336"/>
      <c r="I215" s="336"/>
      <c r="J215" s="336"/>
      <c r="K215" s="336"/>
      <c r="L215" s="336"/>
      <c r="M215" s="336"/>
      <c r="N215" s="336"/>
      <c r="O215" s="336"/>
      <c r="P215" s="328">
        <v>5.0200000000000002E-2</v>
      </c>
      <c r="Q215" s="293"/>
      <c r="R215" s="293"/>
      <c r="S215" s="296"/>
      <c r="T215" s="273"/>
    </row>
    <row r="216" spans="1:20" s="274" customFormat="1" x14ac:dyDescent="0.3">
      <c r="A216" s="300"/>
      <c r="B216" s="293" t="s">
        <v>159</v>
      </c>
      <c r="C216" s="421"/>
      <c r="D216" s="336"/>
      <c r="E216" s="336"/>
      <c r="F216" s="336"/>
      <c r="G216" s="336"/>
      <c r="H216" s="336"/>
      <c r="I216" s="336"/>
      <c r="J216" s="336"/>
      <c r="K216" s="336"/>
      <c r="L216" s="336"/>
      <c r="M216" s="336"/>
      <c r="N216" s="336"/>
      <c r="O216" s="336"/>
      <c r="P216" s="328">
        <f>R40</f>
        <v>3.7185726651435151E-2</v>
      </c>
      <c r="Q216" s="293"/>
      <c r="R216" s="293"/>
      <c r="S216" s="296"/>
      <c r="T216" s="273"/>
    </row>
    <row r="217" spans="1:20" s="274" customFormat="1" x14ac:dyDescent="0.3">
      <c r="A217" s="300"/>
      <c r="B217" s="293" t="s">
        <v>59</v>
      </c>
      <c r="C217" s="421"/>
      <c r="D217" s="336"/>
      <c r="E217" s="336"/>
      <c r="F217" s="336"/>
      <c r="G217" s="336"/>
      <c r="H217" s="336"/>
      <c r="I217" s="336"/>
      <c r="J217" s="336"/>
      <c r="K217" s="336"/>
      <c r="L217" s="336"/>
      <c r="M217" s="336"/>
      <c r="N217" s="336"/>
      <c r="O217" s="336"/>
      <c r="P217" s="328">
        <f>P215-P216</f>
        <v>1.301427334856485E-2</v>
      </c>
      <c r="Q217" s="293"/>
      <c r="R217" s="293"/>
      <c r="S217" s="296"/>
      <c r="T217" s="273"/>
    </row>
    <row r="218" spans="1:20" s="274" customFormat="1" x14ac:dyDescent="0.3">
      <c r="A218" s="300"/>
      <c r="B218" s="293" t="s">
        <v>139</v>
      </c>
      <c r="C218" s="421"/>
      <c r="D218" s="336"/>
      <c r="E218" s="336"/>
      <c r="F218" s="336"/>
      <c r="G218" s="336"/>
      <c r="H218" s="336"/>
      <c r="I218" s="336"/>
      <c r="J218" s="336"/>
      <c r="K218" s="336"/>
      <c r="L218" s="336"/>
      <c r="M218" s="336"/>
      <c r="N218" s="336"/>
      <c r="O218" s="336"/>
      <c r="P218" s="328">
        <f>(+R100+R102)/H80</f>
        <v>1.1694092750027365E-2</v>
      </c>
      <c r="Q218" s="293"/>
      <c r="R218" s="293"/>
      <c r="S218" s="296"/>
      <c r="T218" s="273"/>
    </row>
    <row r="219" spans="1:20" s="274" customFormat="1" x14ac:dyDescent="0.3">
      <c r="A219" s="300"/>
      <c r="B219" s="293" t="s">
        <v>132</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186</v>
      </c>
      <c r="C220" s="421"/>
      <c r="D220" s="336"/>
      <c r="E220" s="336"/>
      <c r="F220" s="336"/>
      <c r="G220" s="336"/>
      <c r="H220" s="336"/>
      <c r="I220" s="336"/>
      <c r="J220" s="336"/>
      <c r="K220" s="336"/>
      <c r="L220" s="336"/>
      <c r="M220" s="336"/>
      <c r="N220" s="336"/>
      <c r="O220" s="336"/>
      <c r="P220" s="422">
        <v>52427</v>
      </c>
      <c r="Q220" s="293"/>
      <c r="R220" s="293"/>
      <c r="S220" s="296"/>
      <c r="T220" s="273"/>
    </row>
    <row r="221" spans="1:20" s="274" customFormat="1" x14ac:dyDescent="0.3">
      <c r="A221" s="300"/>
      <c r="B221" s="293" t="s">
        <v>187</v>
      </c>
      <c r="C221" s="421"/>
      <c r="D221" s="336"/>
      <c r="E221" s="336"/>
      <c r="F221" s="336"/>
      <c r="G221" s="336"/>
      <c r="H221" s="336"/>
      <c r="I221" s="336"/>
      <c r="J221" s="336"/>
      <c r="K221" s="336"/>
      <c r="L221" s="336"/>
      <c r="M221" s="336"/>
      <c r="N221" s="336"/>
      <c r="O221" s="336"/>
      <c r="P221" s="422">
        <v>52427</v>
      </c>
      <c r="Q221" s="293"/>
      <c r="R221" s="293"/>
      <c r="S221" s="296"/>
      <c r="T221" s="273"/>
    </row>
    <row r="222" spans="1:20" s="274" customFormat="1" x14ac:dyDescent="0.3">
      <c r="A222" s="300"/>
      <c r="B222" s="293" t="s">
        <v>274</v>
      </c>
      <c r="C222" s="421"/>
      <c r="D222" s="336"/>
      <c r="E222" s="336"/>
      <c r="F222" s="336"/>
      <c r="G222" s="336"/>
      <c r="H222" s="336"/>
      <c r="I222" s="336"/>
      <c r="J222" s="336"/>
      <c r="K222" s="336"/>
      <c r="L222" s="336"/>
      <c r="M222" s="336"/>
      <c r="N222" s="336"/>
      <c r="O222" s="336"/>
      <c r="P222" s="422">
        <v>52427</v>
      </c>
      <c r="Q222" s="293"/>
      <c r="R222" s="293"/>
      <c r="S222" s="296"/>
      <c r="T222" s="273"/>
    </row>
    <row r="223" spans="1:20" s="274" customFormat="1" x14ac:dyDescent="0.3">
      <c r="A223" s="300"/>
      <c r="B223" s="293" t="s">
        <v>60</v>
      </c>
      <c r="C223" s="421"/>
      <c r="D223" s="336"/>
      <c r="E223" s="336"/>
      <c r="F223" s="336"/>
      <c r="G223" s="336"/>
      <c r="H223" s="336"/>
      <c r="I223" s="336"/>
      <c r="J223" s="336"/>
      <c r="K223" s="336"/>
      <c r="L223" s="336"/>
      <c r="M223" s="336"/>
      <c r="N223" s="336"/>
      <c r="O223" s="336"/>
      <c r="P223" s="334">
        <v>20.96</v>
      </c>
      <c r="Q223" s="293" t="s">
        <v>90</v>
      </c>
      <c r="R223" s="293"/>
      <c r="S223" s="296"/>
      <c r="T223" s="273"/>
    </row>
    <row r="224" spans="1:20" s="274" customFormat="1" x14ac:dyDescent="0.3">
      <c r="A224" s="300"/>
      <c r="B224" s="293" t="s">
        <v>61</v>
      </c>
      <c r="C224" s="421"/>
      <c r="D224" s="336"/>
      <c r="E224" s="336"/>
      <c r="F224" s="336"/>
      <c r="G224" s="336"/>
      <c r="H224" s="336"/>
      <c r="I224" s="336"/>
      <c r="J224" s="336"/>
      <c r="K224" s="336"/>
      <c r="L224" s="336"/>
      <c r="M224" s="336"/>
      <c r="N224" s="336"/>
      <c r="O224" s="336"/>
      <c r="P224" s="334">
        <v>16.510000000000002</v>
      </c>
      <c r="Q224" s="293" t="s">
        <v>90</v>
      </c>
      <c r="R224" s="293"/>
      <c r="S224" s="296"/>
      <c r="T224" s="273"/>
    </row>
    <row r="225" spans="1:20" s="274" customFormat="1" x14ac:dyDescent="0.3">
      <c r="A225" s="300"/>
      <c r="B225" s="293" t="s">
        <v>62</v>
      </c>
      <c r="C225" s="421"/>
      <c r="D225" s="336"/>
      <c r="E225" s="336"/>
      <c r="F225" s="336"/>
      <c r="G225" s="336"/>
      <c r="H225" s="336"/>
      <c r="I225" s="336"/>
      <c r="J225" s="336"/>
      <c r="K225" s="336"/>
      <c r="L225" s="336"/>
      <c r="M225" s="336"/>
      <c r="N225" s="336"/>
      <c r="O225" s="336"/>
      <c r="P225" s="328">
        <f>(+J64+L64+P64)/(H64+H77)</f>
        <v>0.26135658773306092</v>
      </c>
      <c r="Q225" s="293"/>
      <c r="R225" s="293"/>
      <c r="S225" s="296"/>
      <c r="T225" s="273"/>
    </row>
    <row r="226" spans="1:20" s="274" customFormat="1" x14ac:dyDescent="0.3">
      <c r="A226" s="300"/>
      <c r="B226" s="293" t="s">
        <v>63</v>
      </c>
      <c r="C226" s="421"/>
      <c r="D226" s="336"/>
      <c r="E226" s="336"/>
      <c r="F226" s="336"/>
      <c r="G226" s="336"/>
      <c r="H226" s="336"/>
      <c r="I226" s="336"/>
      <c r="J226" s="336"/>
      <c r="K226" s="336"/>
      <c r="L226" s="336"/>
      <c r="M226" s="336"/>
      <c r="N226" s="336"/>
      <c r="O226" s="336"/>
      <c r="P226" s="328">
        <v>0.42430000000000001</v>
      </c>
      <c r="Q226" s="293"/>
      <c r="R226" s="293"/>
      <c r="S226" s="296"/>
      <c r="T226" s="273"/>
    </row>
    <row r="227" spans="1:20" x14ac:dyDescent="0.3">
      <c r="A227" s="417"/>
      <c r="B227" s="423"/>
      <c r="C227" s="423"/>
      <c r="D227" s="362"/>
      <c r="E227" s="362"/>
      <c r="F227" s="362"/>
      <c r="G227" s="362"/>
      <c r="H227" s="362"/>
      <c r="I227" s="362"/>
      <c r="J227" s="362"/>
      <c r="K227" s="362"/>
      <c r="L227" s="362"/>
      <c r="M227" s="362"/>
      <c r="N227" s="362"/>
      <c r="O227" s="362"/>
      <c r="P227" s="393"/>
      <c r="Q227" s="362"/>
      <c r="R227" s="424"/>
      <c r="S227" s="261"/>
      <c r="T227" s="256"/>
    </row>
    <row r="228" spans="1:20" x14ac:dyDescent="0.3">
      <c r="A228" s="425"/>
      <c r="B228" s="368" t="s">
        <v>64</v>
      </c>
      <c r="C228" s="369"/>
      <c r="D228" s="369"/>
      <c r="E228" s="369"/>
      <c r="F228" s="369"/>
      <c r="G228" s="369"/>
      <c r="H228" s="369"/>
      <c r="I228" s="369"/>
      <c r="J228" s="369"/>
      <c r="K228" s="369"/>
      <c r="L228" s="369"/>
      <c r="M228" s="369"/>
      <c r="N228" s="369"/>
      <c r="O228" s="369" t="s">
        <v>83</v>
      </c>
      <c r="P228" s="426" t="s">
        <v>88</v>
      </c>
      <c r="Q228" s="286"/>
      <c r="R228" s="286"/>
      <c r="S228" s="289"/>
      <c r="T228" s="256"/>
    </row>
    <row r="229" spans="1:20" s="274" customFormat="1" x14ac:dyDescent="0.3">
      <c r="A229" s="427"/>
      <c r="B229" s="290" t="s">
        <v>65</v>
      </c>
      <c r="C229" s="372"/>
      <c r="D229" s="428"/>
      <c r="E229" s="428"/>
      <c r="F229" s="428"/>
      <c r="G229" s="428"/>
      <c r="H229" s="428"/>
      <c r="I229" s="428"/>
      <c r="J229" s="428"/>
      <c r="K229" s="428"/>
      <c r="L229" s="428"/>
      <c r="M229" s="428"/>
      <c r="N229" s="428"/>
      <c r="O229" s="428">
        <v>0</v>
      </c>
      <c r="P229" s="429">
        <v>0</v>
      </c>
      <c r="Q229" s="290"/>
      <c r="R229" s="430"/>
      <c r="S229" s="431"/>
      <c r="T229" s="273"/>
    </row>
    <row r="230" spans="1:20" s="274" customFormat="1" x14ac:dyDescent="0.3">
      <c r="A230" s="432"/>
      <c r="B230" s="293" t="s">
        <v>113</v>
      </c>
      <c r="C230" s="360"/>
      <c r="D230" s="301"/>
      <c r="E230" s="301"/>
      <c r="F230" s="301"/>
      <c r="G230" s="301"/>
      <c r="H230" s="301"/>
      <c r="I230" s="301"/>
      <c r="J230" s="301"/>
      <c r="K230" s="301"/>
      <c r="L230" s="301"/>
      <c r="M230" s="301"/>
      <c r="N230" s="301"/>
      <c r="O230" s="433">
        <f>+N282</f>
        <v>0</v>
      </c>
      <c r="P230" s="434">
        <f>+P282</f>
        <v>0</v>
      </c>
      <c r="Q230" s="293"/>
      <c r="R230" s="435"/>
      <c r="S230" s="436"/>
      <c r="T230" s="273"/>
    </row>
    <row r="231" spans="1:20" s="274" customFormat="1" x14ac:dyDescent="0.3">
      <c r="A231" s="432"/>
      <c r="B231" s="293" t="s">
        <v>66</v>
      </c>
      <c r="C231" s="360"/>
      <c r="D231" s="301"/>
      <c r="E231" s="301"/>
      <c r="F231" s="301"/>
      <c r="G231" s="301"/>
      <c r="H231" s="301"/>
      <c r="I231" s="301"/>
      <c r="J231" s="301"/>
      <c r="K231" s="301"/>
      <c r="L231" s="301"/>
      <c r="M231" s="301"/>
      <c r="N231" s="301"/>
      <c r="O231" s="433">
        <f>+N294</f>
        <v>0</v>
      </c>
      <c r="P231" s="434">
        <f>+P294</f>
        <v>0</v>
      </c>
      <c r="Q231" s="293"/>
      <c r="R231" s="435"/>
      <c r="S231" s="436"/>
      <c r="T231" s="273"/>
    </row>
    <row r="232" spans="1:20" x14ac:dyDescent="0.3">
      <c r="A232" s="437"/>
      <c r="B232" s="438" t="s">
        <v>277</v>
      </c>
      <c r="C232" s="439"/>
      <c r="D232" s="316"/>
      <c r="E232" s="316"/>
      <c r="F232" s="316"/>
      <c r="G232" s="316"/>
      <c r="H232" s="316"/>
      <c r="I232" s="316"/>
      <c r="J232" s="316"/>
      <c r="K232" s="316"/>
      <c r="L232" s="316"/>
      <c r="M232" s="316"/>
      <c r="N232" s="316"/>
      <c r="O232" s="379"/>
      <c r="P232" s="434">
        <f>+P64</f>
        <v>5890</v>
      </c>
      <c r="Q232" s="316"/>
      <c r="R232" s="440"/>
      <c r="S232" s="441"/>
      <c r="T232" s="256"/>
    </row>
    <row r="233" spans="1:20" x14ac:dyDescent="0.3">
      <c r="A233" s="437"/>
      <c r="B233" s="438" t="s">
        <v>140</v>
      </c>
      <c r="C233" s="439"/>
      <c r="D233" s="316"/>
      <c r="E233" s="316"/>
      <c r="F233" s="316"/>
      <c r="G233" s="316"/>
      <c r="H233" s="316"/>
      <c r="I233" s="316"/>
      <c r="J233" s="316"/>
      <c r="K233" s="316"/>
      <c r="L233" s="316"/>
      <c r="M233" s="316"/>
      <c r="N233" s="316"/>
      <c r="O233" s="379"/>
      <c r="P233" s="434">
        <f>-J77</f>
        <v>0</v>
      </c>
      <c r="Q233" s="316"/>
      <c r="R233" s="440"/>
      <c r="S233" s="441"/>
      <c r="T233" s="256"/>
    </row>
    <row r="234" spans="1:20" x14ac:dyDescent="0.3">
      <c r="A234" s="442"/>
      <c r="B234" s="438" t="s">
        <v>67</v>
      </c>
      <c r="C234" s="443"/>
      <c r="D234" s="316"/>
      <c r="E234" s="316"/>
      <c r="F234" s="316"/>
      <c r="G234" s="316"/>
      <c r="H234" s="316"/>
      <c r="I234" s="316"/>
      <c r="J234" s="316"/>
      <c r="K234" s="316"/>
      <c r="L234" s="316"/>
      <c r="M234" s="316"/>
      <c r="N234" s="316"/>
      <c r="O234" s="379"/>
      <c r="P234" s="444"/>
      <c r="Q234" s="316"/>
      <c r="R234" s="440"/>
      <c r="S234" s="445"/>
      <c r="T234" s="256"/>
    </row>
    <row r="235" spans="1:20" s="274" customFormat="1" x14ac:dyDescent="0.3">
      <c r="A235" s="446"/>
      <c r="B235" s="293" t="s">
        <v>68</v>
      </c>
      <c r="C235" s="293"/>
      <c r="D235" s="293"/>
      <c r="E235" s="293"/>
      <c r="F235" s="293"/>
      <c r="G235" s="293"/>
      <c r="H235" s="293"/>
      <c r="I235" s="293"/>
      <c r="J235" s="293"/>
      <c r="K235" s="293"/>
      <c r="L235" s="293"/>
      <c r="M235" s="293"/>
      <c r="N235" s="293"/>
      <c r="O235" s="301"/>
      <c r="P235" s="434">
        <f>R165</f>
        <v>0</v>
      </c>
      <c r="Q235" s="293"/>
      <c r="R235" s="435"/>
      <c r="S235" s="447"/>
      <c r="T235" s="273"/>
    </row>
    <row r="236" spans="1:20" s="274" customFormat="1" x14ac:dyDescent="0.3">
      <c r="A236" s="432"/>
      <c r="B236" s="293" t="s">
        <v>69</v>
      </c>
      <c r="C236" s="360"/>
      <c r="D236" s="293"/>
      <c r="E236" s="293"/>
      <c r="F236" s="293"/>
      <c r="G236" s="293"/>
      <c r="H236" s="293"/>
      <c r="I236" s="293"/>
      <c r="J236" s="293"/>
      <c r="K236" s="293"/>
      <c r="L236" s="293"/>
      <c r="M236" s="293"/>
      <c r="N236" s="293"/>
      <c r="O236" s="301"/>
      <c r="P236" s="434">
        <f>'June 19'!P233+P235</f>
        <v>0</v>
      </c>
      <c r="Q236" s="293"/>
      <c r="R236" s="435"/>
      <c r="S236" s="447"/>
      <c r="T236" s="273"/>
    </row>
    <row r="237" spans="1:20" x14ac:dyDescent="0.3">
      <c r="A237" s="442"/>
      <c r="B237" s="438" t="s">
        <v>151</v>
      </c>
      <c r="C237" s="443"/>
      <c r="D237" s="316"/>
      <c r="E237" s="316"/>
      <c r="F237" s="316"/>
      <c r="G237" s="316"/>
      <c r="H237" s="316"/>
      <c r="I237" s="316"/>
      <c r="J237" s="316"/>
      <c r="K237" s="316"/>
      <c r="L237" s="316"/>
      <c r="M237" s="316"/>
      <c r="N237" s="316"/>
      <c r="O237" s="448"/>
      <c r="P237" s="444"/>
      <c r="Q237" s="316"/>
      <c r="R237" s="440"/>
      <c r="S237" s="445"/>
      <c r="T237" s="256"/>
    </row>
    <row r="238" spans="1:20" s="274" customFormat="1" x14ac:dyDescent="0.3">
      <c r="A238" s="446"/>
      <c r="B238" s="293" t="s">
        <v>160</v>
      </c>
      <c r="C238" s="293"/>
      <c r="D238" s="293"/>
      <c r="E238" s="293"/>
      <c r="F238" s="293"/>
      <c r="G238" s="293"/>
      <c r="H238" s="293"/>
      <c r="I238" s="293"/>
      <c r="J238" s="293"/>
      <c r="K238" s="293"/>
      <c r="L238" s="293"/>
      <c r="M238" s="293"/>
      <c r="N238" s="293"/>
      <c r="O238" s="301">
        <v>0</v>
      </c>
      <c r="P238" s="434">
        <v>0</v>
      </c>
      <c r="Q238" s="293"/>
      <c r="R238" s="435"/>
      <c r="S238" s="447"/>
      <c r="T238" s="273"/>
    </row>
    <row r="239" spans="1:20" s="274" customFormat="1" x14ac:dyDescent="0.3">
      <c r="A239" s="432"/>
      <c r="B239" s="293" t="s">
        <v>70</v>
      </c>
      <c r="C239" s="332"/>
      <c r="D239" s="293"/>
      <c r="E239" s="293"/>
      <c r="F239" s="293"/>
      <c r="G239" s="293"/>
      <c r="H239" s="293"/>
      <c r="I239" s="293"/>
      <c r="J239" s="293"/>
      <c r="K239" s="293"/>
      <c r="L239" s="293"/>
      <c r="M239" s="293"/>
      <c r="N239" s="293"/>
      <c r="O239" s="293"/>
      <c r="P239" s="449">
        <v>0</v>
      </c>
      <c r="Q239" s="293"/>
      <c r="R239" s="435"/>
      <c r="S239" s="447"/>
      <c r="T239" s="273"/>
    </row>
    <row r="240" spans="1:20" s="274" customFormat="1" x14ac:dyDescent="0.3">
      <c r="A240" s="432"/>
      <c r="B240" s="293" t="s">
        <v>71</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38" t="s">
        <v>136</v>
      </c>
      <c r="C241" s="450"/>
      <c r="D241" s="316"/>
      <c r="E241" s="316"/>
      <c r="F241" s="316"/>
      <c r="G241" s="316"/>
      <c r="H241" s="316"/>
      <c r="I241" s="316"/>
      <c r="J241" s="316"/>
      <c r="K241" s="316"/>
      <c r="L241" s="316"/>
      <c r="M241" s="316"/>
      <c r="N241" s="316"/>
      <c r="O241" s="379"/>
      <c r="P241" s="451"/>
      <c r="Q241" s="316"/>
      <c r="R241" s="440"/>
      <c r="S241" s="445"/>
      <c r="T241" s="256"/>
    </row>
    <row r="242" spans="1:20" s="274" customFormat="1" x14ac:dyDescent="0.3">
      <c r="A242" s="432"/>
      <c r="B242" s="293" t="s">
        <v>160</v>
      </c>
      <c r="C242" s="332"/>
      <c r="D242" s="293"/>
      <c r="E242" s="293"/>
      <c r="F242" s="293"/>
      <c r="G242" s="293"/>
      <c r="H242" s="293"/>
      <c r="I242" s="293"/>
      <c r="J242" s="293"/>
      <c r="K242" s="293"/>
      <c r="L242" s="293"/>
      <c r="M242" s="293"/>
      <c r="N242" s="293"/>
      <c r="O242" s="301">
        <v>0</v>
      </c>
      <c r="P242" s="434">
        <v>0</v>
      </c>
      <c r="Q242" s="293"/>
      <c r="R242" s="435"/>
      <c r="S242" s="447"/>
      <c r="T242" s="273"/>
    </row>
    <row r="243" spans="1:20" s="274" customFormat="1" x14ac:dyDescent="0.3">
      <c r="A243" s="432"/>
      <c r="B243" s="293" t="s">
        <v>137</v>
      </c>
      <c r="C243" s="332"/>
      <c r="D243" s="293"/>
      <c r="E243" s="293"/>
      <c r="F243" s="293"/>
      <c r="G243" s="293"/>
      <c r="H243" s="293"/>
      <c r="I243" s="293"/>
      <c r="J243" s="293"/>
      <c r="K243" s="293"/>
      <c r="L243" s="293"/>
      <c r="M243" s="293"/>
      <c r="N243" s="293"/>
      <c r="O243" s="293"/>
      <c r="P243" s="449">
        <v>0</v>
      </c>
      <c r="Q243" s="293"/>
      <c r="R243" s="435"/>
      <c r="S243" s="447"/>
      <c r="T243" s="273"/>
    </row>
    <row r="244" spans="1:20" x14ac:dyDescent="0.3">
      <c r="A244" s="437"/>
      <c r="B244" s="443"/>
      <c r="C244" s="450"/>
      <c r="D244" s="316"/>
      <c r="E244" s="316"/>
      <c r="F244" s="316"/>
      <c r="G244" s="316"/>
      <c r="H244" s="316"/>
      <c r="I244" s="316"/>
      <c r="J244" s="316"/>
      <c r="K244" s="316"/>
      <c r="L244" s="316"/>
      <c r="M244" s="316"/>
      <c r="N244" s="316"/>
      <c r="O244" s="379"/>
      <c r="P244" s="451"/>
      <c r="Q244" s="316"/>
      <c r="R244" s="440"/>
      <c r="S244" s="445"/>
      <c r="T244" s="256"/>
    </row>
    <row r="245" spans="1:20" x14ac:dyDescent="0.3">
      <c r="A245" s="437"/>
      <c r="B245" s="443"/>
      <c r="C245" s="450"/>
      <c r="D245" s="316"/>
      <c r="E245" s="316"/>
      <c r="F245" s="316"/>
      <c r="G245" s="316"/>
      <c r="H245" s="316"/>
      <c r="I245" s="316"/>
      <c r="J245" s="316"/>
      <c r="K245" s="316"/>
      <c r="L245" s="316"/>
      <c r="M245" s="316"/>
      <c r="N245" s="316"/>
      <c r="O245" s="316"/>
      <c r="P245" s="452"/>
      <c r="Q245" s="316"/>
      <c r="R245" s="440"/>
      <c r="S245" s="445"/>
      <c r="T245" s="256"/>
    </row>
    <row r="246" spans="1:20" ht="18" x14ac:dyDescent="0.35">
      <c r="A246" s="437"/>
      <c r="B246" s="453" t="s">
        <v>129</v>
      </c>
      <c r="C246" s="450"/>
      <c r="D246" s="316"/>
      <c r="E246" s="316"/>
      <c r="F246" s="316"/>
      <c r="G246" s="316"/>
      <c r="H246" s="316"/>
      <c r="I246" s="316"/>
      <c r="J246" s="316"/>
      <c r="K246" s="316"/>
      <c r="L246" s="454"/>
      <c r="M246" s="316"/>
      <c r="N246" s="455" t="s">
        <v>285</v>
      </c>
      <c r="O246" s="454"/>
      <c r="P246" s="452"/>
      <c r="Q246" s="316"/>
      <c r="R246" s="440"/>
      <c r="S246" s="445"/>
      <c r="T246" s="256"/>
    </row>
    <row r="247" spans="1:20" ht="18" x14ac:dyDescent="0.35">
      <c r="A247" s="456"/>
      <c r="B247" s="457"/>
      <c r="C247" s="458"/>
      <c r="D247" s="362"/>
      <c r="E247" s="362"/>
      <c r="F247" s="362"/>
      <c r="G247" s="362"/>
      <c r="H247" s="362"/>
      <c r="I247" s="362"/>
      <c r="J247" s="362"/>
      <c r="K247" s="362"/>
      <c r="L247" s="459"/>
      <c r="M247" s="362"/>
      <c r="N247" s="362"/>
      <c r="O247" s="362"/>
      <c r="P247" s="460"/>
      <c r="Q247" s="362"/>
      <c r="R247" s="424"/>
      <c r="S247" s="461"/>
      <c r="T247" s="256"/>
    </row>
    <row r="248" spans="1:20" x14ac:dyDescent="0.3">
      <c r="A248" s="285"/>
      <c r="B248" s="368" t="s">
        <v>152</v>
      </c>
      <c r="C248" s="369"/>
      <c r="D248" s="369"/>
      <c r="E248" s="369"/>
      <c r="F248" s="369"/>
      <c r="G248" s="369"/>
      <c r="H248" s="369"/>
      <c r="I248" s="369"/>
      <c r="J248" s="369"/>
      <c r="K248" s="369"/>
      <c r="L248" s="369"/>
      <c r="M248" s="369"/>
      <c r="N248" s="426" t="s">
        <v>83</v>
      </c>
      <c r="O248" s="369" t="s">
        <v>84</v>
      </c>
      <c r="P248" s="426" t="s">
        <v>89</v>
      </c>
      <c r="Q248" s="369" t="s">
        <v>84</v>
      </c>
      <c r="R248" s="286"/>
      <c r="S248" s="462"/>
      <c r="T248" s="256"/>
    </row>
    <row r="249" spans="1:20" s="274" customFormat="1" x14ac:dyDescent="0.3">
      <c r="A249" s="269"/>
      <c r="B249" s="372" t="s">
        <v>72</v>
      </c>
      <c r="C249" s="463"/>
      <c r="D249" s="463"/>
      <c r="E249" s="463"/>
      <c r="F249" s="463"/>
      <c r="G249" s="463"/>
      <c r="H249" s="463"/>
      <c r="I249" s="463"/>
      <c r="J249" s="463"/>
      <c r="K249" s="463"/>
      <c r="L249" s="463"/>
      <c r="M249" s="463"/>
      <c r="N249" s="372">
        <f>+N261+N273+N285</f>
        <v>266</v>
      </c>
      <c r="O249" s="464">
        <f>N249/$N$258</f>
        <v>1</v>
      </c>
      <c r="P249" s="373">
        <f>+P261+P273+P285</f>
        <v>40488</v>
      </c>
      <c r="Q249" s="464">
        <f t="shared" ref="Q249:Q256" si="5">P249/$P$258</f>
        <v>1</v>
      </c>
      <c r="R249" s="430"/>
      <c r="S249" s="465"/>
      <c r="T249" s="273"/>
    </row>
    <row r="250" spans="1:20" s="274" customFormat="1" x14ac:dyDescent="0.3">
      <c r="A250" s="300"/>
      <c r="B250" s="360" t="s">
        <v>73</v>
      </c>
      <c r="C250" s="466"/>
      <c r="D250" s="466"/>
      <c r="E250" s="466"/>
      <c r="F250" s="466"/>
      <c r="G250" s="466"/>
      <c r="H250" s="466"/>
      <c r="I250" s="466"/>
      <c r="J250" s="466"/>
      <c r="K250" s="466"/>
      <c r="L250" s="466"/>
      <c r="M250" s="466"/>
      <c r="N250" s="467">
        <f t="shared" ref="N250:N255" si="6">+N262+N274+N286</f>
        <v>0</v>
      </c>
      <c r="O250" s="468">
        <f t="shared" ref="O250:O256" si="7">N250/$N$258</f>
        <v>0</v>
      </c>
      <c r="P250" s="469">
        <f t="shared" ref="P250:P256" si="8">+P262+P274+P286</f>
        <v>0</v>
      </c>
      <c r="Q250" s="470">
        <f t="shared" si="5"/>
        <v>0</v>
      </c>
      <c r="R250" s="435"/>
      <c r="S250" s="447"/>
      <c r="T250" s="273"/>
    </row>
    <row r="251" spans="1:20" s="274" customFormat="1" x14ac:dyDescent="0.3">
      <c r="A251" s="300"/>
      <c r="B251" s="360" t="s">
        <v>74</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119</v>
      </c>
      <c r="C252" s="466"/>
      <c r="D252" s="466"/>
      <c r="E252" s="466"/>
      <c r="F252" s="466"/>
      <c r="G252" s="466"/>
      <c r="H252" s="466"/>
      <c r="I252" s="466"/>
      <c r="J252" s="466"/>
      <c r="K252" s="466"/>
      <c r="L252" s="466"/>
      <c r="M252" s="466"/>
      <c r="N252" s="471">
        <f t="shared" si="6"/>
        <v>0</v>
      </c>
      <c r="O252" s="472">
        <f t="shared" si="7"/>
        <v>0</v>
      </c>
      <c r="P252" s="398">
        <f t="shared" si="8"/>
        <v>0</v>
      </c>
      <c r="Q252" s="470">
        <f t="shared" si="5"/>
        <v>0</v>
      </c>
      <c r="R252" s="435"/>
      <c r="S252" s="447"/>
      <c r="T252" s="273"/>
    </row>
    <row r="253" spans="1:20" s="274" customFormat="1" x14ac:dyDescent="0.3">
      <c r="A253" s="300"/>
      <c r="B253" s="360" t="s">
        <v>120</v>
      </c>
      <c r="C253" s="466"/>
      <c r="D253" s="466"/>
      <c r="E253" s="466"/>
      <c r="F253" s="466"/>
      <c r="G253" s="466"/>
      <c r="H253" s="466"/>
      <c r="I253" s="466"/>
      <c r="J253" s="466"/>
      <c r="K253" s="466"/>
      <c r="L253" s="466"/>
      <c r="M253" s="466"/>
      <c r="N253" s="471">
        <f t="shared" si="6"/>
        <v>0</v>
      </c>
      <c r="O253" s="472">
        <f t="shared" si="7"/>
        <v>0</v>
      </c>
      <c r="P253" s="398">
        <f t="shared" si="8"/>
        <v>0</v>
      </c>
      <c r="Q253" s="470">
        <f t="shared" si="5"/>
        <v>0</v>
      </c>
      <c r="R253" s="435"/>
      <c r="S253" s="447"/>
      <c r="T253" s="273"/>
    </row>
    <row r="254" spans="1:20" s="274" customFormat="1" x14ac:dyDescent="0.3">
      <c r="A254" s="300"/>
      <c r="B254" s="360" t="s">
        <v>121</v>
      </c>
      <c r="C254" s="466"/>
      <c r="D254" s="466"/>
      <c r="E254" s="466"/>
      <c r="F254" s="466"/>
      <c r="G254" s="466"/>
      <c r="H254" s="466"/>
      <c r="I254" s="466"/>
      <c r="J254" s="466"/>
      <c r="K254" s="466"/>
      <c r="L254" s="466"/>
      <c r="M254" s="466"/>
      <c r="N254" s="471">
        <f t="shared" si="6"/>
        <v>0</v>
      </c>
      <c r="O254" s="472">
        <f t="shared" si="7"/>
        <v>0</v>
      </c>
      <c r="P254" s="398">
        <f t="shared" si="8"/>
        <v>0</v>
      </c>
      <c r="Q254" s="470">
        <f t="shared" si="5"/>
        <v>0</v>
      </c>
      <c r="R254" s="435"/>
      <c r="S254" s="447"/>
      <c r="T254" s="273"/>
    </row>
    <row r="255" spans="1:20" s="274" customFormat="1" x14ac:dyDescent="0.3">
      <c r="A255" s="300"/>
      <c r="B255" s="360" t="s">
        <v>122</v>
      </c>
      <c r="C255" s="466"/>
      <c r="D255" s="466"/>
      <c r="E255" s="466"/>
      <c r="F255" s="466"/>
      <c r="G255" s="466"/>
      <c r="H255" s="466"/>
      <c r="I255" s="466"/>
      <c r="J255" s="466"/>
      <c r="K255" s="466"/>
      <c r="L255" s="466"/>
      <c r="M255" s="466"/>
      <c r="N255" s="473">
        <f t="shared" si="6"/>
        <v>0</v>
      </c>
      <c r="O255" s="474">
        <f t="shared" si="7"/>
        <v>0</v>
      </c>
      <c r="P255" s="475">
        <f t="shared" si="8"/>
        <v>0</v>
      </c>
      <c r="Q255" s="470">
        <f t="shared" si="5"/>
        <v>0</v>
      </c>
      <c r="R255" s="435"/>
      <c r="S255" s="447"/>
      <c r="T255" s="273"/>
    </row>
    <row r="256" spans="1:20" s="274" customFormat="1" x14ac:dyDescent="0.3">
      <c r="A256" s="300"/>
      <c r="B256" s="360" t="s">
        <v>123</v>
      </c>
      <c r="C256" s="466"/>
      <c r="D256" s="466"/>
      <c r="E256" s="466"/>
      <c r="F256" s="466"/>
      <c r="G256" s="466"/>
      <c r="H256" s="466"/>
      <c r="I256" s="466"/>
      <c r="J256" s="466"/>
      <c r="K256" s="466"/>
      <c r="L256" s="466"/>
      <c r="M256" s="466"/>
      <c r="N256" s="372">
        <f>+N268+N280+N292</f>
        <v>0</v>
      </c>
      <c r="O256" s="470">
        <f t="shared" si="7"/>
        <v>0</v>
      </c>
      <c r="P256" s="373">
        <f t="shared" si="8"/>
        <v>0</v>
      </c>
      <c r="Q256" s="470">
        <f t="shared" si="5"/>
        <v>0</v>
      </c>
      <c r="R256" s="435"/>
      <c r="S256" s="447"/>
      <c r="T256" s="273"/>
    </row>
    <row r="257" spans="1:21" s="274" customFormat="1" x14ac:dyDescent="0.3">
      <c r="A257" s="300"/>
      <c r="B257" s="360"/>
      <c r="C257" s="466"/>
      <c r="D257" s="466"/>
      <c r="E257" s="466"/>
      <c r="F257" s="466"/>
      <c r="G257" s="466"/>
      <c r="H257" s="466"/>
      <c r="I257" s="466"/>
      <c r="J257" s="466"/>
      <c r="K257" s="466"/>
      <c r="L257" s="466"/>
      <c r="M257" s="466"/>
      <c r="N257" s="360"/>
      <c r="O257" s="470"/>
      <c r="P257" s="361"/>
      <c r="Q257" s="470"/>
      <c r="R257" s="435"/>
      <c r="S257" s="447"/>
      <c r="T257" s="273"/>
    </row>
    <row r="258" spans="1:21" s="274" customFormat="1" x14ac:dyDescent="0.3">
      <c r="A258" s="300"/>
      <c r="B258" s="293" t="s">
        <v>94</v>
      </c>
      <c r="C258" s="293"/>
      <c r="D258" s="476"/>
      <c r="E258" s="476"/>
      <c r="F258" s="476"/>
      <c r="G258" s="476"/>
      <c r="H258" s="476"/>
      <c r="I258" s="476"/>
      <c r="J258" s="476"/>
      <c r="K258" s="476"/>
      <c r="L258" s="476"/>
      <c r="M258" s="476"/>
      <c r="N258" s="360">
        <f>SUM(N249:N257)</f>
        <v>266</v>
      </c>
      <c r="O258" s="470">
        <f>SUM(O249:O257)</f>
        <v>1</v>
      </c>
      <c r="P258" s="361">
        <f>SUM(P249:P257)</f>
        <v>40488</v>
      </c>
      <c r="Q258" s="470">
        <f>SUM(Q249:Q257)</f>
        <v>1</v>
      </c>
      <c r="R258" s="293"/>
      <c r="S258" s="296"/>
      <c r="T258" s="273"/>
    </row>
    <row r="259" spans="1:21" x14ac:dyDescent="0.3">
      <c r="A259" s="258"/>
      <c r="B259" s="423"/>
      <c r="C259" s="458"/>
      <c r="D259" s="362"/>
      <c r="E259" s="362"/>
      <c r="F259" s="362"/>
      <c r="G259" s="362"/>
      <c r="H259" s="362"/>
      <c r="I259" s="362"/>
      <c r="J259" s="362"/>
      <c r="K259" s="362"/>
      <c r="L259" s="362"/>
      <c r="M259" s="362"/>
      <c r="N259" s="362"/>
      <c r="O259" s="362"/>
      <c r="P259" s="460"/>
      <c r="Q259" s="362"/>
      <c r="R259" s="362"/>
      <c r="S259" s="261"/>
      <c r="T259" s="256"/>
    </row>
    <row r="260" spans="1:21" x14ac:dyDescent="0.3">
      <c r="A260" s="285"/>
      <c r="B260" s="368" t="s">
        <v>124</v>
      </c>
      <c r="C260" s="369"/>
      <c r="D260" s="369"/>
      <c r="E260" s="369"/>
      <c r="F260" s="369"/>
      <c r="G260" s="369"/>
      <c r="H260" s="369"/>
      <c r="I260" s="369"/>
      <c r="J260" s="369"/>
      <c r="K260" s="369"/>
      <c r="L260" s="369"/>
      <c r="M260" s="369"/>
      <c r="N260" s="426" t="s">
        <v>83</v>
      </c>
      <c r="O260" s="369" t="s">
        <v>84</v>
      </c>
      <c r="P260" s="426" t="s">
        <v>89</v>
      </c>
      <c r="Q260" s="369" t="s">
        <v>84</v>
      </c>
      <c r="R260" s="286"/>
      <c r="S260" s="462"/>
      <c r="T260" s="256"/>
    </row>
    <row r="261" spans="1:21" s="274" customFormat="1" x14ac:dyDescent="0.3">
      <c r="A261" s="269"/>
      <c r="B261" s="372" t="s">
        <v>72</v>
      </c>
      <c r="C261" s="463"/>
      <c r="D261" s="463"/>
      <c r="E261" s="463"/>
      <c r="F261" s="463"/>
      <c r="G261" s="463"/>
      <c r="H261" s="463"/>
      <c r="I261" s="463"/>
      <c r="J261" s="463"/>
      <c r="K261" s="463"/>
      <c r="L261" s="463"/>
      <c r="M261" s="463"/>
      <c r="N261" s="372">
        <v>266</v>
      </c>
      <c r="O261" s="464">
        <f>N261/$N$270</f>
        <v>1</v>
      </c>
      <c r="P261" s="373">
        <v>40488</v>
      </c>
      <c r="Q261" s="464">
        <f>P261/$P$270</f>
        <v>1</v>
      </c>
      <c r="R261" s="430"/>
      <c r="S261" s="465"/>
      <c r="T261" s="273"/>
    </row>
    <row r="262" spans="1:21" s="274" customFormat="1" x14ac:dyDescent="0.3">
      <c r="A262" s="300"/>
      <c r="B262" s="360" t="s">
        <v>73</v>
      </c>
      <c r="C262" s="466"/>
      <c r="D262" s="466"/>
      <c r="E262" s="466"/>
      <c r="F262" s="466"/>
      <c r="G262" s="466"/>
      <c r="H262" s="466"/>
      <c r="I262" s="466"/>
      <c r="J262" s="466"/>
      <c r="K262" s="466"/>
      <c r="L262" s="466"/>
      <c r="M262" s="466"/>
      <c r="N262" s="360">
        <v>0</v>
      </c>
      <c r="O262" s="470">
        <f t="shared" ref="O262:O268" si="9">N262/$N$270</f>
        <v>0</v>
      </c>
      <c r="P262" s="361">
        <v>0</v>
      </c>
      <c r="Q262" s="470">
        <f t="shared" ref="Q262:Q268" si="10">P262/$P$270</f>
        <v>0</v>
      </c>
      <c r="R262" s="435"/>
      <c r="S262" s="447"/>
      <c r="T262" s="273"/>
      <c r="U262" s="382"/>
    </row>
    <row r="263" spans="1:21" s="274" customFormat="1" x14ac:dyDescent="0.3">
      <c r="A263" s="300"/>
      <c r="B263" s="360" t="s">
        <v>74</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row>
    <row r="264" spans="1:21" s="274" customFormat="1" x14ac:dyDescent="0.3">
      <c r="A264" s="300"/>
      <c r="B264" s="360" t="s">
        <v>119</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c r="U264" s="382"/>
    </row>
    <row r="265" spans="1:21" s="274" customFormat="1" x14ac:dyDescent="0.3">
      <c r="A265" s="300"/>
      <c r="B265" s="360" t="s">
        <v>120</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row>
    <row r="266" spans="1:21" s="274" customFormat="1" x14ac:dyDescent="0.3">
      <c r="A266" s="300"/>
      <c r="B266" s="360" t="s">
        <v>121</v>
      </c>
      <c r="C266" s="466"/>
      <c r="D266" s="466"/>
      <c r="E266" s="466"/>
      <c r="F266" s="466"/>
      <c r="G266" s="466"/>
      <c r="H266" s="466"/>
      <c r="I266" s="466"/>
      <c r="J266" s="466"/>
      <c r="K266" s="466"/>
      <c r="L266" s="466"/>
      <c r="M266" s="466"/>
      <c r="N266" s="360">
        <v>0</v>
      </c>
      <c r="O266" s="470">
        <f t="shared" si="9"/>
        <v>0</v>
      </c>
      <c r="P266" s="361">
        <v>0</v>
      </c>
      <c r="Q266" s="470">
        <f t="shared" si="10"/>
        <v>0</v>
      </c>
      <c r="R266" s="435"/>
      <c r="S266" s="447"/>
      <c r="T266" s="273"/>
      <c r="U266" s="382"/>
    </row>
    <row r="267" spans="1:21" s="274" customFormat="1" x14ac:dyDescent="0.3">
      <c r="A267" s="300"/>
      <c r="B267" s="360" t="s">
        <v>122</v>
      </c>
      <c r="C267" s="466"/>
      <c r="D267" s="466"/>
      <c r="E267" s="466"/>
      <c r="F267" s="466"/>
      <c r="G267" s="466"/>
      <c r="H267" s="466"/>
      <c r="I267" s="466"/>
      <c r="J267" s="466"/>
      <c r="K267" s="466"/>
      <c r="L267" s="466"/>
      <c r="M267" s="466"/>
      <c r="N267" s="360">
        <v>0</v>
      </c>
      <c r="O267" s="470">
        <f t="shared" si="9"/>
        <v>0</v>
      </c>
      <c r="P267" s="361">
        <v>0</v>
      </c>
      <c r="Q267" s="470">
        <f t="shared" si="10"/>
        <v>0</v>
      </c>
      <c r="R267" s="435"/>
      <c r="S267" s="447"/>
      <c r="T267" s="273"/>
    </row>
    <row r="268" spans="1:21" s="274" customFormat="1" x14ac:dyDescent="0.3">
      <c r="A268" s="300"/>
      <c r="B268" s="360" t="s">
        <v>123</v>
      </c>
      <c r="C268" s="466"/>
      <c r="D268" s="466"/>
      <c r="E268" s="466"/>
      <c r="F268" s="466"/>
      <c r="G268" s="466"/>
      <c r="H268" s="466"/>
      <c r="I268" s="466"/>
      <c r="J268" s="466"/>
      <c r="K268" s="466"/>
      <c r="L268" s="466"/>
      <c r="M268" s="466"/>
      <c r="N268" s="360">
        <v>0</v>
      </c>
      <c r="O268" s="470">
        <f t="shared" si="9"/>
        <v>0</v>
      </c>
      <c r="P268" s="361">
        <v>0</v>
      </c>
      <c r="Q268" s="470">
        <f t="shared" si="10"/>
        <v>0</v>
      </c>
      <c r="R268" s="435"/>
      <c r="S268" s="447"/>
      <c r="T268" s="273"/>
      <c r="U268" s="382"/>
    </row>
    <row r="269" spans="1:21" s="274" customFormat="1" x14ac:dyDescent="0.3">
      <c r="A269" s="300"/>
      <c r="B269" s="360"/>
      <c r="C269" s="466"/>
      <c r="D269" s="466"/>
      <c r="E269" s="466"/>
      <c r="F269" s="466"/>
      <c r="G269" s="466"/>
      <c r="H269" s="466"/>
      <c r="I269" s="466"/>
      <c r="J269" s="466"/>
      <c r="K269" s="466"/>
      <c r="L269" s="466"/>
      <c r="M269" s="466"/>
      <c r="N269" s="360"/>
      <c r="O269" s="470"/>
      <c r="P269" s="361"/>
      <c r="Q269" s="470"/>
      <c r="R269" s="435"/>
      <c r="S269" s="447"/>
      <c r="T269" s="273"/>
    </row>
    <row r="270" spans="1:21" s="274" customFormat="1" x14ac:dyDescent="0.3">
      <c r="A270" s="300"/>
      <c r="B270" s="293" t="s">
        <v>94</v>
      </c>
      <c r="C270" s="293"/>
      <c r="D270" s="476"/>
      <c r="E270" s="476"/>
      <c r="F270" s="476"/>
      <c r="G270" s="476"/>
      <c r="H270" s="476"/>
      <c r="I270" s="476"/>
      <c r="J270" s="476"/>
      <c r="K270" s="476"/>
      <c r="L270" s="476"/>
      <c r="M270" s="476"/>
      <c r="N270" s="360">
        <f>SUM(N261:N269)</f>
        <v>266</v>
      </c>
      <c r="O270" s="470">
        <f>SUM(O261:O269)</f>
        <v>1</v>
      </c>
      <c r="P270" s="361">
        <f>SUM(P261:P269)</f>
        <v>40488</v>
      </c>
      <c r="Q270" s="470">
        <f>SUM(Q261:Q269)</f>
        <v>1</v>
      </c>
      <c r="R270" s="293"/>
      <c r="S270" s="296"/>
      <c r="T270" s="273"/>
    </row>
    <row r="271" spans="1:21" x14ac:dyDescent="0.3">
      <c r="A271" s="258"/>
      <c r="B271" s="362"/>
      <c r="C271" s="362"/>
      <c r="D271" s="477"/>
      <c r="E271" s="477"/>
      <c r="F271" s="477"/>
      <c r="G271" s="477"/>
      <c r="H271" s="477"/>
      <c r="I271" s="477"/>
      <c r="J271" s="477"/>
      <c r="K271" s="477"/>
      <c r="L271" s="477"/>
      <c r="M271" s="477"/>
      <c r="N271" s="363"/>
      <c r="O271" s="478"/>
      <c r="P271" s="479"/>
      <c r="Q271" s="478"/>
      <c r="R271" s="362"/>
      <c r="S271" s="261"/>
      <c r="T271" s="256"/>
    </row>
    <row r="272" spans="1:21" x14ac:dyDescent="0.3">
      <c r="A272" s="285"/>
      <c r="B272" s="368" t="s">
        <v>146</v>
      </c>
      <c r="C272" s="369"/>
      <c r="D272" s="369"/>
      <c r="E272" s="369"/>
      <c r="F272" s="369"/>
      <c r="G272" s="369"/>
      <c r="H272" s="369"/>
      <c r="I272" s="369"/>
      <c r="J272" s="369"/>
      <c r="K272" s="369"/>
      <c r="L272" s="369"/>
      <c r="M272" s="369"/>
      <c r="N272" s="426" t="s">
        <v>83</v>
      </c>
      <c r="O272" s="369" t="s">
        <v>84</v>
      </c>
      <c r="P272" s="426" t="s">
        <v>89</v>
      </c>
      <c r="Q272" s="369" t="s">
        <v>84</v>
      </c>
      <c r="R272" s="286"/>
      <c r="S272" s="289"/>
      <c r="T272" s="256"/>
    </row>
    <row r="273" spans="1:20" s="274" customFormat="1" x14ac:dyDescent="0.3">
      <c r="A273" s="269"/>
      <c r="B273" s="372" t="s">
        <v>72</v>
      </c>
      <c r="C273" s="463"/>
      <c r="D273" s="463"/>
      <c r="E273" s="463"/>
      <c r="F273" s="463"/>
      <c r="G273" s="463"/>
      <c r="H273" s="463"/>
      <c r="I273" s="463"/>
      <c r="J273" s="463"/>
      <c r="K273" s="463"/>
      <c r="L273" s="463"/>
      <c r="M273" s="463"/>
      <c r="N273" s="372">
        <v>0</v>
      </c>
      <c r="O273" s="464">
        <v>0</v>
      </c>
      <c r="P273" s="373">
        <v>0</v>
      </c>
      <c r="Q273" s="464">
        <v>0</v>
      </c>
      <c r="R273" s="290"/>
      <c r="S273" s="272"/>
      <c r="T273" s="273"/>
    </row>
    <row r="274" spans="1:20" s="274" customFormat="1" x14ac:dyDescent="0.3">
      <c r="A274" s="300"/>
      <c r="B274" s="360" t="s">
        <v>73</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74</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119</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120</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t="s">
        <v>121</v>
      </c>
      <c r="C278" s="466"/>
      <c r="D278" s="466"/>
      <c r="E278" s="466"/>
      <c r="F278" s="466"/>
      <c r="G278" s="466"/>
      <c r="H278" s="466"/>
      <c r="I278" s="466"/>
      <c r="J278" s="466"/>
      <c r="K278" s="466"/>
      <c r="L278" s="466"/>
      <c r="M278" s="466"/>
      <c r="N278" s="360">
        <v>0</v>
      </c>
      <c r="O278" s="470">
        <v>0</v>
      </c>
      <c r="P278" s="361">
        <v>0</v>
      </c>
      <c r="Q278" s="470">
        <v>0</v>
      </c>
      <c r="R278" s="293"/>
      <c r="S278" s="296"/>
      <c r="T278" s="273"/>
    </row>
    <row r="279" spans="1:20" s="274" customFormat="1" x14ac:dyDescent="0.3">
      <c r="A279" s="300"/>
      <c r="B279" s="360" t="s">
        <v>122</v>
      </c>
      <c r="C279" s="466"/>
      <c r="D279" s="466"/>
      <c r="E279" s="466"/>
      <c r="F279" s="466"/>
      <c r="G279" s="466"/>
      <c r="H279" s="466"/>
      <c r="I279" s="466"/>
      <c r="J279" s="466"/>
      <c r="K279" s="466"/>
      <c r="L279" s="466"/>
      <c r="M279" s="466"/>
      <c r="N279" s="360">
        <v>0</v>
      </c>
      <c r="O279" s="470">
        <v>0</v>
      </c>
      <c r="P279" s="361">
        <v>0</v>
      </c>
      <c r="Q279" s="470">
        <v>0</v>
      </c>
      <c r="R279" s="293"/>
      <c r="S279" s="296"/>
      <c r="T279" s="273"/>
    </row>
    <row r="280" spans="1:20" s="274" customFormat="1" x14ac:dyDescent="0.3">
      <c r="A280" s="300"/>
      <c r="B280" s="360" t="s">
        <v>123</v>
      </c>
      <c r="C280" s="466"/>
      <c r="D280" s="466"/>
      <c r="E280" s="466"/>
      <c r="F280" s="466"/>
      <c r="G280" s="466"/>
      <c r="H280" s="466"/>
      <c r="I280" s="466"/>
      <c r="J280" s="466"/>
      <c r="K280" s="466"/>
      <c r="L280" s="466"/>
      <c r="M280" s="466"/>
      <c r="N280" s="360">
        <v>0</v>
      </c>
      <c r="O280" s="470">
        <v>0</v>
      </c>
      <c r="P280" s="361">
        <v>0</v>
      </c>
      <c r="Q280" s="470">
        <v>0</v>
      </c>
      <c r="R280" s="293"/>
      <c r="S280" s="296"/>
      <c r="T280" s="273"/>
    </row>
    <row r="281" spans="1:20" s="274" customFormat="1" x14ac:dyDescent="0.3">
      <c r="A281" s="300"/>
      <c r="B281" s="360"/>
      <c r="C281" s="466"/>
      <c r="D281" s="466"/>
      <c r="E281" s="466"/>
      <c r="F281" s="466"/>
      <c r="G281" s="466"/>
      <c r="H281" s="466"/>
      <c r="I281" s="466"/>
      <c r="J281" s="466"/>
      <c r="K281" s="466"/>
      <c r="L281" s="466"/>
      <c r="M281" s="466"/>
      <c r="N281" s="360"/>
      <c r="O281" s="470"/>
      <c r="P281" s="361"/>
      <c r="Q281" s="470"/>
      <c r="R281" s="293"/>
      <c r="S281" s="296"/>
      <c r="T281" s="273"/>
    </row>
    <row r="282" spans="1:20" s="274" customFormat="1" x14ac:dyDescent="0.3">
      <c r="A282" s="300"/>
      <c r="B282" s="293" t="s">
        <v>94</v>
      </c>
      <c r="C282" s="293"/>
      <c r="D282" s="476"/>
      <c r="E282" s="476"/>
      <c r="F282" s="476"/>
      <c r="G282" s="476"/>
      <c r="H282" s="476"/>
      <c r="I282" s="476"/>
      <c r="J282" s="476"/>
      <c r="K282" s="476"/>
      <c r="L282" s="476"/>
      <c r="M282" s="476"/>
      <c r="N282" s="360">
        <f>SUM(N273:N281)</f>
        <v>0</v>
      </c>
      <c r="O282" s="470">
        <f>SUM(O273:O281)</f>
        <v>0</v>
      </c>
      <c r="P282" s="361">
        <f>SUM(P273:P281)</f>
        <v>0</v>
      </c>
      <c r="Q282" s="470">
        <f>SUM(Q273:Q281)</f>
        <v>0</v>
      </c>
      <c r="R282" s="293"/>
      <c r="S282" s="296"/>
      <c r="T282" s="273"/>
    </row>
    <row r="283" spans="1:20" x14ac:dyDescent="0.3">
      <c r="A283" s="258"/>
      <c r="B283" s="362"/>
      <c r="C283" s="362"/>
      <c r="D283" s="477"/>
      <c r="E283" s="477"/>
      <c r="F283" s="477"/>
      <c r="G283" s="477"/>
      <c r="H283" s="477"/>
      <c r="I283" s="477"/>
      <c r="J283" s="477"/>
      <c r="K283" s="477"/>
      <c r="L283" s="477"/>
      <c r="M283" s="477"/>
      <c r="N283" s="363"/>
      <c r="O283" s="478"/>
      <c r="P283" s="479"/>
      <c r="Q283" s="478"/>
      <c r="R283" s="362"/>
      <c r="S283" s="261"/>
      <c r="T283" s="256"/>
    </row>
    <row r="284" spans="1:20" x14ac:dyDescent="0.3">
      <c r="A284" s="285"/>
      <c r="B284" s="368" t="s">
        <v>125</v>
      </c>
      <c r="C284" s="286"/>
      <c r="D284" s="480"/>
      <c r="E284" s="480"/>
      <c r="F284" s="480"/>
      <c r="G284" s="480"/>
      <c r="H284" s="480"/>
      <c r="I284" s="480"/>
      <c r="J284" s="480"/>
      <c r="K284" s="480"/>
      <c r="L284" s="480"/>
      <c r="M284" s="480"/>
      <c r="N284" s="426" t="s">
        <v>83</v>
      </c>
      <c r="O284" s="369" t="s">
        <v>84</v>
      </c>
      <c r="P284" s="426" t="s">
        <v>89</v>
      </c>
      <c r="Q284" s="369" t="s">
        <v>84</v>
      </c>
      <c r="R284" s="286"/>
      <c r="S284" s="289"/>
      <c r="T284" s="256"/>
    </row>
    <row r="285" spans="1:20" s="274" customFormat="1" x14ac:dyDescent="0.3">
      <c r="A285" s="269"/>
      <c r="B285" s="372" t="s">
        <v>72</v>
      </c>
      <c r="C285" s="290"/>
      <c r="D285" s="481"/>
      <c r="E285" s="481"/>
      <c r="F285" s="481"/>
      <c r="G285" s="481"/>
      <c r="H285" s="481"/>
      <c r="I285" s="481"/>
      <c r="J285" s="481"/>
      <c r="K285" s="481"/>
      <c r="L285" s="481"/>
      <c r="M285" s="481"/>
      <c r="N285" s="372">
        <v>0</v>
      </c>
      <c r="O285" s="464">
        <v>0</v>
      </c>
      <c r="P285" s="373">
        <v>0</v>
      </c>
      <c r="Q285" s="464">
        <v>0</v>
      </c>
      <c r="R285" s="290"/>
      <c r="S285" s="272"/>
      <c r="T285" s="273"/>
    </row>
    <row r="286" spans="1:20" s="274" customFormat="1" x14ac:dyDescent="0.3">
      <c r="A286" s="300"/>
      <c r="B286" s="360" t="s">
        <v>73</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74</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119</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120</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t="s">
        <v>121</v>
      </c>
      <c r="C290" s="293"/>
      <c r="D290" s="476"/>
      <c r="E290" s="476"/>
      <c r="F290" s="476"/>
      <c r="G290" s="476"/>
      <c r="H290" s="476"/>
      <c r="I290" s="476"/>
      <c r="J290" s="476"/>
      <c r="K290" s="476"/>
      <c r="L290" s="476"/>
      <c r="M290" s="476"/>
      <c r="N290" s="360">
        <v>0</v>
      </c>
      <c r="O290" s="470">
        <v>0</v>
      </c>
      <c r="P290" s="361">
        <v>0</v>
      </c>
      <c r="Q290" s="470">
        <v>0</v>
      </c>
      <c r="R290" s="293"/>
      <c r="S290" s="296"/>
      <c r="T290" s="273"/>
    </row>
    <row r="291" spans="1:20" s="274" customFormat="1" x14ac:dyDescent="0.3">
      <c r="A291" s="300"/>
      <c r="B291" s="360" t="s">
        <v>122</v>
      </c>
      <c r="C291" s="293"/>
      <c r="D291" s="476"/>
      <c r="E291" s="476"/>
      <c r="F291" s="476"/>
      <c r="G291" s="476"/>
      <c r="H291" s="476"/>
      <c r="I291" s="476"/>
      <c r="J291" s="476"/>
      <c r="K291" s="476"/>
      <c r="L291" s="476"/>
      <c r="M291" s="476"/>
      <c r="N291" s="360">
        <v>0</v>
      </c>
      <c r="O291" s="470">
        <v>0</v>
      </c>
      <c r="P291" s="361">
        <v>0</v>
      </c>
      <c r="Q291" s="470">
        <v>0</v>
      </c>
      <c r="R291" s="293"/>
      <c r="S291" s="296"/>
      <c r="T291" s="273"/>
    </row>
    <row r="292" spans="1:20" s="274" customFormat="1" x14ac:dyDescent="0.3">
      <c r="A292" s="300"/>
      <c r="B292" s="360" t="s">
        <v>123</v>
      </c>
      <c r="C292" s="293"/>
      <c r="D292" s="476"/>
      <c r="E292" s="476"/>
      <c r="F292" s="476"/>
      <c r="G292" s="476"/>
      <c r="H292" s="476"/>
      <c r="I292" s="476"/>
      <c r="J292" s="476"/>
      <c r="K292" s="476"/>
      <c r="L292" s="476"/>
      <c r="M292" s="476"/>
      <c r="N292" s="360">
        <v>0</v>
      </c>
      <c r="O292" s="470">
        <v>0</v>
      </c>
      <c r="P292" s="361">
        <v>0</v>
      </c>
      <c r="Q292" s="470">
        <v>0</v>
      </c>
      <c r="R292" s="293"/>
      <c r="S292" s="296"/>
      <c r="T292" s="273"/>
    </row>
    <row r="293" spans="1:20" s="274" customFormat="1" x14ac:dyDescent="0.3">
      <c r="A293" s="300"/>
      <c r="B293" s="360"/>
      <c r="C293" s="293"/>
      <c r="D293" s="476"/>
      <c r="E293" s="476"/>
      <c r="F293" s="476"/>
      <c r="G293" s="476"/>
      <c r="H293" s="476"/>
      <c r="I293" s="476"/>
      <c r="J293" s="476"/>
      <c r="K293" s="476"/>
      <c r="L293" s="476"/>
      <c r="M293" s="476"/>
      <c r="N293" s="360"/>
      <c r="O293" s="470"/>
      <c r="P293" s="361"/>
      <c r="Q293" s="470"/>
      <c r="R293" s="293"/>
      <c r="S293" s="296"/>
      <c r="T293" s="273"/>
    </row>
    <row r="294" spans="1:20" s="274" customFormat="1" x14ac:dyDescent="0.3">
      <c r="A294" s="300"/>
      <c r="B294" s="293" t="s">
        <v>94</v>
      </c>
      <c r="C294" s="293"/>
      <c r="D294" s="476"/>
      <c r="E294" s="476"/>
      <c r="F294" s="476"/>
      <c r="G294" s="476"/>
      <c r="H294" s="476"/>
      <c r="I294" s="476"/>
      <c r="J294" s="476"/>
      <c r="K294" s="476"/>
      <c r="L294" s="476"/>
      <c r="M294" s="476"/>
      <c r="N294" s="360">
        <f>SUM(N285:N292)</f>
        <v>0</v>
      </c>
      <c r="O294" s="470">
        <f>SUM(O285:O292)</f>
        <v>0</v>
      </c>
      <c r="P294" s="361">
        <f>SUM(P285:P292)</f>
        <v>0</v>
      </c>
      <c r="Q294" s="470">
        <f>SUM(Q285:Q292)</f>
        <v>0</v>
      </c>
      <c r="R294" s="293"/>
      <c r="S294" s="296"/>
      <c r="T294" s="273"/>
    </row>
    <row r="295" spans="1:20" s="274" customFormat="1" x14ac:dyDescent="0.3">
      <c r="A295" s="300"/>
      <c r="B295" s="293"/>
      <c r="C295" s="293"/>
      <c r="D295" s="476"/>
      <c r="E295" s="476"/>
      <c r="F295" s="476"/>
      <c r="G295" s="476"/>
      <c r="H295" s="476"/>
      <c r="I295" s="476"/>
      <c r="J295" s="476"/>
      <c r="K295" s="476"/>
      <c r="L295" s="476"/>
      <c r="M295" s="476"/>
      <c r="N295" s="360"/>
      <c r="O295" s="470"/>
      <c r="P295" s="361"/>
      <c r="Q295" s="470"/>
      <c r="R295" s="293"/>
      <c r="S295" s="296"/>
      <c r="T295" s="273"/>
    </row>
    <row r="296" spans="1:20" s="274" customFormat="1" x14ac:dyDescent="0.3">
      <c r="A296" s="300"/>
      <c r="B296" s="297" t="s">
        <v>176</v>
      </c>
      <c r="C296" s="293"/>
      <c r="D296" s="476"/>
      <c r="E296" s="476"/>
      <c r="F296" s="476"/>
      <c r="G296" s="476"/>
      <c r="H296" s="476"/>
      <c r="I296" s="476"/>
      <c r="J296" s="476"/>
      <c r="K296" s="476"/>
      <c r="L296" s="476"/>
      <c r="M296" s="476"/>
      <c r="N296" s="482">
        <f>N294+N282+N270</f>
        <v>266</v>
      </c>
      <c r="O296" s="470"/>
      <c r="P296" s="483">
        <f>+P294+P282+P270</f>
        <v>40488</v>
      </c>
      <c r="Q296" s="470"/>
      <c r="R296" s="293"/>
      <c r="S296" s="296"/>
      <c r="T296" s="273"/>
    </row>
    <row r="297" spans="1:20" s="274" customFormat="1" x14ac:dyDescent="0.3">
      <c r="A297" s="300"/>
      <c r="B297" s="297" t="s">
        <v>216</v>
      </c>
      <c r="C297" s="297"/>
      <c r="D297" s="484"/>
      <c r="E297" s="484"/>
      <c r="F297" s="484"/>
      <c r="G297" s="484"/>
      <c r="H297" s="484"/>
      <c r="I297" s="484"/>
      <c r="J297" s="484"/>
      <c r="K297" s="484"/>
      <c r="L297" s="484"/>
      <c r="M297" s="484"/>
      <c r="N297" s="482"/>
      <c r="O297" s="485"/>
      <c r="P297" s="483">
        <f>+R183</f>
        <v>0</v>
      </c>
      <c r="Q297" s="470"/>
      <c r="R297" s="293"/>
      <c r="S297" s="296"/>
      <c r="T297" s="273"/>
    </row>
    <row r="298" spans="1:20" s="274" customFormat="1" x14ac:dyDescent="0.3">
      <c r="A298" s="300"/>
      <c r="B298" s="297" t="s">
        <v>126</v>
      </c>
      <c r="C298" s="297"/>
      <c r="D298" s="484"/>
      <c r="E298" s="484"/>
      <c r="F298" s="484"/>
      <c r="G298" s="484"/>
      <c r="H298" s="484"/>
      <c r="I298" s="484"/>
      <c r="J298" s="484"/>
      <c r="K298" s="484"/>
      <c r="L298" s="484"/>
      <c r="M298" s="484"/>
      <c r="N298" s="482"/>
      <c r="O298" s="485"/>
      <c r="P298" s="483">
        <f>+P296+P297</f>
        <v>40488</v>
      </c>
      <c r="Q298" s="470"/>
      <c r="R298" s="293"/>
      <c r="S298" s="296"/>
      <c r="T298" s="273"/>
    </row>
    <row r="299" spans="1:20" s="274" customFormat="1" x14ac:dyDescent="0.3">
      <c r="A299" s="300"/>
      <c r="B299" s="297" t="s">
        <v>175</v>
      </c>
      <c r="C299" s="293"/>
      <c r="D299" s="476"/>
      <c r="E299" s="476"/>
      <c r="F299" s="476"/>
      <c r="G299" s="476"/>
      <c r="H299" s="476"/>
      <c r="I299" s="476"/>
      <c r="J299" s="476"/>
      <c r="K299" s="476"/>
      <c r="L299" s="476"/>
      <c r="M299" s="476"/>
      <c r="N299" s="482"/>
      <c r="O299" s="470"/>
      <c r="P299" s="483">
        <f>+R80</f>
        <v>40488</v>
      </c>
      <c r="Q299" s="470"/>
      <c r="R299" s="293"/>
      <c r="S299" s="296"/>
      <c r="T299" s="273"/>
    </row>
    <row r="300" spans="1:20" s="274" customFormat="1" x14ac:dyDescent="0.3">
      <c r="A300" s="300"/>
      <c r="B300" s="297"/>
      <c r="C300" s="293"/>
      <c r="D300" s="476"/>
      <c r="E300" s="476"/>
      <c r="F300" s="476"/>
      <c r="G300" s="476"/>
      <c r="H300" s="476"/>
      <c r="I300" s="476"/>
      <c r="J300" s="476"/>
      <c r="K300" s="476"/>
      <c r="L300" s="476"/>
      <c r="M300" s="476"/>
      <c r="N300" s="482"/>
      <c r="O300" s="470"/>
      <c r="P300" s="483"/>
      <c r="Q300" s="470"/>
      <c r="R300" s="293"/>
      <c r="S300" s="296"/>
      <c r="T300" s="273"/>
    </row>
    <row r="301" spans="1:20" s="274" customFormat="1" x14ac:dyDescent="0.3">
      <c r="A301" s="300"/>
      <c r="B301" s="297" t="s">
        <v>201</v>
      </c>
      <c r="C301" s="293"/>
      <c r="D301" s="476"/>
      <c r="E301" s="476"/>
      <c r="F301" s="476"/>
      <c r="G301" s="476"/>
      <c r="H301" s="476"/>
      <c r="I301" s="476"/>
      <c r="J301" s="476"/>
      <c r="K301" s="476"/>
      <c r="L301" s="476"/>
      <c r="M301" s="476"/>
      <c r="N301" s="482"/>
      <c r="O301" s="470"/>
      <c r="P301" s="486">
        <f>(L33+R150)/R33</f>
        <v>0.43237406465055295</v>
      </c>
      <c r="Q301" s="470"/>
      <c r="R301" s="293"/>
      <c r="S301" s="296"/>
      <c r="T301" s="273"/>
    </row>
    <row r="302" spans="1:20" s="274" customFormat="1" x14ac:dyDescent="0.3">
      <c r="A302" s="269"/>
      <c r="B302" s="271"/>
      <c r="C302" s="271"/>
      <c r="D302" s="487"/>
      <c r="E302" s="487"/>
      <c r="F302" s="487"/>
      <c r="G302" s="487"/>
      <c r="H302" s="487"/>
      <c r="I302" s="487"/>
      <c r="J302" s="487"/>
      <c r="K302" s="487"/>
      <c r="L302" s="487"/>
      <c r="M302" s="487"/>
      <c r="N302" s="487"/>
      <c r="O302" s="487"/>
      <c r="P302" s="488"/>
      <c r="Q302" s="487"/>
      <c r="R302" s="271"/>
      <c r="S302" s="272"/>
      <c r="T302" s="273"/>
    </row>
    <row r="303" spans="1:20" s="274" customFormat="1" x14ac:dyDescent="0.3">
      <c r="A303" s="269"/>
      <c r="B303" s="270" t="s">
        <v>75</v>
      </c>
      <c r="C303" s="271"/>
      <c r="D303" s="489" t="s">
        <v>79</v>
      </c>
      <c r="E303" s="270"/>
      <c r="F303" s="270" t="s">
        <v>80</v>
      </c>
      <c r="G303" s="271"/>
      <c r="H303" s="270"/>
      <c r="I303" s="271"/>
      <c r="J303" s="271"/>
      <c r="K303" s="271"/>
      <c r="L303" s="271"/>
      <c r="M303" s="271"/>
      <c r="N303" s="271"/>
      <c r="O303" s="271"/>
      <c r="P303" s="271"/>
      <c r="Q303" s="271"/>
      <c r="R303" s="271"/>
      <c r="S303" s="272"/>
      <c r="T303" s="273"/>
    </row>
    <row r="304" spans="1:20" s="274" customFormat="1" x14ac:dyDescent="0.3">
      <c r="A304" s="269"/>
      <c r="B304" s="271"/>
      <c r="C304" s="271"/>
      <c r="D304" s="271"/>
      <c r="E304" s="271"/>
      <c r="F304" s="271"/>
      <c r="G304" s="271"/>
      <c r="H304" s="271"/>
      <c r="I304" s="271"/>
      <c r="J304" s="271"/>
      <c r="K304" s="271"/>
      <c r="L304" s="271"/>
      <c r="M304" s="271"/>
      <c r="N304" s="271"/>
      <c r="O304" s="271"/>
      <c r="P304" s="271"/>
      <c r="Q304" s="271"/>
      <c r="R304" s="271"/>
      <c r="S304" s="272"/>
      <c r="T304" s="273"/>
    </row>
    <row r="305" spans="1:20" s="274" customFormat="1" x14ac:dyDescent="0.3">
      <c r="A305" s="269"/>
      <c r="B305" s="270" t="s">
        <v>192</v>
      </c>
      <c r="C305" s="270"/>
      <c r="D305" s="490" t="s">
        <v>147</v>
      </c>
      <c r="E305" s="270"/>
      <c r="F305" s="270" t="s">
        <v>286</v>
      </c>
      <c r="G305" s="270"/>
      <c r="H305" s="270"/>
      <c r="I305" s="271"/>
      <c r="J305" s="271"/>
      <c r="K305" s="271"/>
      <c r="L305" s="271"/>
      <c r="M305" s="271"/>
      <c r="N305" s="271"/>
      <c r="O305" s="271"/>
      <c r="P305" s="271"/>
      <c r="Q305" s="271"/>
      <c r="R305" s="271"/>
      <c r="S305" s="272"/>
      <c r="T305" s="273"/>
    </row>
    <row r="306" spans="1:20" s="274" customFormat="1" x14ac:dyDescent="0.3">
      <c r="A306" s="269"/>
      <c r="B306" s="270" t="s">
        <v>193</v>
      </c>
      <c r="C306" s="270"/>
      <c r="D306" s="490" t="s">
        <v>114</v>
      </c>
      <c r="E306" s="270"/>
      <c r="F306" s="270" t="s">
        <v>287</v>
      </c>
      <c r="G306" s="270"/>
      <c r="H306" s="270"/>
      <c r="I306" s="271"/>
      <c r="J306" s="271"/>
      <c r="K306" s="271"/>
      <c r="L306" s="271"/>
      <c r="M306" s="271"/>
      <c r="N306" s="271"/>
      <c r="O306" s="271"/>
      <c r="P306" s="271"/>
      <c r="Q306" s="271"/>
      <c r="R306" s="271"/>
      <c r="S306" s="272"/>
      <c r="T306" s="273"/>
    </row>
    <row r="307" spans="1:20" x14ac:dyDescent="0.3">
      <c r="A307" s="491"/>
      <c r="B307" s="492"/>
      <c r="C307" s="492"/>
      <c r="D307" s="493"/>
      <c r="E307" s="493"/>
      <c r="F307" s="493"/>
      <c r="G307" s="493"/>
      <c r="H307" s="493"/>
      <c r="I307" s="493"/>
      <c r="J307" s="493"/>
      <c r="K307" s="493"/>
      <c r="L307" s="493"/>
      <c r="M307" s="493"/>
      <c r="N307" s="493"/>
      <c r="O307" s="493"/>
      <c r="P307" s="493"/>
      <c r="Q307" s="493"/>
      <c r="R307" s="493"/>
      <c r="S307" s="494"/>
      <c r="T307" s="256"/>
    </row>
    <row r="308" spans="1:20" x14ac:dyDescent="0.3">
      <c r="A308" s="491"/>
      <c r="B308" s="492"/>
      <c r="C308" s="492"/>
      <c r="D308" s="493"/>
      <c r="E308" s="493"/>
      <c r="F308" s="493"/>
      <c r="G308" s="493"/>
      <c r="H308" s="493"/>
      <c r="I308" s="493"/>
      <c r="J308" s="493"/>
      <c r="K308" s="493"/>
      <c r="L308" s="493"/>
      <c r="M308" s="493"/>
      <c r="N308" s="493"/>
      <c r="O308" s="493"/>
      <c r="P308" s="493"/>
      <c r="Q308" s="493"/>
      <c r="R308" s="493"/>
      <c r="S308" s="494"/>
      <c r="T308" s="256"/>
    </row>
    <row r="309" spans="1:20" ht="18.600000000000001" thickBot="1" x14ac:dyDescent="0.4">
      <c r="A309" s="491"/>
      <c r="B309" s="495" t="str">
        <f>B208</f>
        <v>PM24 INVESTOR REPORT QUARTER ENDING SEPTEMBER 2019</v>
      </c>
      <c r="C309" s="492"/>
      <c r="D309" s="493"/>
      <c r="E309" s="493"/>
      <c r="F309" s="493"/>
      <c r="G309" s="493"/>
      <c r="H309" s="493"/>
      <c r="I309" s="493"/>
      <c r="J309" s="493"/>
      <c r="K309" s="493"/>
      <c r="L309" s="493"/>
      <c r="M309" s="493"/>
      <c r="N309" s="493"/>
      <c r="O309" s="493"/>
      <c r="P309" s="493"/>
      <c r="Q309" s="493"/>
      <c r="R309" s="493"/>
      <c r="S309" s="496"/>
      <c r="T309" s="256"/>
    </row>
    <row r="310" spans="1:20" x14ac:dyDescent="0.3">
      <c r="A310" s="497"/>
      <c r="B310" s="497"/>
      <c r="C310" s="497"/>
      <c r="D310" s="497"/>
      <c r="E310" s="497"/>
      <c r="F310" s="497"/>
      <c r="G310" s="497"/>
      <c r="H310" s="497"/>
      <c r="I310" s="497"/>
      <c r="J310" s="497"/>
      <c r="K310" s="497"/>
      <c r="L310" s="497"/>
      <c r="M310" s="497"/>
      <c r="N310" s="497"/>
      <c r="O310" s="497"/>
      <c r="P310" s="497"/>
      <c r="Q310" s="497"/>
      <c r="R310" s="497"/>
      <c r="S310" s="497"/>
    </row>
  </sheetData>
  <hyperlinks>
    <hyperlink ref="N246" r:id="rId1" display="http://www.paragon-group.co.uk" xr:uid="{30ABACCA-DD72-4746-8A72-4220F6157D5C}"/>
    <hyperlink ref="K9" r:id="rId2" display="http://www.paragon-group.co.uk" xr:uid="{5660C60C-A4AD-42B7-9E90-83BF4A556089}"/>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5" max="18" man="1"/>
    <brk id="208" max="18" man="1"/>
  </rowBreaks>
  <colBreaks count="1" manualBreakCount="1">
    <brk id="19" max="299" man="1"/>
  </colBreaks>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B4191-3D4D-449F-A8AB-354F7A5F6F30}">
  <sheetPr>
    <tabColor rgb="FF89CB31"/>
  </sheetPr>
  <dimension ref="A1:IR310"/>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43852</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112</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0</v>
      </c>
      <c r="E29" s="307"/>
      <c r="F29" s="308">
        <f>F28*F35</f>
        <v>0</v>
      </c>
      <c r="G29" s="308"/>
      <c r="H29" s="308">
        <f>H28*H35</f>
        <v>6335.0898999999999</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0</v>
      </c>
      <c r="E30" s="312"/>
      <c r="F30" s="312">
        <f t="shared" ref="F30" si="0">F28*F34</f>
        <v>0</v>
      </c>
      <c r="G30" s="312"/>
      <c r="H30" s="312">
        <f t="shared" ref="H30" si="1">H28*H34</f>
        <v>1788.1469299999999</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0</v>
      </c>
      <c r="E32" s="308"/>
      <c r="F32" s="308">
        <f>F31*F35</f>
        <v>0</v>
      </c>
      <c r="G32" s="308"/>
      <c r="H32" s="308">
        <f>H31*H35</f>
        <v>6335.0898999999999</v>
      </c>
      <c r="I32" s="308"/>
      <c r="J32" s="308">
        <f>J31*J35</f>
        <v>25400</v>
      </c>
      <c r="K32" s="308"/>
      <c r="L32" s="308">
        <f>L31*L35</f>
        <v>8753</v>
      </c>
      <c r="M32" s="303"/>
      <c r="N32" s="313"/>
      <c r="O32" s="303"/>
      <c r="P32" s="303"/>
      <c r="Q32" s="302"/>
      <c r="R32" s="303">
        <f>SUM(D32:L32)</f>
        <v>40488.089899999999</v>
      </c>
      <c r="S32" s="304"/>
      <c r="T32" s="273"/>
    </row>
    <row r="33" spans="1:20" s="274" customFormat="1" x14ac:dyDescent="0.3">
      <c r="A33" s="300"/>
      <c r="B33" s="297" t="s">
        <v>223</v>
      </c>
      <c r="C33" s="302"/>
      <c r="D33" s="312">
        <f>D31*D34</f>
        <v>0</v>
      </c>
      <c r="E33" s="312"/>
      <c r="F33" s="312">
        <f t="shared" ref="F33:L33" si="4">F31*F34</f>
        <v>0</v>
      </c>
      <c r="G33" s="312"/>
      <c r="H33" s="312">
        <f t="shared" si="4"/>
        <v>1788.1469299999999</v>
      </c>
      <c r="I33" s="312"/>
      <c r="J33" s="312">
        <f t="shared" si="4"/>
        <v>25400</v>
      </c>
      <c r="K33" s="312"/>
      <c r="L33" s="312">
        <f t="shared" si="4"/>
        <v>8753</v>
      </c>
      <c r="M33" s="310"/>
      <c r="N33" s="313"/>
      <c r="O33" s="303"/>
      <c r="P33" s="303"/>
      <c r="Q33" s="302"/>
      <c r="R33" s="310">
        <f>SUM(D33:L33)</f>
        <v>35941.146930000003</v>
      </c>
      <c r="S33" s="304"/>
      <c r="T33" s="273"/>
    </row>
    <row r="34" spans="1:20" s="324" customFormat="1" x14ac:dyDescent="0.3">
      <c r="A34" s="314"/>
      <c r="B34" s="315" t="s">
        <v>103</v>
      </c>
      <c r="C34" s="316"/>
      <c r="D34" s="317">
        <v>0</v>
      </c>
      <c r="E34" s="317"/>
      <c r="F34" s="317">
        <v>0</v>
      </c>
      <c r="G34" s="317"/>
      <c r="H34" s="317">
        <v>9.2650099999999999E-2</v>
      </c>
      <c r="I34" s="317"/>
      <c r="J34" s="317">
        <v>1</v>
      </c>
      <c r="K34" s="317"/>
      <c r="L34" s="317">
        <v>1</v>
      </c>
      <c r="M34" s="318"/>
      <c r="N34" s="318"/>
      <c r="O34" s="319"/>
      <c r="P34" s="319"/>
      <c r="Q34" s="320"/>
      <c r="R34" s="321"/>
      <c r="S34" s="322"/>
      <c r="T34" s="323"/>
    </row>
    <row r="35" spans="1:20" s="324" customFormat="1" x14ac:dyDescent="0.3">
      <c r="A35" s="314"/>
      <c r="B35" s="316" t="s">
        <v>104</v>
      </c>
      <c r="C35" s="316"/>
      <c r="D35" s="317">
        <v>0</v>
      </c>
      <c r="E35" s="317"/>
      <c r="F35" s="317">
        <v>0</v>
      </c>
      <c r="G35" s="317"/>
      <c r="H35" s="317">
        <v>0.32824300000000001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0</v>
      </c>
      <c r="E37" s="329"/>
      <c r="F37" s="329">
        <v>0</v>
      </c>
      <c r="G37" s="329"/>
      <c r="H37" s="329">
        <v>3.2349999999999997E-2</v>
      </c>
      <c r="I37" s="329"/>
      <c r="J37" s="329">
        <v>3.9849999999999997E-2</v>
      </c>
      <c r="K37" s="329"/>
      <c r="L37" s="329">
        <v>4.335E-2</v>
      </c>
      <c r="M37" s="328"/>
      <c r="N37" s="329"/>
      <c r="O37" s="301"/>
      <c r="P37" s="301"/>
      <c r="Q37" s="293"/>
      <c r="R37" s="328"/>
      <c r="S37" s="296"/>
      <c r="T37" s="273"/>
    </row>
    <row r="38" spans="1:20" s="274" customFormat="1" x14ac:dyDescent="0.3">
      <c r="A38" s="300"/>
      <c r="B38" s="293" t="s">
        <v>10</v>
      </c>
      <c r="C38" s="330"/>
      <c r="D38" s="329">
        <v>7.3600000000000002E-3</v>
      </c>
      <c r="E38" s="329"/>
      <c r="F38" s="329">
        <v>2.2671299999999998E-2</v>
      </c>
      <c r="G38" s="329"/>
      <c r="H38" s="329">
        <v>3.21713E-2</v>
      </c>
      <c r="I38" s="329"/>
      <c r="J38" s="329">
        <v>3.96713E-2</v>
      </c>
      <c r="K38" s="329"/>
      <c r="L38" s="329">
        <v>4.3171300000000003E-2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0</v>
      </c>
      <c r="E40" s="329"/>
      <c r="F40" s="329">
        <f>+F37</f>
        <v>0</v>
      </c>
      <c r="G40" s="329"/>
      <c r="H40" s="329">
        <f>+H37</f>
        <v>3.2349999999999997E-2</v>
      </c>
      <c r="I40" s="329"/>
      <c r="J40" s="329">
        <f>+J37</f>
        <v>3.9849999999999997E-2</v>
      </c>
      <c r="K40" s="329"/>
      <c r="L40" s="329">
        <f>+L37</f>
        <v>4.335E-2</v>
      </c>
      <c r="M40" s="328"/>
      <c r="N40" s="329"/>
      <c r="O40" s="301"/>
      <c r="P40" s="301"/>
      <c r="Q40" s="293"/>
      <c r="R40" s="328">
        <f>SUMPRODUCT(D40:L40,D32:L32)/R32</f>
        <v>3.9433144715107935E-2</v>
      </c>
      <c r="S40" s="296"/>
      <c r="T40" s="273"/>
    </row>
    <row r="41" spans="1:20" s="274" customFormat="1" x14ac:dyDescent="0.3">
      <c r="A41" s="300"/>
      <c r="B41" s="293" t="s">
        <v>228</v>
      </c>
      <c r="C41" s="330"/>
      <c r="D41" s="329">
        <v>2.5141299999999998E-2</v>
      </c>
      <c r="E41" s="329"/>
      <c r="F41" s="329">
        <f>+F38</f>
        <v>2.2671299999999998E-2</v>
      </c>
      <c r="G41" s="329"/>
      <c r="H41" s="329">
        <f>+H38</f>
        <v>3.21713E-2</v>
      </c>
      <c r="I41" s="329"/>
      <c r="J41" s="329">
        <f>+J38</f>
        <v>3.96713E-2</v>
      </c>
      <c r="K41" s="329"/>
      <c r="L41" s="329">
        <f>+L38</f>
        <v>4.3171300000000003E-2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498" t="s">
        <v>97</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43845</v>
      </c>
      <c r="S52" s="296"/>
      <c r="T52" s="273"/>
    </row>
    <row r="53" spans="1:21" s="274" customFormat="1" x14ac:dyDescent="0.3">
      <c r="A53" s="300"/>
      <c r="B53" s="293" t="s">
        <v>99</v>
      </c>
      <c r="C53" s="293"/>
      <c r="D53" s="338"/>
      <c r="E53" s="338"/>
      <c r="F53" s="338"/>
      <c r="G53" s="338"/>
      <c r="H53" s="338"/>
      <c r="I53" s="338"/>
      <c r="J53" s="338"/>
      <c r="K53" s="338"/>
      <c r="L53" s="338"/>
      <c r="M53" s="338"/>
      <c r="N53" s="293">
        <f>+R53-P53+1</f>
        <v>92</v>
      </c>
      <c r="O53" s="293"/>
      <c r="P53" s="339">
        <v>43661</v>
      </c>
      <c r="Q53" s="340"/>
      <c r="R53" s="339">
        <v>43752</v>
      </c>
      <c r="S53" s="296"/>
      <c r="T53" s="273"/>
    </row>
    <row r="54" spans="1:21" s="274" customFormat="1" x14ac:dyDescent="0.3">
      <c r="A54" s="300"/>
      <c r="B54" s="293" t="s">
        <v>100</v>
      </c>
      <c r="C54" s="293"/>
      <c r="D54" s="293"/>
      <c r="E54" s="293"/>
      <c r="F54" s="293"/>
      <c r="G54" s="293"/>
      <c r="H54" s="293"/>
      <c r="I54" s="293"/>
      <c r="J54" s="293"/>
      <c r="K54" s="293"/>
      <c r="L54" s="293"/>
      <c r="M54" s="293"/>
      <c r="N54" s="293">
        <f>+R54-P54+1</f>
        <v>92</v>
      </c>
      <c r="O54" s="293"/>
      <c r="P54" s="339">
        <v>43753</v>
      </c>
      <c r="Q54" s="340"/>
      <c r="R54" s="339">
        <v>43844</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43832</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301</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40488</v>
      </c>
      <c r="I64" s="360"/>
      <c r="J64" s="361">
        <v>27</v>
      </c>
      <c r="K64" s="360"/>
      <c r="L64" s="360">
        <v>3080</v>
      </c>
      <c r="M64" s="360"/>
      <c r="N64" s="360">
        <v>0</v>
      </c>
      <c r="O64" s="360"/>
      <c r="P64" s="360">
        <f>1024+290+126</f>
        <v>1440</v>
      </c>
      <c r="Q64" s="360"/>
      <c r="R64" s="361">
        <f>H64-J64-L64+N64-P64</f>
        <v>35941</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40488</v>
      </c>
      <c r="I67" s="360"/>
      <c r="J67" s="360">
        <f>J64+J65</f>
        <v>27</v>
      </c>
      <c r="K67" s="360"/>
      <c r="L67" s="360">
        <f>SUM(L64:L66)</f>
        <v>3080</v>
      </c>
      <c r="M67" s="360"/>
      <c r="N67" s="360">
        <f>SUM(N64:N66)</f>
        <v>0</v>
      </c>
      <c r="O67" s="360"/>
      <c r="P67" s="360">
        <f>SUM(P64:P66)</f>
        <v>1440</v>
      </c>
      <c r="Q67" s="360"/>
      <c r="R67" s="360">
        <f>SUM(R64:R66)</f>
        <v>35941</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40488</v>
      </c>
      <c r="I80" s="360"/>
      <c r="J80" s="360"/>
      <c r="K80" s="360"/>
      <c r="L80" s="360"/>
      <c r="M80" s="360"/>
      <c r="N80" s="360"/>
      <c r="O80" s="360"/>
      <c r="P80" s="360"/>
      <c r="Q80" s="360"/>
      <c r="R80" s="360">
        <f>SUM(R67:R79)</f>
        <v>35941</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+P209</f>
        <v>43830</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4547</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585-121</f>
        <v>464</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15</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23</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39</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4547</v>
      </c>
      <c r="Q97" s="293"/>
      <c r="R97" s="360">
        <f>SUM(R84:R96)</f>
        <v>541</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4547</v>
      </c>
      <c r="Q100" s="293"/>
      <c r="R100" s="360">
        <f>R97+R98+R99</f>
        <v>541</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-16-9-3</f>
        <v>-28</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-23</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0</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0</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-52</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-255</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-15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-96</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-15</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-4-50</f>
        <v>-54</v>
      </c>
      <c r="S118" s="296"/>
      <c r="T118" s="273"/>
    </row>
    <row r="119" spans="1:20" s="274" customFormat="1" x14ac:dyDescent="0.3">
      <c r="A119" s="300">
        <v>17</v>
      </c>
      <c r="B119" s="293" t="s">
        <v>297</v>
      </c>
      <c r="C119" s="293"/>
      <c r="D119" s="293"/>
      <c r="E119" s="293"/>
      <c r="F119" s="293"/>
      <c r="G119" s="293"/>
      <c r="H119" s="293"/>
      <c r="I119" s="293"/>
      <c r="J119" s="293"/>
      <c r="K119" s="293"/>
      <c r="L119" s="293"/>
      <c r="M119" s="293"/>
      <c r="N119" s="293"/>
      <c r="O119" s="293"/>
      <c r="P119" s="293"/>
      <c r="Q119" s="293"/>
      <c r="R119" s="361">
        <v>0</v>
      </c>
      <c r="S119" s="296"/>
      <c r="T119" s="273"/>
    </row>
    <row r="120" spans="1:20" s="274" customFormat="1" x14ac:dyDescent="0.3">
      <c r="A120" s="300">
        <v>18</v>
      </c>
      <c r="B120" s="293" t="s">
        <v>298</v>
      </c>
      <c r="C120" s="293"/>
      <c r="D120" s="293"/>
      <c r="E120" s="293"/>
      <c r="F120" s="293"/>
      <c r="G120" s="293"/>
      <c r="H120" s="293"/>
      <c r="I120" s="293"/>
      <c r="J120" s="293"/>
      <c r="K120" s="293"/>
      <c r="L120" s="293"/>
      <c r="M120" s="293"/>
      <c r="N120" s="293"/>
      <c r="O120" s="293"/>
      <c r="P120" s="293"/>
      <c r="Q120" s="293"/>
      <c r="R120" s="361">
        <v>0</v>
      </c>
      <c r="S120" s="296"/>
      <c r="T120" s="273"/>
    </row>
    <row r="121" spans="1:20" s="274" customFormat="1" x14ac:dyDescent="0.3">
      <c r="A121" s="300">
        <v>19</v>
      </c>
      <c r="B121" s="293" t="s">
        <v>299</v>
      </c>
      <c r="C121" s="293"/>
      <c r="D121" s="293"/>
      <c r="E121" s="293"/>
      <c r="F121" s="293"/>
      <c r="G121" s="293"/>
      <c r="H121" s="293"/>
      <c r="I121" s="293"/>
      <c r="J121" s="293"/>
      <c r="K121" s="293"/>
      <c r="L121" s="293"/>
      <c r="M121" s="293"/>
      <c r="N121" s="293"/>
      <c r="O121" s="293"/>
      <c r="P121" s="293"/>
      <c r="Q121" s="293"/>
      <c r="R121" s="361">
        <v>0</v>
      </c>
      <c r="S121" s="296"/>
      <c r="T121" s="273"/>
    </row>
    <row r="122" spans="1:20" s="274" customFormat="1" x14ac:dyDescent="0.3">
      <c r="A122" s="300">
        <v>20</v>
      </c>
      <c r="B122" s="293" t="s">
        <v>300</v>
      </c>
      <c r="C122" s="293"/>
      <c r="D122" s="293"/>
      <c r="E122" s="293"/>
      <c r="F122" s="293"/>
      <c r="G122" s="293"/>
      <c r="H122" s="293"/>
      <c r="I122" s="293"/>
      <c r="J122" s="293"/>
      <c r="K122" s="293"/>
      <c r="L122" s="293"/>
      <c r="M122" s="293"/>
      <c r="N122" s="293"/>
      <c r="O122" s="293"/>
      <c r="P122" s="293"/>
      <c r="Q122" s="293"/>
      <c r="R122" s="361">
        <f>-R100-SUM(R102:R121)</f>
        <v>0</v>
      </c>
      <c r="S122" s="296"/>
      <c r="T122" s="273"/>
    </row>
    <row r="123" spans="1:20" x14ac:dyDescent="0.3">
      <c r="A123" s="376"/>
      <c r="B123" s="377" t="s">
        <v>30</v>
      </c>
      <c r="C123" s="316"/>
      <c r="D123" s="316"/>
      <c r="E123" s="316"/>
      <c r="F123" s="316"/>
      <c r="G123" s="316"/>
      <c r="H123" s="316"/>
      <c r="I123" s="316"/>
      <c r="J123" s="316"/>
      <c r="K123" s="316"/>
      <c r="L123" s="316"/>
      <c r="M123" s="316"/>
      <c r="N123" s="316"/>
      <c r="O123" s="316"/>
      <c r="P123" s="379"/>
      <c r="Q123" s="379"/>
      <c r="R123" s="383"/>
      <c r="S123" s="381"/>
      <c r="T123" s="256"/>
    </row>
    <row r="124" spans="1:20" s="274" customFormat="1" x14ac:dyDescent="0.3">
      <c r="A124" s="300"/>
      <c r="B124" s="293" t="s">
        <v>207</v>
      </c>
      <c r="C124" s="293"/>
      <c r="D124" s="293"/>
      <c r="E124" s="293"/>
      <c r="F124" s="293"/>
      <c r="G124" s="293"/>
      <c r="H124" s="293"/>
      <c r="I124" s="293"/>
      <c r="J124" s="293"/>
      <c r="K124" s="293"/>
      <c r="L124" s="293"/>
      <c r="M124" s="293"/>
      <c r="N124" s="293"/>
      <c r="O124" s="293"/>
      <c r="P124" s="360">
        <f>-P191</f>
        <v>0</v>
      </c>
      <c r="Q124" s="360"/>
      <c r="R124" s="361"/>
      <c r="S124" s="296"/>
      <c r="T124" s="273"/>
    </row>
    <row r="125" spans="1:20" s="274" customFormat="1" x14ac:dyDescent="0.3">
      <c r="A125" s="300"/>
      <c r="B125" s="293" t="s">
        <v>208</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237</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236</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180</v>
      </c>
      <c r="C128" s="293"/>
      <c r="D128" s="293"/>
      <c r="E128" s="293"/>
      <c r="F128" s="293"/>
      <c r="G128" s="293"/>
      <c r="H128" s="293"/>
      <c r="I128" s="293"/>
      <c r="J128" s="293"/>
      <c r="K128" s="293"/>
      <c r="L128" s="293"/>
      <c r="M128" s="293"/>
      <c r="N128" s="293"/>
      <c r="O128" s="293"/>
      <c r="P128" s="360">
        <v>-4547</v>
      </c>
      <c r="Q128" s="360"/>
      <c r="R128" s="361"/>
      <c r="S128" s="296"/>
      <c r="T128" s="273"/>
    </row>
    <row r="129" spans="1:20" s="274" customFormat="1" x14ac:dyDescent="0.3">
      <c r="A129" s="300"/>
      <c r="B129" s="293" t="s">
        <v>181</v>
      </c>
      <c r="C129" s="293"/>
      <c r="D129" s="293"/>
      <c r="E129" s="293"/>
      <c r="F129" s="293"/>
      <c r="G129" s="293"/>
      <c r="H129" s="293"/>
      <c r="I129" s="293"/>
      <c r="J129" s="293"/>
      <c r="K129" s="293"/>
      <c r="L129" s="293"/>
      <c r="M129" s="293"/>
      <c r="N129" s="293"/>
      <c r="O129" s="293"/>
      <c r="P129" s="360">
        <v>0</v>
      </c>
      <c r="Q129" s="360"/>
      <c r="R129" s="361"/>
      <c r="S129" s="296"/>
      <c r="T129" s="273"/>
    </row>
    <row r="130" spans="1:20" s="274" customFormat="1" x14ac:dyDescent="0.3">
      <c r="A130" s="300"/>
      <c r="B130" s="293" t="s">
        <v>270</v>
      </c>
      <c r="C130" s="293"/>
      <c r="D130" s="293"/>
      <c r="E130" s="293"/>
      <c r="F130" s="293"/>
      <c r="G130" s="293"/>
      <c r="H130" s="293"/>
      <c r="I130" s="293"/>
      <c r="J130" s="293"/>
      <c r="K130" s="293"/>
      <c r="L130" s="293"/>
      <c r="M130" s="293"/>
      <c r="N130" s="293"/>
      <c r="O130" s="293"/>
      <c r="P130" s="360">
        <v>0</v>
      </c>
      <c r="Q130" s="360"/>
      <c r="R130" s="361"/>
      <c r="S130" s="296"/>
      <c r="T130" s="273"/>
    </row>
    <row r="131" spans="1:20" s="274" customFormat="1" x14ac:dyDescent="0.3">
      <c r="A131" s="300"/>
      <c r="B131" s="293" t="s">
        <v>31</v>
      </c>
      <c r="C131" s="293"/>
      <c r="D131" s="293"/>
      <c r="E131" s="293"/>
      <c r="F131" s="293"/>
      <c r="G131" s="293"/>
      <c r="H131" s="293"/>
      <c r="I131" s="293"/>
      <c r="J131" s="293"/>
      <c r="K131" s="293"/>
      <c r="L131" s="293"/>
      <c r="M131" s="293"/>
      <c r="N131" s="293"/>
      <c r="O131" s="293"/>
      <c r="P131" s="360">
        <f>SUM(P124:P130)</f>
        <v>-4547</v>
      </c>
      <c r="Q131" s="360"/>
      <c r="R131" s="360">
        <f>SUM(R101:R130)</f>
        <v>-541</v>
      </c>
      <c r="S131" s="296"/>
      <c r="T131" s="273"/>
    </row>
    <row r="132" spans="1:20" s="274" customFormat="1" x14ac:dyDescent="0.3">
      <c r="A132" s="300"/>
      <c r="B132" s="293" t="s">
        <v>32</v>
      </c>
      <c r="C132" s="293"/>
      <c r="D132" s="293"/>
      <c r="E132" s="293"/>
      <c r="F132" s="293"/>
      <c r="G132" s="293"/>
      <c r="H132" s="293"/>
      <c r="I132" s="293"/>
      <c r="J132" s="293"/>
      <c r="K132" s="293"/>
      <c r="L132" s="293"/>
      <c r="M132" s="293"/>
      <c r="N132" s="293"/>
      <c r="O132" s="293"/>
      <c r="P132" s="360">
        <f>P100+P131+P111</f>
        <v>0</v>
      </c>
      <c r="Q132" s="360"/>
      <c r="R132" s="360">
        <f>R100+R131</f>
        <v>0</v>
      </c>
      <c r="S132" s="296"/>
      <c r="T132" s="273"/>
    </row>
    <row r="133" spans="1:20" s="274" customFormat="1" x14ac:dyDescent="0.3">
      <c r="A133" s="269"/>
      <c r="B133" s="290"/>
      <c r="C133" s="290"/>
      <c r="D133" s="290"/>
      <c r="E133" s="290"/>
      <c r="F133" s="290"/>
      <c r="G133" s="290"/>
      <c r="H133" s="290"/>
      <c r="I133" s="290"/>
      <c r="J133" s="290"/>
      <c r="K133" s="290"/>
      <c r="L133" s="290"/>
      <c r="M133" s="290"/>
      <c r="N133" s="290"/>
      <c r="O133" s="290"/>
      <c r="P133" s="372"/>
      <c r="Q133" s="372"/>
      <c r="R133" s="372"/>
      <c r="S133" s="272"/>
      <c r="T133" s="273"/>
    </row>
    <row r="134" spans="1:20" s="274" customFormat="1" x14ac:dyDescent="0.3">
      <c r="A134" s="269"/>
      <c r="B134" s="271"/>
      <c r="C134" s="271"/>
      <c r="D134" s="271"/>
      <c r="E134" s="271"/>
      <c r="F134" s="271"/>
      <c r="G134" s="271"/>
      <c r="H134" s="271"/>
      <c r="I134" s="271"/>
      <c r="J134" s="271"/>
      <c r="K134" s="271"/>
      <c r="L134" s="271"/>
      <c r="M134" s="271"/>
      <c r="N134" s="271"/>
      <c r="O134" s="271"/>
      <c r="P134" s="271"/>
      <c r="Q134" s="271"/>
      <c r="R134" s="384"/>
      <c r="S134" s="272"/>
      <c r="T134" s="273"/>
    </row>
    <row r="135" spans="1:20" s="274" customFormat="1" ht="18.600000000000001" thickBot="1" x14ac:dyDescent="0.4">
      <c r="A135" s="346"/>
      <c r="B135" s="347" t="str">
        <f>B60</f>
        <v>PM24 INVESTOR REPORT QUARTER ENDING DECEMBER 2019</v>
      </c>
      <c r="C135" s="348"/>
      <c r="D135" s="348"/>
      <c r="E135" s="348"/>
      <c r="F135" s="348"/>
      <c r="G135" s="348"/>
      <c r="H135" s="348"/>
      <c r="I135" s="348"/>
      <c r="J135" s="348"/>
      <c r="K135" s="348"/>
      <c r="L135" s="348"/>
      <c r="M135" s="348"/>
      <c r="N135" s="348"/>
      <c r="O135" s="348"/>
      <c r="P135" s="348"/>
      <c r="Q135" s="348"/>
      <c r="R135" s="385"/>
      <c r="S135" s="350"/>
      <c r="T135" s="273"/>
    </row>
    <row r="136" spans="1:20" x14ac:dyDescent="0.3">
      <c r="A136" s="386"/>
      <c r="B136" s="387" t="s">
        <v>33</v>
      </c>
      <c r="C136" s="388"/>
      <c r="D136" s="388"/>
      <c r="E136" s="388"/>
      <c r="F136" s="388"/>
      <c r="G136" s="388"/>
      <c r="H136" s="388"/>
      <c r="I136" s="388"/>
      <c r="J136" s="388"/>
      <c r="K136" s="388"/>
      <c r="L136" s="388"/>
      <c r="M136" s="388"/>
      <c r="N136" s="388"/>
      <c r="O136" s="388"/>
      <c r="P136" s="388"/>
      <c r="Q136" s="388"/>
      <c r="R136" s="389"/>
      <c r="S136" s="390"/>
      <c r="T136" s="256"/>
    </row>
    <row r="137" spans="1:20" x14ac:dyDescent="0.3">
      <c r="A137" s="258"/>
      <c r="B137" s="391"/>
      <c r="C137" s="260"/>
      <c r="D137" s="260"/>
      <c r="E137" s="260"/>
      <c r="F137" s="260"/>
      <c r="G137" s="260"/>
      <c r="H137" s="260"/>
      <c r="I137" s="260"/>
      <c r="J137" s="260"/>
      <c r="K137" s="260"/>
      <c r="L137" s="260"/>
      <c r="M137" s="260"/>
      <c r="N137" s="260"/>
      <c r="O137" s="260"/>
      <c r="P137" s="260"/>
      <c r="Q137" s="260"/>
      <c r="R137" s="354"/>
      <c r="S137" s="261"/>
      <c r="T137" s="256"/>
    </row>
    <row r="138" spans="1:20" x14ac:dyDescent="0.3">
      <c r="A138" s="258"/>
      <c r="B138" s="392" t="s">
        <v>34</v>
      </c>
      <c r="C138" s="260"/>
      <c r="D138" s="260"/>
      <c r="E138" s="260"/>
      <c r="F138" s="260"/>
      <c r="G138" s="260"/>
      <c r="H138" s="260"/>
      <c r="I138" s="260"/>
      <c r="J138" s="260"/>
      <c r="K138" s="260"/>
      <c r="L138" s="260"/>
      <c r="M138" s="260"/>
      <c r="N138" s="260"/>
      <c r="O138" s="260"/>
      <c r="P138" s="260"/>
      <c r="Q138" s="260"/>
      <c r="R138" s="354"/>
      <c r="S138" s="261"/>
      <c r="T138" s="256"/>
    </row>
    <row r="139" spans="1:20" s="274" customFormat="1" x14ac:dyDescent="0.3">
      <c r="A139" s="300"/>
      <c r="B139" s="293" t="s">
        <v>35</v>
      </c>
      <c r="C139" s="293"/>
      <c r="D139" s="293"/>
      <c r="E139" s="293"/>
      <c r="F139" s="293"/>
      <c r="G139" s="293"/>
      <c r="H139" s="293"/>
      <c r="I139" s="293"/>
      <c r="J139" s="293"/>
      <c r="K139" s="293"/>
      <c r="L139" s="293"/>
      <c r="M139" s="293"/>
      <c r="N139" s="293"/>
      <c r="O139" s="293"/>
      <c r="P139" s="293"/>
      <c r="Q139" s="293"/>
      <c r="R139" s="361">
        <v>8753</v>
      </c>
      <c r="S139" s="296"/>
      <c r="T139" s="273"/>
    </row>
    <row r="140" spans="1:20" s="274" customFormat="1" x14ac:dyDescent="0.3">
      <c r="A140" s="300"/>
      <c r="B140" s="293" t="s">
        <v>36</v>
      </c>
      <c r="C140" s="293"/>
      <c r="D140" s="293"/>
      <c r="E140" s="293"/>
      <c r="F140" s="293"/>
      <c r="G140" s="293"/>
      <c r="H140" s="293"/>
      <c r="I140" s="293"/>
      <c r="J140" s="293"/>
      <c r="K140" s="293"/>
      <c r="L140" s="293"/>
      <c r="M140" s="293"/>
      <c r="N140" s="293"/>
      <c r="O140" s="293"/>
      <c r="P140" s="293"/>
      <c r="Q140" s="293"/>
      <c r="R140" s="361">
        <v>0</v>
      </c>
      <c r="S140" s="296"/>
      <c r="T140" s="273"/>
    </row>
    <row r="141" spans="1:20" s="274" customFormat="1" x14ac:dyDescent="0.3">
      <c r="A141" s="300"/>
      <c r="B141" s="293" t="s">
        <v>169</v>
      </c>
      <c r="C141" s="293"/>
      <c r="D141" s="293"/>
      <c r="E141" s="293"/>
      <c r="F141" s="293"/>
      <c r="G141" s="293"/>
      <c r="H141" s="293"/>
      <c r="I141" s="293"/>
      <c r="J141" s="293"/>
      <c r="K141" s="293"/>
      <c r="L141" s="293"/>
      <c r="M141" s="293"/>
      <c r="N141" s="293"/>
      <c r="O141" s="293"/>
      <c r="P141" s="293"/>
      <c r="Q141" s="293"/>
      <c r="R141" s="361">
        <f>R139-R142</f>
        <v>8073.2963267499999</v>
      </c>
      <c r="S141" s="296"/>
      <c r="T141" s="273"/>
    </row>
    <row r="142" spans="1:20" s="274" customFormat="1" x14ac:dyDescent="0.3">
      <c r="A142" s="300"/>
      <c r="B142" s="293" t="s">
        <v>209</v>
      </c>
      <c r="C142" s="293"/>
      <c r="D142" s="293"/>
      <c r="E142" s="293"/>
      <c r="F142" s="293"/>
      <c r="G142" s="293"/>
      <c r="H142" s="293"/>
      <c r="I142" s="293"/>
      <c r="J142" s="293"/>
      <c r="K142" s="293"/>
      <c r="L142" s="293"/>
      <c r="M142" s="293"/>
      <c r="N142" s="293"/>
      <c r="O142" s="293"/>
      <c r="P142" s="293"/>
      <c r="Q142" s="293"/>
      <c r="R142" s="361">
        <f>SUM(D33:J33)*0.025</f>
        <v>679.70367325000007</v>
      </c>
      <c r="S142" s="296"/>
      <c r="T142" s="273"/>
    </row>
    <row r="143" spans="1:20" s="274" customFormat="1" x14ac:dyDescent="0.3">
      <c r="A143" s="300"/>
      <c r="B143" s="293" t="s">
        <v>108</v>
      </c>
      <c r="C143" s="293"/>
      <c r="D143" s="293"/>
      <c r="E143" s="293"/>
      <c r="F143" s="293"/>
      <c r="G143" s="293"/>
      <c r="H143" s="293"/>
      <c r="I143" s="293"/>
      <c r="J143" s="293"/>
      <c r="K143" s="293"/>
      <c r="L143" s="293"/>
      <c r="M143" s="293"/>
      <c r="N143" s="293"/>
      <c r="O143" s="293"/>
      <c r="P143" s="293"/>
      <c r="Q143" s="293"/>
      <c r="R143" s="361"/>
      <c r="S143" s="296"/>
      <c r="T143" s="273"/>
    </row>
    <row r="144" spans="1:20" s="274" customFormat="1" x14ac:dyDescent="0.3">
      <c r="A144" s="300"/>
      <c r="B144" s="293" t="s">
        <v>155</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188</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189</v>
      </c>
      <c r="C146" s="293"/>
      <c r="D146" s="293"/>
      <c r="E146" s="293"/>
      <c r="F146" s="293"/>
      <c r="G146" s="293"/>
      <c r="H146" s="293"/>
      <c r="I146" s="293"/>
      <c r="J146" s="293"/>
      <c r="K146" s="293"/>
      <c r="L146" s="293"/>
      <c r="M146" s="293"/>
      <c r="N146" s="293"/>
      <c r="O146" s="293"/>
      <c r="P146" s="293"/>
      <c r="Q146" s="293"/>
      <c r="R146" s="361">
        <v>0</v>
      </c>
      <c r="S146" s="296"/>
      <c r="T146" s="273"/>
    </row>
    <row r="147" spans="1:21" s="274" customFormat="1" x14ac:dyDescent="0.3">
      <c r="A147" s="300"/>
      <c r="B147" s="293" t="s">
        <v>37</v>
      </c>
      <c r="C147" s="293"/>
      <c r="D147" s="293"/>
      <c r="E147" s="293"/>
      <c r="F147" s="293"/>
      <c r="G147" s="293"/>
      <c r="H147" s="293"/>
      <c r="I147" s="293"/>
      <c r="J147" s="293"/>
      <c r="K147" s="293"/>
      <c r="L147" s="293"/>
      <c r="M147" s="293"/>
      <c r="N147" s="293"/>
      <c r="O147" s="293"/>
      <c r="P147" s="293"/>
      <c r="Q147" s="293"/>
      <c r="R147" s="361">
        <v>0</v>
      </c>
      <c r="S147" s="296"/>
      <c r="T147" s="273"/>
    </row>
    <row r="148" spans="1:21" s="274" customFormat="1" x14ac:dyDescent="0.3">
      <c r="A148" s="300"/>
      <c r="B148" s="293" t="s">
        <v>102</v>
      </c>
      <c r="C148" s="293"/>
      <c r="D148" s="293"/>
      <c r="E148" s="293"/>
      <c r="F148" s="293"/>
      <c r="G148" s="293"/>
      <c r="H148" s="293"/>
      <c r="I148" s="293"/>
      <c r="J148" s="293"/>
      <c r="K148" s="293"/>
      <c r="L148" s="293"/>
      <c r="M148" s="293"/>
      <c r="N148" s="293"/>
      <c r="O148" s="293"/>
      <c r="P148" s="293"/>
      <c r="Q148" s="293"/>
      <c r="R148" s="361">
        <v>0</v>
      </c>
      <c r="S148" s="296"/>
      <c r="T148" s="273"/>
    </row>
    <row r="149" spans="1:21" s="274" customFormat="1" x14ac:dyDescent="0.3">
      <c r="A149" s="300"/>
      <c r="B149" s="293" t="s">
        <v>271</v>
      </c>
      <c r="C149" s="293"/>
      <c r="D149" s="293"/>
      <c r="E149" s="293"/>
      <c r="F149" s="293"/>
      <c r="G149" s="293"/>
      <c r="H149" s="293"/>
      <c r="I149" s="293"/>
      <c r="J149" s="293"/>
      <c r="K149" s="293"/>
      <c r="L149" s="293"/>
      <c r="M149" s="293"/>
      <c r="N149" s="293"/>
      <c r="O149" s="293"/>
      <c r="P149" s="293"/>
      <c r="Q149" s="293"/>
      <c r="R149" s="361">
        <v>0</v>
      </c>
      <c r="S149" s="296"/>
      <c r="T149" s="273"/>
      <c r="U149" s="382"/>
    </row>
    <row r="150" spans="1:21" s="274" customFormat="1" x14ac:dyDescent="0.3">
      <c r="A150" s="300"/>
      <c r="B150" s="293" t="s">
        <v>38</v>
      </c>
      <c r="C150" s="293"/>
      <c r="D150" s="293"/>
      <c r="E150" s="293"/>
      <c r="F150" s="293"/>
      <c r="G150" s="293"/>
      <c r="H150" s="293"/>
      <c r="I150" s="293"/>
      <c r="J150" s="293"/>
      <c r="K150" s="293"/>
      <c r="L150" s="293"/>
      <c r="M150" s="293"/>
      <c r="N150" s="293"/>
      <c r="O150" s="293"/>
      <c r="P150" s="293"/>
      <c r="Q150" s="293"/>
      <c r="R150" s="361">
        <f>SUM(R140:R149)</f>
        <v>8753</v>
      </c>
      <c r="S150" s="296"/>
      <c r="T150" s="273"/>
    </row>
    <row r="151" spans="1:21" x14ac:dyDescent="0.3">
      <c r="A151" s="258"/>
      <c r="B151" s="362"/>
      <c r="C151" s="362"/>
      <c r="D151" s="362"/>
      <c r="E151" s="362"/>
      <c r="F151" s="362"/>
      <c r="G151" s="362"/>
      <c r="H151" s="362"/>
      <c r="I151" s="362"/>
      <c r="J151" s="362"/>
      <c r="K151" s="362"/>
      <c r="L151" s="362"/>
      <c r="M151" s="362"/>
      <c r="N151" s="362"/>
      <c r="O151" s="362"/>
      <c r="P151" s="362"/>
      <c r="Q151" s="362"/>
      <c r="R151" s="393"/>
      <c r="S151" s="261"/>
      <c r="T151" s="256"/>
    </row>
    <row r="152" spans="1:21" x14ac:dyDescent="0.3">
      <c r="A152" s="258"/>
      <c r="B152" s="392" t="s">
        <v>202</v>
      </c>
      <c r="C152" s="260"/>
      <c r="D152" s="260"/>
      <c r="E152" s="260"/>
      <c r="F152" s="260"/>
      <c r="G152" s="260"/>
      <c r="H152" s="260"/>
      <c r="I152" s="260"/>
      <c r="J152" s="260"/>
      <c r="K152" s="260"/>
      <c r="L152" s="260"/>
      <c r="M152" s="260"/>
      <c r="N152" s="260"/>
      <c r="O152" s="260"/>
      <c r="P152" s="260"/>
      <c r="Q152" s="260"/>
      <c r="R152" s="354"/>
      <c r="S152" s="261"/>
      <c r="T152" s="256"/>
    </row>
    <row r="153" spans="1:21" s="274" customFormat="1" x14ac:dyDescent="0.3">
      <c r="A153" s="300"/>
      <c r="B153" s="293" t="s">
        <v>168</v>
      </c>
      <c r="C153" s="293"/>
      <c r="D153" s="293"/>
      <c r="E153" s="293"/>
      <c r="F153" s="293"/>
      <c r="G153" s="293"/>
      <c r="H153" s="293"/>
      <c r="I153" s="293"/>
      <c r="J153" s="293"/>
      <c r="K153" s="293"/>
      <c r="L153" s="293"/>
      <c r="M153" s="293"/>
      <c r="N153" s="293"/>
      <c r="O153" s="293"/>
      <c r="P153" s="293"/>
      <c r="Q153" s="293"/>
      <c r="R153" s="361">
        <f>+F77</f>
        <v>0</v>
      </c>
      <c r="S153" s="296"/>
      <c r="T153" s="273"/>
    </row>
    <row r="154" spans="1:21" s="274" customFormat="1" x14ac:dyDescent="0.3">
      <c r="A154" s="300"/>
      <c r="B154" s="293" t="s">
        <v>190</v>
      </c>
      <c r="C154" s="293"/>
      <c r="D154" s="293"/>
      <c r="E154" s="293"/>
      <c r="F154" s="293"/>
      <c r="G154" s="293"/>
      <c r="H154" s="293"/>
      <c r="I154" s="293"/>
      <c r="J154" s="293"/>
      <c r="K154" s="293"/>
      <c r="L154" s="293"/>
      <c r="M154" s="293"/>
      <c r="N154" s="293"/>
      <c r="O154" s="293"/>
      <c r="P154" s="293"/>
      <c r="Q154" s="293"/>
      <c r="R154" s="361">
        <f>+J77</f>
        <v>0</v>
      </c>
      <c r="S154" s="296"/>
      <c r="T154" s="273"/>
    </row>
    <row r="155" spans="1:21" s="274" customFormat="1" x14ac:dyDescent="0.3">
      <c r="A155" s="300"/>
      <c r="B155" s="293" t="s">
        <v>204</v>
      </c>
      <c r="C155" s="293"/>
      <c r="D155" s="293"/>
      <c r="E155" s="293"/>
      <c r="F155" s="293"/>
      <c r="G155" s="293"/>
      <c r="H155" s="293"/>
      <c r="I155" s="293"/>
      <c r="J155" s="293"/>
      <c r="K155" s="293"/>
      <c r="L155" s="293"/>
      <c r="M155" s="293"/>
      <c r="N155" s="293"/>
      <c r="O155" s="293"/>
      <c r="P155" s="293"/>
      <c r="Q155" s="293"/>
      <c r="R155" s="361">
        <f>R153+R154</f>
        <v>0</v>
      </c>
      <c r="S155" s="296"/>
      <c r="T155" s="273"/>
    </row>
    <row r="156" spans="1:21" x14ac:dyDescent="0.3">
      <c r="A156" s="258"/>
      <c r="B156" s="394"/>
      <c r="C156" s="394"/>
      <c r="D156" s="394"/>
      <c r="E156" s="394"/>
      <c r="F156" s="394"/>
      <c r="G156" s="394"/>
      <c r="H156" s="394"/>
      <c r="I156" s="394"/>
      <c r="J156" s="394"/>
      <c r="K156" s="394"/>
      <c r="L156" s="394"/>
      <c r="M156" s="394"/>
      <c r="N156" s="394"/>
      <c r="O156" s="394"/>
      <c r="P156" s="394"/>
      <c r="Q156" s="394"/>
      <c r="R156" s="395"/>
      <c r="S156" s="261"/>
      <c r="T156" s="256"/>
    </row>
    <row r="157" spans="1:21" x14ac:dyDescent="0.3">
      <c r="A157" s="258"/>
      <c r="B157" s="392" t="s">
        <v>210</v>
      </c>
      <c r="C157" s="394"/>
      <c r="D157" s="394"/>
      <c r="E157" s="394"/>
      <c r="F157" s="394"/>
      <c r="G157" s="394"/>
      <c r="H157" s="394"/>
      <c r="I157" s="394"/>
      <c r="J157" s="394"/>
      <c r="K157" s="394"/>
      <c r="L157" s="394"/>
      <c r="M157" s="394"/>
      <c r="N157" s="394"/>
      <c r="O157" s="394"/>
      <c r="P157" s="394"/>
      <c r="Q157" s="394"/>
      <c r="R157" s="395"/>
      <c r="S157" s="261"/>
      <c r="T157" s="256"/>
    </row>
    <row r="158" spans="1:21" s="274" customFormat="1" x14ac:dyDescent="0.3">
      <c r="A158" s="396"/>
      <c r="B158" s="397" t="s">
        <v>279</v>
      </c>
      <c r="C158" s="397"/>
      <c r="D158" s="397"/>
      <c r="E158" s="397"/>
      <c r="F158" s="397"/>
      <c r="G158" s="397"/>
      <c r="H158" s="397"/>
      <c r="I158" s="397"/>
      <c r="J158" s="397"/>
      <c r="K158" s="397"/>
      <c r="L158" s="397"/>
      <c r="M158" s="397"/>
      <c r="N158" s="397"/>
      <c r="O158" s="397"/>
      <c r="P158" s="397"/>
      <c r="Q158" s="397"/>
      <c r="R158" s="398">
        <v>0</v>
      </c>
      <c r="S158" s="399"/>
      <c r="T158" s="273"/>
    </row>
    <row r="159" spans="1:21" s="274" customFormat="1" x14ac:dyDescent="0.3">
      <c r="A159" s="396"/>
      <c r="B159" s="397" t="s">
        <v>212</v>
      </c>
      <c r="C159" s="397"/>
      <c r="D159" s="397"/>
      <c r="E159" s="397"/>
      <c r="F159" s="397"/>
      <c r="G159" s="397"/>
      <c r="H159" s="397"/>
      <c r="I159" s="397"/>
      <c r="J159" s="397"/>
      <c r="K159" s="397"/>
      <c r="L159" s="397"/>
      <c r="M159" s="397"/>
      <c r="N159" s="397"/>
      <c r="O159" s="397"/>
      <c r="P159" s="397"/>
      <c r="Q159" s="397"/>
      <c r="R159" s="398">
        <f>P86</f>
        <v>0</v>
      </c>
      <c r="S159" s="399"/>
      <c r="T159" s="273"/>
    </row>
    <row r="160" spans="1:21" s="274" customFormat="1" x14ac:dyDescent="0.3">
      <c r="A160" s="396"/>
      <c r="B160" s="397" t="s">
        <v>213</v>
      </c>
      <c r="C160" s="397"/>
      <c r="D160" s="397"/>
      <c r="E160" s="397"/>
      <c r="F160" s="397"/>
      <c r="G160" s="397"/>
      <c r="H160" s="397"/>
      <c r="I160" s="397"/>
      <c r="J160" s="397"/>
      <c r="K160" s="397"/>
      <c r="L160" s="397"/>
      <c r="M160" s="397"/>
      <c r="N160" s="397"/>
      <c r="O160" s="397"/>
      <c r="P160" s="397"/>
      <c r="Q160" s="397"/>
      <c r="R160" s="398">
        <v>0</v>
      </c>
      <c r="S160" s="399"/>
      <c r="T160" s="273"/>
    </row>
    <row r="161" spans="1:252" s="274" customFormat="1" x14ac:dyDescent="0.3">
      <c r="A161" s="396"/>
      <c r="B161" s="397" t="s">
        <v>214</v>
      </c>
      <c r="C161" s="397"/>
      <c r="D161" s="397"/>
      <c r="E161" s="397"/>
      <c r="F161" s="397"/>
      <c r="G161" s="397"/>
      <c r="H161" s="397"/>
      <c r="I161" s="397"/>
      <c r="J161" s="397"/>
      <c r="K161" s="397"/>
      <c r="L161" s="397"/>
      <c r="M161" s="397"/>
      <c r="N161" s="397"/>
      <c r="O161" s="397"/>
      <c r="P161" s="397"/>
      <c r="Q161" s="397"/>
      <c r="R161" s="398">
        <f>R158+R159+R160</f>
        <v>0</v>
      </c>
      <c r="S161" s="399"/>
      <c r="T161" s="273"/>
    </row>
    <row r="162" spans="1:252" x14ac:dyDescent="0.3">
      <c r="A162" s="258"/>
      <c r="B162" s="362"/>
      <c r="C162" s="362"/>
      <c r="D162" s="362"/>
      <c r="E162" s="362"/>
      <c r="F162" s="362"/>
      <c r="G162" s="362"/>
      <c r="H162" s="362"/>
      <c r="I162" s="362"/>
      <c r="J162" s="362"/>
      <c r="K162" s="362"/>
      <c r="L162" s="362"/>
      <c r="M162" s="362"/>
      <c r="N162" s="362"/>
      <c r="O162" s="362"/>
      <c r="P162" s="362"/>
      <c r="Q162" s="362"/>
      <c r="R162" s="393"/>
      <c r="S162" s="261"/>
      <c r="T162" s="256"/>
    </row>
    <row r="163" spans="1:252" x14ac:dyDescent="0.3">
      <c r="A163" s="258"/>
      <c r="B163" s="392" t="s">
        <v>39</v>
      </c>
      <c r="C163" s="260"/>
      <c r="D163" s="260"/>
      <c r="E163" s="260"/>
      <c r="F163" s="260"/>
      <c r="G163" s="260"/>
      <c r="H163" s="260"/>
      <c r="I163" s="260"/>
      <c r="J163" s="260"/>
      <c r="K163" s="260"/>
      <c r="L163" s="260"/>
      <c r="M163" s="260"/>
      <c r="N163" s="260"/>
      <c r="O163" s="260"/>
      <c r="P163" s="260"/>
      <c r="Q163" s="260"/>
      <c r="R163" s="400"/>
      <c r="S163" s="261"/>
      <c r="T163" s="256"/>
    </row>
    <row r="164" spans="1:252" s="274" customFormat="1" x14ac:dyDescent="0.3">
      <c r="A164" s="300"/>
      <c r="B164" s="293" t="s">
        <v>40</v>
      </c>
      <c r="C164" s="293"/>
      <c r="D164" s="293"/>
      <c r="E164" s="293"/>
      <c r="F164" s="293"/>
      <c r="G164" s="293"/>
      <c r="H164" s="293"/>
      <c r="I164" s="293"/>
      <c r="J164" s="293"/>
      <c r="K164" s="293"/>
      <c r="L164" s="293"/>
      <c r="M164" s="293"/>
      <c r="N164" s="293"/>
      <c r="O164" s="293"/>
      <c r="P164" s="293"/>
      <c r="Q164" s="293"/>
      <c r="R164" s="361">
        <v>0</v>
      </c>
      <c r="S164" s="296"/>
      <c r="T164" s="273"/>
    </row>
    <row r="165" spans="1:252" s="274" customFormat="1" x14ac:dyDescent="0.3">
      <c r="A165" s="300"/>
      <c r="B165" s="293" t="s">
        <v>41</v>
      </c>
      <c r="C165" s="293"/>
      <c r="D165" s="293"/>
      <c r="E165" s="293"/>
      <c r="F165" s="293"/>
      <c r="G165" s="293"/>
      <c r="H165" s="293"/>
      <c r="I165" s="293"/>
      <c r="J165" s="293"/>
      <c r="K165" s="293"/>
      <c r="L165" s="293"/>
      <c r="M165" s="293"/>
      <c r="N165" s="293"/>
      <c r="O165" s="293"/>
      <c r="P165" s="293"/>
      <c r="Q165" s="293"/>
      <c r="R165" s="361">
        <v>0</v>
      </c>
      <c r="S165" s="296"/>
      <c r="T165" s="273"/>
    </row>
    <row r="166" spans="1:252" s="274" customFormat="1" x14ac:dyDescent="0.3">
      <c r="A166" s="300"/>
      <c r="B166" s="293" t="s">
        <v>42</v>
      </c>
      <c r="C166" s="293"/>
      <c r="D166" s="293"/>
      <c r="E166" s="293"/>
      <c r="F166" s="293"/>
      <c r="G166" s="293"/>
      <c r="H166" s="293"/>
      <c r="I166" s="293"/>
      <c r="J166" s="293"/>
      <c r="K166" s="293"/>
      <c r="L166" s="293"/>
      <c r="M166" s="293"/>
      <c r="N166" s="293"/>
      <c r="O166" s="293"/>
      <c r="P166" s="293"/>
      <c r="Q166" s="293"/>
      <c r="R166" s="361">
        <f>R165+R164</f>
        <v>0</v>
      </c>
      <c r="S166" s="296"/>
      <c r="T166" s="273"/>
    </row>
    <row r="167" spans="1:252" s="274" customFormat="1" x14ac:dyDescent="0.3">
      <c r="A167" s="300"/>
      <c r="B167" s="293" t="s">
        <v>173</v>
      </c>
      <c r="C167" s="293"/>
      <c r="D167" s="293"/>
      <c r="E167" s="293"/>
      <c r="F167" s="293"/>
      <c r="G167" s="293"/>
      <c r="H167" s="293"/>
      <c r="I167" s="293"/>
      <c r="J167" s="293"/>
      <c r="K167" s="293"/>
      <c r="L167" s="293"/>
      <c r="M167" s="293"/>
      <c r="N167" s="293"/>
      <c r="O167" s="293"/>
      <c r="P167" s="293"/>
      <c r="Q167" s="293"/>
      <c r="R167" s="361">
        <f>R111</f>
        <v>0</v>
      </c>
      <c r="S167" s="296"/>
      <c r="T167" s="273"/>
    </row>
    <row r="168" spans="1:252" s="274" customFormat="1" x14ac:dyDescent="0.3">
      <c r="A168" s="300"/>
      <c r="B168" s="293" t="s">
        <v>43</v>
      </c>
      <c r="C168" s="293"/>
      <c r="D168" s="293"/>
      <c r="E168" s="293"/>
      <c r="F168" s="293"/>
      <c r="G168" s="293"/>
      <c r="H168" s="293"/>
      <c r="I168" s="293"/>
      <c r="J168" s="293"/>
      <c r="K168" s="293"/>
      <c r="L168" s="293"/>
      <c r="M168" s="293"/>
      <c r="N168" s="293"/>
      <c r="O168" s="293"/>
      <c r="P168" s="293"/>
      <c r="Q168" s="293"/>
      <c r="R168" s="361">
        <f>R166+R167</f>
        <v>0</v>
      </c>
      <c r="S168" s="296"/>
      <c r="T168" s="273"/>
    </row>
    <row r="169" spans="1:252" s="274" customFormat="1" x14ac:dyDescent="0.3">
      <c r="A169" s="300"/>
      <c r="B169" s="293" t="s">
        <v>150</v>
      </c>
      <c r="C169" s="293"/>
      <c r="D169" s="293"/>
      <c r="E169" s="293"/>
      <c r="F169" s="293"/>
      <c r="G169" s="293"/>
      <c r="H169" s="293"/>
      <c r="I169" s="293"/>
      <c r="J169" s="293"/>
      <c r="K169" s="293"/>
      <c r="L169" s="293"/>
      <c r="M169" s="293"/>
      <c r="N169" s="293"/>
      <c r="O169" s="293"/>
      <c r="P169" s="293"/>
      <c r="Q169" s="293"/>
      <c r="R169" s="361">
        <f>-R99</f>
        <v>0</v>
      </c>
      <c r="S169" s="296"/>
      <c r="T169" s="273"/>
    </row>
    <row r="170" spans="1:252" ht="16.2" thickBot="1" x14ac:dyDescent="0.35">
      <c r="A170" s="258"/>
      <c r="B170" s="362"/>
      <c r="C170" s="362"/>
      <c r="D170" s="362"/>
      <c r="E170" s="362"/>
      <c r="F170" s="362"/>
      <c r="G170" s="362"/>
      <c r="H170" s="362"/>
      <c r="I170" s="362"/>
      <c r="J170" s="362"/>
      <c r="K170" s="362"/>
      <c r="L170" s="362"/>
      <c r="M170" s="362"/>
      <c r="N170" s="362"/>
      <c r="O170" s="362"/>
      <c r="P170" s="362"/>
      <c r="Q170" s="362"/>
      <c r="R170" s="393"/>
      <c r="S170" s="261"/>
      <c r="T170" s="256"/>
    </row>
    <row r="171" spans="1:252" x14ac:dyDescent="0.3">
      <c r="A171" s="252"/>
      <c r="B171" s="254"/>
      <c r="C171" s="254"/>
      <c r="D171" s="254"/>
      <c r="E171" s="254"/>
      <c r="F171" s="254"/>
      <c r="G171" s="254"/>
      <c r="H171" s="254"/>
      <c r="I171" s="254"/>
      <c r="J171" s="254"/>
      <c r="K171" s="254"/>
      <c r="L171" s="254"/>
      <c r="M171" s="254"/>
      <c r="N171" s="254"/>
      <c r="O171" s="254"/>
      <c r="P171" s="254"/>
      <c r="Q171" s="254"/>
      <c r="R171" s="401"/>
      <c r="S171" s="255"/>
      <c r="T171" s="256"/>
    </row>
    <row r="172" spans="1:252" s="403" customFormat="1" x14ac:dyDescent="0.3">
      <c r="A172" s="258"/>
      <c r="B172" s="392" t="s">
        <v>203</v>
      </c>
      <c r="C172" s="362"/>
      <c r="D172" s="362"/>
      <c r="E172" s="362"/>
      <c r="F172" s="362"/>
      <c r="G172" s="362"/>
      <c r="H172" s="362"/>
      <c r="I172" s="362"/>
      <c r="J172" s="362"/>
      <c r="K172" s="362"/>
      <c r="L172" s="362"/>
      <c r="M172" s="362"/>
      <c r="N172" s="362"/>
      <c r="O172" s="362"/>
      <c r="P172" s="362"/>
      <c r="Q172" s="362"/>
      <c r="R172" s="402"/>
      <c r="S172" s="261"/>
      <c r="T172" s="256"/>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c r="CP172" s="257"/>
      <c r="CQ172" s="257"/>
      <c r="CR172" s="257"/>
      <c r="CS172" s="257"/>
      <c r="CT172" s="257"/>
      <c r="CU172" s="257"/>
      <c r="CV172" s="257"/>
      <c r="CW172" s="257"/>
      <c r="CX172" s="257"/>
      <c r="CY172" s="257"/>
      <c r="CZ172" s="257"/>
      <c r="DA172" s="257"/>
      <c r="DB172" s="257"/>
      <c r="DC172" s="257"/>
      <c r="DD172" s="257"/>
      <c r="DE172" s="257"/>
      <c r="DF172" s="257"/>
      <c r="DG172" s="257"/>
      <c r="DH172" s="257"/>
      <c r="DI172" s="257"/>
      <c r="DJ172" s="257"/>
      <c r="DK172" s="257"/>
      <c r="DL172" s="257"/>
      <c r="DM172" s="257"/>
      <c r="DN172" s="257"/>
      <c r="DO172" s="257"/>
      <c r="DP172" s="257"/>
      <c r="DQ172" s="257"/>
      <c r="DR172" s="257"/>
      <c r="DS172" s="257"/>
      <c r="DT172" s="257"/>
      <c r="DU172" s="257"/>
      <c r="DV172" s="257"/>
      <c r="DW172" s="257"/>
      <c r="DX172" s="257"/>
      <c r="DY172" s="257"/>
      <c r="DZ172" s="257"/>
      <c r="EA172" s="257"/>
      <c r="EB172" s="257"/>
      <c r="EC172" s="257"/>
      <c r="ED172" s="257"/>
      <c r="EE172" s="257"/>
      <c r="EF172" s="257"/>
      <c r="EG172" s="257"/>
      <c r="EH172" s="257"/>
      <c r="EI172" s="257"/>
      <c r="EJ172" s="257"/>
      <c r="EK172" s="257"/>
      <c r="EL172" s="257"/>
      <c r="EM172" s="257"/>
      <c r="EN172" s="257"/>
      <c r="EO172" s="257"/>
      <c r="EP172" s="257"/>
      <c r="EQ172" s="257"/>
      <c r="ER172" s="257"/>
      <c r="ES172" s="257"/>
      <c r="ET172" s="257"/>
      <c r="EU172" s="257"/>
      <c r="EV172" s="257"/>
      <c r="EW172" s="257"/>
      <c r="EX172" s="257"/>
      <c r="EY172" s="257"/>
      <c r="EZ172" s="257"/>
      <c r="FA172" s="257"/>
      <c r="FB172" s="257"/>
      <c r="FC172" s="257"/>
      <c r="FD172" s="257"/>
      <c r="FE172" s="257"/>
      <c r="FF172" s="257"/>
      <c r="FG172" s="257"/>
      <c r="FH172" s="257"/>
      <c r="FI172" s="257"/>
      <c r="FJ172" s="257"/>
      <c r="FK172" s="257"/>
      <c r="FL172" s="257"/>
      <c r="FM172" s="257"/>
      <c r="FN172" s="257"/>
      <c r="FO172" s="257"/>
      <c r="FP172" s="257"/>
      <c r="FQ172" s="257"/>
      <c r="FR172" s="257"/>
      <c r="FS172" s="257"/>
      <c r="FT172" s="257"/>
      <c r="FU172" s="257"/>
      <c r="FV172" s="257"/>
      <c r="FW172" s="257"/>
      <c r="FX172" s="257"/>
      <c r="FY172" s="257"/>
      <c r="FZ172" s="257"/>
      <c r="GA172" s="257"/>
      <c r="GB172" s="257"/>
      <c r="GC172" s="257"/>
      <c r="GD172" s="257"/>
      <c r="GE172" s="257"/>
      <c r="GF172" s="257"/>
      <c r="GG172" s="257"/>
      <c r="GH172" s="257"/>
      <c r="GI172" s="257"/>
      <c r="GJ172" s="257"/>
      <c r="GK172" s="257"/>
      <c r="GL172" s="257"/>
      <c r="GM172" s="257"/>
      <c r="GN172" s="257"/>
      <c r="GO172" s="257"/>
      <c r="GP172" s="257"/>
      <c r="GQ172" s="257"/>
      <c r="GR172" s="257"/>
      <c r="GS172" s="257"/>
      <c r="GT172" s="257"/>
      <c r="GU172" s="257"/>
      <c r="GV172" s="257"/>
      <c r="GW172" s="257"/>
      <c r="GX172" s="257"/>
      <c r="GY172" s="257"/>
      <c r="GZ172" s="257"/>
      <c r="HA172" s="257"/>
      <c r="HB172" s="257"/>
      <c r="HC172" s="257"/>
      <c r="HD172" s="257"/>
      <c r="HE172" s="257"/>
      <c r="HF172" s="257"/>
      <c r="HG172" s="257"/>
      <c r="HH172" s="257"/>
      <c r="HI172" s="257"/>
      <c r="HJ172" s="257"/>
      <c r="HK172" s="257"/>
      <c r="HL172" s="257"/>
      <c r="HM172" s="257"/>
      <c r="HN172" s="257"/>
      <c r="HO172" s="257"/>
      <c r="HP172" s="257"/>
      <c r="HQ172" s="257"/>
      <c r="HR172" s="257"/>
      <c r="HS172" s="257"/>
      <c r="HT172" s="257"/>
      <c r="HU172" s="257"/>
      <c r="HV172" s="257"/>
      <c r="HW172" s="257"/>
      <c r="HX172" s="257"/>
      <c r="HY172" s="257"/>
      <c r="HZ172" s="257"/>
      <c r="IA172" s="257"/>
      <c r="IB172" s="257"/>
      <c r="IC172" s="257"/>
      <c r="ID172" s="257"/>
      <c r="IE172" s="257"/>
      <c r="IF172" s="257"/>
      <c r="IG172" s="257"/>
      <c r="IH172" s="257"/>
      <c r="II172" s="257"/>
      <c r="IJ172" s="257"/>
      <c r="IK172" s="257"/>
      <c r="IL172" s="257"/>
      <c r="IM172" s="257"/>
      <c r="IN172" s="257"/>
      <c r="IO172" s="257"/>
      <c r="IP172" s="257"/>
      <c r="IQ172" s="257"/>
      <c r="IR172" s="257"/>
    </row>
    <row r="173" spans="1:252" s="404" customFormat="1" x14ac:dyDescent="0.3">
      <c r="A173" s="300"/>
      <c r="B173" s="293" t="s">
        <v>141</v>
      </c>
      <c r="C173" s="293"/>
      <c r="D173" s="293"/>
      <c r="E173" s="293"/>
      <c r="F173" s="293"/>
      <c r="G173" s="293"/>
      <c r="H173" s="293"/>
      <c r="I173" s="293"/>
      <c r="J173" s="293"/>
      <c r="K173" s="293"/>
      <c r="L173" s="293"/>
      <c r="M173" s="293"/>
      <c r="N173" s="293"/>
      <c r="O173" s="293"/>
      <c r="P173" s="293"/>
      <c r="Q173" s="293"/>
      <c r="R173" s="361">
        <f>+'Sept 19'!R176</f>
        <v>287</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4" customFormat="1" x14ac:dyDescent="0.3">
      <c r="A174" s="300"/>
      <c r="B174" s="293" t="s">
        <v>282</v>
      </c>
      <c r="C174" s="293"/>
      <c r="D174" s="293"/>
      <c r="E174" s="293"/>
      <c r="F174" s="293"/>
      <c r="G174" s="293"/>
      <c r="H174" s="293"/>
      <c r="I174" s="293"/>
      <c r="J174" s="293"/>
      <c r="K174" s="293"/>
      <c r="L174" s="293"/>
      <c r="M174" s="293"/>
      <c r="N174" s="293"/>
      <c r="O174" s="293"/>
      <c r="P174" s="293"/>
      <c r="Q174" s="293"/>
      <c r="R174" s="361">
        <v>0</v>
      </c>
      <c r="S174" s="296"/>
      <c r="T174" s="273"/>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274"/>
      <c r="BO174" s="274"/>
      <c r="BP174" s="274"/>
      <c r="BQ174" s="274"/>
      <c r="BR174" s="274"/>
      <c r="BS174" s="274"/>
      <c r="BT174" s="274"/>
      <c r="BU174" s="274"/>
      <c r="BV174" s="274"/>
      <c r="BW174" s="274"/>
      <c r="BX174" s="274"/>
      <c r="BY174" s="274"/>
      <c r="BZ174" s="274"/>
      <c r="CA174" s="274"/>
      <c r="CB174" s="274"/>
      <c r="CC174" s="274"/>
      <c r="CD174" s="274"/>
      <c r="CE174" s="274"/>
      <c r="CF174" s="274"/>
      <c r="CG174" s="274"/>
      <c r="CH174" s="274"/>
      <c r="CI174" s="274"/>
      <c r="CJ174" s="274"/>
      <c r="CK174" s="274"/>
      <c r="CL174" s="274"/>
      <c r="CM174" s="274"/>
      <c r="CN174" s="274"/>
      <c r="CO174" s="274"/>
      <c r="CP174" s="274"/>
      <c r="CQ174" s="274"/>
      <c r="CR174" s="274"/>
      <c r="CS174" s="274"/>
      <c r="CT174" s="274"/>
      <c r="CU174" s="274"/>
      <c r="CV174" s="274"/>
      <c r="CW174" s="274"/>
      <c r="CX174" s="274"/>
      <c r="CY174" s="274"/>
      <c r="CZ174" s="274"/>
      <c r="DA174" s="274"/>
      <c r="DB174" s="274"/>
      <c r="DC174" s="274"/>
      <c r="DD174" s="274"/>
      <c r="DE174" s="274"/>
      <c r="DF174" s="274"/>
      <c r="DG174" s="274"/>
      <c r="DH174" s="274"/>
      <c r="DI174" s="274"/>
      <c r="DJ174" s="274"/>
      <c r="DK174" s="274"/>
      <c r="DL174" s="274"/>
      <c r="DM174" s="274"/>
      <c r="DN174" s="274"/>
      <c r="DO174" s="274"/>
      <c r="DP174" s="274"/>
      <c r="DQ174" s="274"/>
      <c r="DR174" s="274"/>
      <c r="DS174" s="274"/>
      <c r="DT174" s="274"/>
      <c r="DU174" s="274"/>
      <c r="DV174" s="274"/>
      <c r="DW174" s="274"/>
      <c r="DX174" s="274"/>
      <c r="DY174" s="274"/>
      <c r="DZ174" s="274"/>
      <c r="EA174" s="274"/>
      <c r="EB174" s="274"/>
      <c r="EC174" s="274"/>
      <c r="ED174" s="274"/>
      <c r="EE174" s="274"/>
      <c r="EF174" s="274"/>
      <c r="EG174" s="274"/>
      <c r="EH174" s="274"/>
      <c r="EI174" s="274"/>
      <c r="EJ174" s="274"/>
      <c r="EK174" s="274"/>
      <c r="EL174" s="274"/>
      <c r="EM174" s="274"/>
      <c r="EN174" s="274"/>
      <c r="EO174" s="274"/>
      <c r="EP174" s="274"/>
      <c r="EQ174" s="274"/>
      <c r="ER174" s="274"/>
      <c r="ES174" s="274"/>
      <c r="ET174" s="274"/>
      <c r="EU174" s="274"/>
      <c r="EV174" s="274"/>
      <c r="EW174" s="274"/>
      <c r="EX174" s="274"/>
      <c r="EY174" s="274"/>
      <c r="EZ174" s="274"/>
      <c r="FA174" s="274"/>
      <c r="FB174" s="274"/>
      <c r="FC174" s="274"/>
      <c r="FD174" s="274"/>
      <c r="FE174" s="274"/>
      <c r="FF174" s="274"/>
      <c r="FG174" s="274"/>
      <c r="FH174" s="274"/>
      <c r="FI174" s="274"/>
      <c r="FJ174" s="274"/>
      <c r="FK174" s="274"/>
      <c r="FL174" s="274"/>
      <c r="FM174" s="274"/>
      <c r="FN174" s="274"/>
      <c r="FO174" s="274"/>
      <c r="FP174" s="274"/>
      <c r="FQ174" s="274"/>
      <c r="FR174" s="274"/>
      <c r="FS174" s="274"/>
      <c r="FT174" s="274"/>
      <c r="FU174" s="274"/>
      <c r="FV174" s="274"/>
      <c r="FW174" s="274"/>
      <c r="FX174" s="274"/>
      <c r="FY174" s="274"/>
      <c r="FZ174" s="274"/>
      <c r="GA174" s="274"/>
      <c r="GB174" s="274"/>
      <c r="GC174" s="274"/>
      <c r="GD174" s="274"/>
      <c r="GE174" s="274"/>
      <c r="GF174" s="274"/>
      <c r="GG174" s="274"/>
      <c r="GH174" s="274"/>
      <c r="GI174" s="274"/>
      <c r="GJ174" s="274"/>
      <c r="GK174" s="274"/>
      <c r="GL174" s="274"/>
      <c r="GM174" s="274"/>
      <c r="GN174" s="274"/>
      <c r="GO174" s="274"/>
      <c r="GP174" s="274"/>
      <c r="GQ174" s="274"/>
      <c r="GR174" s="274"/>
      <c r="GS174" s="274"/>
      <c r="GT174" s="274"/>
      <c r="GU174" s="274"/>
      <c r="GV174" s="274"/>
      <c r="GW174" s="274"/>
      <c r="GX174" s="274"/>
      <c r="GY174" s="274"/>
      <c r="GZ174" s="274"/>
      <c r="HA174" s="274"/>
      <c r="HB174" s="274"/>
      <c r="HC174" s="274"/>
      <c r="HD174" s="274"/>
      <c r="HE174" s="274"/>
      <c r="HF174" s="274"/>
      <c r="HG174" s="274"/>
      <c r="HH174" s="274"/>
      <c r="HI174" s="274"/>
      <c r="HJ174" s="274"/>
      <c r="HK174" s="274"/>
      <c r="HL174" s="274"/>
      <c r="HM174" s="274"/>
      <c r="HN174" s="274"/>
      <c r="HO174" s="274"/>
      <c r="HP174" s="274"/>
      <c r="HQ174" s="274"/>
      <c r="HR174" s="274"/>
      <c r="HS174" s="274"/>
      <c r="HT174" s="274"/>
      <c r="HU174" s="274"/>
      <c r="HV174" s="274"/>
      <c r="HW174" s="274"/>
      <c r="HX174" s="274"/>
      <c r="HY174" s="274"/>
      <c r="HZ174" s="274"/>
      <c r="IA174" s="274"/>
      <c r="IB174" s="274"/>
      <c r="IC174" s="274"/>
      <c r="ID174" s="274"/>
      <c r="IE174" s="274"/>
      <c r="IF174" s="274"/>
      <c r="IG174" s="274"/>
      <c r="IH174" s="274"/>
      <c r="II174" s="274"/>
      <c r="IJ174" s="274"/>
      <c r="IK174" s="274"/>
      <c r="IL174" s="274"/>
      <c r="IM174" s="274"/>
      <c r="IN174" s="274"/>
      <c r="IO174" s="274"/>
      <c r="IP174" s="274"/>
      <c r="IQ174" s="274"/>
      <c r="IR174" s="274"/>
    </row>
    <row r="175" spans="1:252" s="404" customFormat="1" x14ac:dyDescent="0.3">
      <c r="A175" s="300"/>
      <c r="B175" s="293" t="s">
        <v>144</v>
      </c>
      <c r="C175" s="293"/>
      <c r="D175" s="293"/>
      <c r="E175" s="293"/>
      <c r="F175" s="293"/>
      <c r="G175" s="293"/>
      <c r="H175" s="293"/>
      <c r="I175" s="293"/>
      <c r="J175" s="293"/>
      <c r="K175" s="293"/>
      <c r="L175" s="293"/>
      <c r="M175" s="293"/>
      <c r="N175" s="293"/>
      <c r="O175" s="293"/>
      <c r="P175" s="293"/>
      <c r="Q175" s="293"/>
      <c r="R175" s="361">
        <f>+R92</f>
        <v>39</v>
      </c>
      <c r="S175" s="296"/>
      <c r="T175" s="273"/>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c r="IE175" s="274"/>
      <c r="IF175" s="274"/>
      <c r="IG175" s="274"/>
      <c r="IH175" s="274"/>
      <c r="II175" s="274"/>
      <c r="IJ175" s="274"/>
      <c r="IK175" s="274"/>
      <c r="IL175" s="274"/>
      <c r="IM175" s="274"/>
      <c r="IN175" s="274"/>
      <c r="IO175" s="274"/>
      <c r="IP175" s="274"/>
      <c r="IQ175" s="274"/>
      <c r="IR175" s="274"/>
    </row>
    <row r="176" spans="1:252" s="404" customFormat="1" x14ac:dyDescent="0.3">
      <c r="A176" s="300"/>
      <c r="B176" s="293" t="s">
        <v>142</v>
      </c>
      <c r="C176" s="293"/>
      <c r="D176" s="293"/>
      <c r="E176" s="293"/>
      <c r="F176" s="293"/>
      <c r="G176" s="293"/>
      <c r="H176" s="293"/>
      <c r="I176" s="293"/>
      <c r="J176" s="293"/>
      <c r="K176" s="293"/>
      <c r="L176" s="293"/>
      <c r="M176" s="293"/>
      <c r="N176" s="293"/>
      <c r="O176" s="293"/>
      <c r="P176" s="293"/>
      <c r="Q176" s="293"/>
      <c r="R176" s="361">
        <f>+R173+R174-R175</f>
        <v>248</v>
      </c>
      <c r="S176" s="296"/>
      <c r="T176" s="273"/>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c r="IE176" s="274"/>
      <c r="IF176" s="274"/>
      <c r="IG176" s="274"/>
      <c r="IH176" s="274"/>
      <c r="II176" s="274"/>
      <c r="IJ176" s="274"/>
      <c r="IK176" s="274"/>
      <c r="IL176" s="274"/>
      <c r="IM176" s="274"/>
      <c r="IN176" s="274"/>
      <c r="IO176" s="274"/>
      <c r="IP176" s="274"/>
      <c r="IQ176" s="274"/>
      <c r="IR176" s="274"/>
    </row>
    <row r="177" spans="1:252" s="406" customFormat="1" ht="16.2" thickBot="1" x14ac:dyDescent="0.35">
      <c r="A177" s="405"/>
      <c r="B177" s="362"/>
      <c r="C177" s="362"/>
      <c r="D177" s="362"/>
      <c r="E177" s="362"/>
      <c r="F177" s="362"/>
      <c r="G177" s="362"/>
      <c r="H177" s="362"/>
      <c r="I177" s="362"/>
      <c r="J177" s="362"/>
      <c r="K177" s="362"/>
      <c r="L177" s="362"/>
      <c r="M177" s="362"/>
      <c r="N177" s="362"/>
      <c r="O177" s="362"/>
      <c r="P177" s="362"/>
      <c r="Q177" s="362"/>
      <c r="R177" s="393"/>
      <c r="S177" s="261"/>
      <c r="T177" s="256"/>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c r="CP177" s="257"/>
      <c r="CQ177" s="257"/>
      <c r="CR177" s="257"/>
      <c r="CS177" s="257"/>
      <c r="CT177" s="257"/>
      <c r="CU177" s="257"/>
      <c r="CV177" s="257"/>
      <c r="CW177" s="257"/>
      <c r="CX177" s="257"/>
      <c r="CY177" s="257"/>
      <c r="CZ177" s="257"/>
      <c r="DA177" s="257"/>
      <c r="DB177" s="257"/>
      <c r="DC177" s="257"/>
      <c r="DD177" s="257"/>
      <c r="DE177" s="257"/>
      <c r="DF177" s="257"/>
      <c r="DG177" s="257"/>
      <c r="DH177" s="257"/>
      <c r="DI177" s="257"/>
      <c r="DJ177" s="257"/>
      <c r="DK177" s="257"/>
      <c r="DL177" s="257"/>
      <c r="DM177" s="257"/>
      <c r="DN177" s="257"/>
      <c r="DO177" s="257"/>
      <c r="DP177" s="257"/>
      <c r="DQ177" s="257"/>
      <c r="DR177" s="257"/>
      <c r="DS177" s="257"/>
      <c r="DT177" s="257"/>
      <c r="DU177" s="257"/>
      <c r="DV177" s="257"/>
      <c r="DW177" s="257"/>
      <c r="DX177" s="257"/>
      <c r="DY177" s="257"/>
      <c r="DZ177" s="257"/>
      <c r="EA177" s="257"/>
      <c r="EB177" s="257"/>
      <c r="EC177" s="257"/>
      <c r="ED177" s="257"/>
      <c r="EE177" s="257"/>
      <c r="EF177" s="257"/>
      <c r="EG177" s="257"/>
      <c r="EH177" s="257"/>
      <c r="EI177" s="257"/>
      <c r="EJ177" s="257"/>
      <c r="EK177" s="257"/>
      <c r="EL177" s="257"/>
      <c r="EM177" s="257"/>
      <c r="EN177" s="257"/>
      <c r="EO177" s="257"/>
      <c r="EP177" s="257"/>
      <c r="EQ177" s="257"/>
      <c r="ER177" s="257"/>
      <c r="ES177" s="257"/>
      <c r="ET177" s="257"/>
      <c r="EU177" s="257"/>
      <c r="EV177" s="257"/>
      <c r="EW177" s="257"/>
      <c r="EX177" s="257"/>
      <c r="EY177" s="257"/>
      <c r="EZ177" s="257"/>
      <c r="FA177" s="257"/>
      <c r="FB177" s="257"/>
      <c r="FC177" s="257"/>
      <c r="FD177" s="257"/>
      <c r="FE177" s="257"/>
      <c r="FF177" s="257"/>
      <c r="FG177" s="257"/>
      <c r="FH177" s="257"/>
      <c r="FI177" s="257"/>
      <c r="FJ177" s="257"/>
      <c r="FK177" s="257"/>
      <c r="FL177" s="257"/>
      <c r="FM177" s="257"/>
      <c r="FN177" s="257"/>
      <c r="FO177" s="257"/>
      <c r="FP177" s="257"/>
      <c r="FQ177" s="257"/>
      <c r="FR177" s="257"/>
      <c r="FS177" s="257"/>
      <c r="FT177" s="257"/>
      <c r="FU177" s="257"/>
      <c r="FV177" s="257"/>
      <c r="FW177" s="257"/>
      <c r="FX177" s="257"/>
      <c r="FY177" s="257"/>
      <c r="FZ177" s="257"/>
      <c r="GA177" s="257"/>
      <c r="GB177" s="257"/>
      <c r="GC177" s="257"/>
      <c r="GD177" s="257"/>
      <c r="GE177" s="257"/>
      <c r="GF177" s="257"/>
      <c r="GG177" s="257"/>
      <c r="GH177" s="257"/>
      <c r="GI177" s="257"/>
      <c r="GJ177" s="257"/>
      <c r="GK177" s="257"/>
      <c r="GL177" s="257"/>
      <c r="GM177" s="257"/>
      <c r="GN177" s="257"/>
      <c r="GO177" s="257"/>
      <c r="GP177" s="257"/>
      <c r="GQ177" s="257"/>
      <c r="GR177" s="257"/>
      <c r="GS177" s="257"/>
      <c r="GT177" s="257"/>
      <c r="GU177" s="257"/>
      <c r="GV177" s="257"/>
      <c r="GW177" s="257"/>
      <c r="GX177" s="257"/>
      <c r="GY177" s="257"/>
      <c r="GZ177" s="257"/>
      <c r="HA177" s="257"/>
      <c r="HB177" s="257"/>
      <c r="HC177" s="257"/>
      <c r="HD177" s="257"/>
      <c r="HE177" s="257"/>
      <c r="HF177" s="257"/>
      <c r="HG177" s="257"/>
      <c r="HH177" s="257"/>
      <c r="HI177" s="257"/>
      <c r="HJ177" s="257"/>
      <c r="HK177" s="257"/>
      <c r="HL177" s="257"/>
      <c r="HM177" s="257"/>
      <c r="HN177" s="257"/>
      <c r="HO177" s="257"/>
      <c r="HP177" s="257"/>
      <c r="HQ177" s="257"/>
      <c r="HR177" s="257"/>
      <c r="HS177" s="257"/>
      <c r="HT177" s="257"/>
      <c r="HU177" s="257"/>
      <c r="HV177" s="257"/>
      <c r="HW177" s="257"/>
      <c r="HX177" s="257"/>
      <c r="HY177" s="257"/>
      <c r="HZ177" s="257"/>
      <c r="IA177" s="257"/>
      <c r="IB177" s="257"/>
      <c r="IC177" s="257"/>
      <c r="ID177" s="257"/>
      <c r="IE177" s="257"/>
      <c r="IF177" s="257"/>
      <c r="IG177" s="257"/>
      <c r="IH177" s="257"/>
      <c r="II177" s="257"/>
      <c r="IJ177" s="257"/>
      <c r="IK177" s="257"/>
      <c r="IL177" s="257"/>
      <c r="IM177" s="257"/>
      <c r="IN177" s="257"/>
      <c r="IO177" s="257"/>
      <c r="IP177" s="257"/>
      <c r="IQ177" s="257"/>
      <c r="IR177" s="257"/>
    </row>
    <row r="178" spans="1:252" s="407" customFormat="1" x14ac:dyDescent="0.3">
      <c r="A178" s="252"/>
      <c r="B178" s="254"/>
      <c r="C178" s="254"/>
      <c r="D178" s="254"/>
      <c r="E178" s="254"/>
      <c r="F178" s="254"/>
      <c r="G178" s="254"/>
      <c r="H178" s="254"/>
      <c r="I178" s="254"/>
      <c r="J178" s="254"/>
      <c r="K178" s="254"/>
      <c r="L178" s="254"/>
      <c r="M178" s="254"/>
      <c r="N178" s="254"/>
      <c r="O178" s="254"/>
      <c r="P178" s="254"/>
      <c r="Q178" s="254"/>
      <c r="R178" s="401"/>
      <c r="S178" s="255"/>
      <c r="T178" s="256"/>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c r="CP178" s="257"/>
      <c r="CQ178" s="257"/>
      <c r="CR178" s="257"/>
      <c r="CS178" s="257"/>
      <c r="CT178" s="257"/>
      <c r="CU178" s="257"/>
      <c r="CV178" s="257"/>
      <c r="CW178" s="257"/>
      <c r="CX178" s="257"/>
      <c r="CY178" s="257"/>
      <c r="CZ178" s="257"/>
      <c r="DA178" s="257"/>
      <c r="DB178" s="257"/>
      <c r="DC178" s="257"/>
      <c r="DD178" s="257"/>
      <c r="DE178" s="257"/>
      <c r="DF178" s="257"/>
      <c r="DG178" s="257"/>
      <c r="DH178" s="257"/>
      <c r="DI178" s="257"/>
      <c r="DJ178" s="257"/>
      <c r="DK178" s="257"/>
      <c r="DL178" s="257"/>
      <c r="DM178" s="257"/>
      <c r="DN178" s="257"/>
      <c r="DO178" s="257"/>
      <c r="DP178" s="257"/>
      <c r="DQ178" s="257"/>
      <c r="DR178" s="257"/>
      <c r="DS178" s="257"/>
      <c r="DT178" s="257"/>
      <c r="DU178" s="257"/>
      <c r="DV178" s="257"/>
      <c r="DW178" s="257"/>
      <c r="DX178" s="257"/>
      <c r="DY178" s="257"/>
      <c r="DZ178" s="257"/>
      <c r="EA178" s="257"/>
      <c r="EB178" s="257"/>
      <c r="EC178" s="257"/>
      <c r="ED178" s="257"/>
      <c r="EE178" s="257"/>
      <c r="EF178" s="257"/>
      <c r="EG178" s="257"/>
      <c r="EH178" s="257"/>
      <c r="EI178" s="257"/>
      <c r="EJ178" s="257"/>
      <c r="EK178" s="257"/>
      <c r="EL178" s="257"/>
      <c r="EM178" s="257"/>
      <c r="EN178" s="257"/>
      <c r="EO178" s="257"/>
      <c r="EP178" s="257"/>
      <c r="EQ178" s="257"/>
      <c r="ER178" s="257"/>
      <c r="ES178" s="257"/>
      <c r="ET178" s="257"/>
      <c r="EU178" s="257"/>
      <c r="EV178" s="257"/>
      <c r="EW178" s="257"/>
      <c r="EX178" s="257"/>
      <c r="EY178" s="257"/>
      <c r="EZ178" s="257"/>
      <c r="FA178" s="257"/>
      <c r="FB178" s="257"/>
      <c r="FC178" s="257"/>
      <c r="FD178" s="257"/>
      <c r="FE178" s="257"/>
      <c r="FF178" s="257"/>
      <c r="FG178" s="257"/>
      <c r="FH178" s="257"/>
      <c r="FI178" s="257"/>
      <c r="FJ178" s="257"/>
      <c r="FK178" s="257"/>
      <c r="FL178" s="257"/>
      <c r="FM178" s="257"/>
      <c r="FN178" s="257"/>
      <c r="FO178" s="257"/>
      <c r="FP178" s="257"/>
      <c r="FQ178" s="257"/>
      <c r="FR178" s="257"/>
      <c r="FS178" s="257"/>
      <c r="FT178" s="257"/>
      <c r="FU178" s="257"/>
      <c r="FV178" s="257"/>
      <c r="FW178" s="257"/>
      <c r="FX178" s="257"/>
      <c r="FY178" s="257"/>
      <c r="FZ178" s="257"/>
      <c r="GA178" s="257"/>
      <c r="GB178" s="257"/>
      <c r="GC178" s="257"/>
      <c r="GD178" s="257"/>
      <c r="GE178" s="257"/>
      <c r="GF178" s="257"/>
      <c r="GG178" s="257"/>
      <c r="GH178" s="257"/>
      <c r="GI178" s="257"/>
      <c r="GJ178" s="257"/>
      <c r="GK178" s="257"/>
      <c r="GL178" s="257"/>
      <c r="GM178" s="257"/>
      <c r="GN178" s="257"/>
      <c r="GO178" s="257"/>
      <c r="GP178" s="257"/>
      <c r="GQ178" s="257"/>
      <c r="GR178" s="257"/>
      <c r="GS178" s="257"/>
      <c r="GT178" s="257"/>
      <c r="GU178" s="257"/>
      <c r="GV178" s="257"/>
      <c r="GW178" s="257"/>
      <c r="GX178" s="257"/>
      <c r="GY178" s="257"/>
      <c r="GZ178" s="257"/>
      <c r="HA178" s="257"/>
      <c r="HB178" s="257"/>
      <c r="HC178" s="257"/>
      <c r="HD178" s="257"/>
      <c r="HE178" s="257"/>
      <c r="HF178" s="257"/>
      <c r="HG178" s="257"/>
      <c r="HH178" s="257"/>
      <c r="HI178" s="257"/>
      <c r="HJ178" s="257"/>
      <c r="HK178" s="257"/>
      <c r="HL178" s="257"/>
      <c r="HM178" s="257"/>
      <c r="HN178" s="257"/>
      <c r="HO178" s="257"/>
      <c r="HP178" s="257"/>
      <c r="HQ178" s="257"/>
      <c r="HR178" s="257"/>
      <c r="HS178" s="257"/>
      <c r="HT178" s="257"/>
      <c r="HU178" s="257"/>
      <c r="HV178" s="257"/>
      <c r="HW178" s="257"/>
      <c r="HX178" s="257"/>
      <c r="HY178" s="257"/>
      <c r="HZ178" s="257"/>
      <c r="IA178" s="257"/>
      <c r="IB178" s="257"/>
      <c r="IC178" s="257"/>
      <c r="ID178" s="257"/>
      <c r="IE178" s="257"/>
      <c r="IF178" s="257"/>
      <c r="IG178" s="257"/>
      <c r="IH178" s="257"/>
      <c r="II178" s="257"/>
      <c r="IJ178" s="257"/>
      <c r="IK178" s="257"/>
      <c r="IL178" s="257"/>
      <c r="IM178" s="257"/>
      <c r="IN178" s="257"/>
      <c r="IO178" s="257"/>
      <c r="IP178" s="257"/>
      <c r="IQ178" s="257"/>
      <c r="IR178" s="257"/>
    </row>
    <row r="179" spans="1:252" x14ac:dyDescent="0.3">
      <c r="A179" s="258"/>
      <c r="B179" s="392" t="s">
        <v>44</v>
      </c>
      <c r="C179" s="260"/>
      <c r="D179" s="260"/>
      <c r="E179" s="260"/>
      <c r="F179" s="260"/>
      <c r="G179" s="260"/>
      <c r="H179" s="260"/>
      <c r="I179" s="260"/>
      <c r="J179" s="260"/>
      <c r="K179" s="260"/>
      <c r="L179" s="260"/>
      <c r="M179" s="260"/>
      <c r="N179" s="260"/>
      <c r="O179" s="260"/>
      <c r="P179" s="260"/>
      <c r="Q179" s="260"/>
      <c r="R179" s="354"/>
      <c r="S179" s="261"/>
      <c r="T179" s="256"/>
    </row>
    <row r="180" spans="1:252" x14ac:dyDescent="0.3">
      <c r="A180" s="258"/>
      <c r="B180" s="391"/>
      <c r="C180" s="260"/>
      <c r="D180" s="260"/>
      <c r="E180" s="260"/>
      <c r="F180" s="260"/>
      <c r="G180" s="260"/>
      <c r="H180" s="260"/>
      <c r="I180" s="260"/>
      <c r="J180" s="260"/>
      <c r="K180" s="260"/>
      <c r="L180" s="260"/>
      <c r="M180" s="260"/>
      <c r="N180" s="260"/>
      <c r="O180" s="260"/>
      <c r="P180" s="260"/>
      <c r="Q180" s="260"/>
      <c r="R180" s="354"/>
      <c r="S180" s="261"/>
      <c r="T180" s="256"/>
    </row>
    <row r="181" spans="1:252" s="274" customFormat="1" x14ac:dyDescent="0.3">
      <c r="A181" s="300"/>
      <c r="B181" s="293" t="s">
        <v>171</v>
      </c>
      <c r="C181" s="293"/>
      <c r="D181" s="293"/>
      <c r="E181" s="293"/>
      <c r="F181" s="293"/>
      <c r="G181" s="293"/>
      <c r="H181" s="293"/>
      <c r="I181" s="293"/>
      <c r="J181" s="293"/>
      <c r="K181" s="293"/>
      <c r="L181" s="293"/>
      <c r="M181" s="293"/>
      <c r="N181" s="293"/>
      <c r="O181" s="293"/>
      <c r="P181" s="293"/>
      <c r="Q181" s="293"/>
      <c r="R181" s="361">
        <f>+R67</f>
        <v>35941</v>
      </c>
      <c r="S181" s="296"/>
      <c r="T181" s="273"/>
    </row>
    <row r="182" spans="1:252" s="274" customFormat="1" x14ac:dyDescent="0.3">
      <c r="A182" s="300"/>
      <c r="B182" s="293" t="s">
        <v>172</v>
      </c>
      <c r="C182" s="293"/>
      <c r="D182" s="293"/>
      <c r="E182" s="293"/>
      <c r="F182" s="293"/>
      <c r="G182" s="293"/>
      <c r="H182" s="293"/>
      <c r="I182" s="293"/>
      <c r="J182" s="293"/>
      <c r="K182" s="293"/>
      <c r="L182" s="293"/>
      <c r="M182" s="293"/>
      <c r="N182" s="293"/>
      <c r="O182" s="293"/>
      <c r="P182" s="293"/>
      <c r="Q182" s="293"/>
      <c r="R182" s="361">
        <f>+R77</f>
        <v>0</v>
      </c>
      <c r="S182" s="296"/>
      <c r="T182" s="273"/>
    </row>
    <row r="183" spans="1:252" s="274" customFormat="1" x14ac:dyDescent="0.3">
      <c r="A183" s="300"/>
      <c r="B183" s="293" t="s">
        <v>215</v>
      </c>
      <c r="C183" s="293"/>
      <c r="D183" s="293"/>
      <c r="E183" s="293"/>
      <c r="F183" s="293"/>
      <c r="G183" s="293"/>
      <c r="H183" s="293"/>
      <c r="I183" s="293"/>
      <c r="J183" s="293"/>
      <c r="K183" s="293"/>
      <c r="L183" s="293"/>
      <c r="M183" s="293"/>
      <c r="N183" s="293"/>
      <c r="O183" s="293"/>
      <c r="P183" s="293"/>
      <c r="Q183" s="293"/>
      <c r="R183" s="361">
        <f>+R78</f>
        <v>0</v>
      </c>
      <c r="S183" s="296"/>
      <c r="T183" s="273"/>
    </row>
    <row r="184" spans="1:252" s="274" customFormat="1" x14ac:dyDescent="0.3">
      <c r="A184" s="300"/>
      <c r="B184" s="293" t="s">
        <v>126</v>
      </c>
      <c r="C184" s="293"/>
      <c r="D184" s="293"/>
      <c r="E184" s="293"/>
      <c r="F184" s="293"/>
      <c r="G184" s="293"/>
      <c r="H184" s="293"/>
      <c r="I184" s="293"/>
      <c r="J184" s="293"/>
      <c r="K184" s="293"/>
      <c r="L184" s="293"/>
      <c r="M184" s="293"/>
      <c r="N184" s="293"/>
      <c r="O184" s="293"/>
      <c r="P184" s="293"/>
      <c r="Q184" s="293"/>
      <c r="R184" s="361">
        <f>+R181+R182+R183</f>
        <v>35941</v>
      </c>
      <c r="S184" s="296"/>
      <c r="T184" s="273"/>
    </row>
    <row r="185" spans="1:252" s="274" customFormat="1" x14ac:dyDescent="0.3">
      <c r="A185" s="300"/>
      <c r="B185" s="293" t="s">
        <v>45</v>
      </c>
      <c r="C185" s="293"/>
      <c r="D185" s="293"/>
      <c r="E185" s="293"/>
      <c r="F185" s="293"/>
      <c r="G185" s="293"/>
      <c r="H185" s="293"/>
      <c r="I185" s="293"/>
      <c r="J185" s="293"/>
      <c r="K185" s="293"/>
      <c r="L185" s="293"/>
      <c r="M185" s="293"/>
      <c r="N185" s="293"/>
      <c r="O185" s="293"/>
      <c r="P185" s="293"/>
      <c r="Q185" s="293"/>
      <c r="R185" s="361">
        <f>R80</f>
        <v>35941</v>
      </c>
      <c r="S185" s="296"/>
      <c r="T185" s="273"/>
    </row>
    <row r="186" spans="1:252" ht="16.2" thickBot="1" x14ac:dyDescent="0.35">
      <c r="A186" s="258"/>
      <c r="B186" s="362"/>
      <c r="C186" s="362"/>
      <c r="D186" s="362"/>
      <c r="E186" s="362"/>
      <c r="F186" s="362"/>
      <c r="G186" s="362"/>
      <c r="H186" s="362"/>
      <c r="I186" s="362"/>
      <c r="J186" s="362"/>
      <c r="K186" s="362"/>
      <c r="L186" s="362"/>
      <c r="M186" s="362"/>
      <c r="N186" s="362"/>
      <c r="O186" s="362"/>
      <c r="P186" s="362"/>
      <c r="Q186" s="362"/>
      <c r="R186" s="393"/>
      <c r="S186" s="261"/>
      <c r="T186" s="256"/>
    </row>
    <row r="187" spans="1:252" x14ac:dyDescent="0.3">
      <c r="A187" s="252"/>
      <c r="B187" s="254"/>
      <c r="C187" s="254"/>
      <c r="D187" s="254"/>
      <c r="E187" s="254"/>
      <c r="F187" s="254"/>
      <c r="G187" s="254"/>
      <c r="H187" s="254"/>
      <c r="I187" s="254"/>
      <c r="J187" s="254"/>
      <c r="K187" s="254"/>
      <c r="L187" s="254"/>
      <c r="M187" s="254"/>
      <c r="N187" s="254"/>
      <c r="O187" s="254"/>
      <c r="P187" s="254"/>
      <c r="Q187" s="254"/>
      <c r="R187" s="401"/>
      <c r="S187" s="255"/>
      <c r="T187" s="256"/>
    </row>
    <row r="188" spans="1:252" s="324" customFormat="1" x14ac:dyDescent="0.3">
      <c r="A188" s="355"/>
      <c r="B188" s="392" t="s">
        <v>46</v>
      </c>
      <c r="C188" s="408"/>
      <c r="D188" s="409"/>
      <c r="E188" s="409"/>
      <c r="F188" s="409"/>
      <c r="G188" s="409"/>
      <c r="H188" s="409"/>
      <c r="I188" s="409"/>
      <c r="J188" s="409"/>
      <c r="K188" s="409"/>
      <c r="L188" s="409"/>
      <c r="M188" s="409"/>
      <c r="N188" s="409"/>
      <c r="O188" s="409" t="s">
        <v>82</v>
      </c>
      <c r="P188" s="409" t="s">
        <v>170</v>
      </c>
      <c r="Q188" s="263"/>
      <c r="R188" s="410" t="s">
        <v>94</v>
      </c>
      <c r="S188" s="411"/>
      <c r="T188" s="323"/>
    </row>
    <row r="189" spans="1:252" s="274" customFormat="1" x14ac:dyDescent="0.3">
      <c r="A189" s="300"/>
      <c r="B189" s="293" t="s">
        <v>47</v>
      </c>
      <c r="C189" s="293"/>
      <c r="D189" s="293"/>
      <c r="E189" s="293"/>
      <c r="F189" s="293"/>
      <c r="G189" s="293"/>
      <c r="H189" s="293"/>
      <c r="I189" s="293"/>
      <c r="J189" s="293"/>
      <c r="K189" s="293"/>
      <c r="L189" s="293"/>
      <c r="M189" s="293"/>
      <c r="N189" s="293"/>
      <c r="O189" s="361">
        <f>+R31*0.08</f>
        <v>28008.880000000001</v>
      </c>
      <c r="P189" s="332"/>
      <c r="Q189" s="293"/>
      <c r="R189" s="361"/>
      <c r="S189" s="296"/>
      <c r="T189" s="273"/>
    </row>
    <row r="190" spans="1:252" s="274" customFormat="1" x14ac:dyDescent="0.3">
      <c r="A190" s="300"/>
      <c r="B190" s="293" t="s">
        <v>48</v>
      </c>
      <c r="C190" s="293"/>
      <c r="D190" s="293"/>
      <c r="E190" s="293"/>
      <c r="F190" s="293"/>
      <c r="G190" s="293"/>
      <c r="H190" s="293"/>
      <c r="I190" s="293"/>
      <c r="J190" s="293"/>
      <c r="K190" s="293"/>
      <c r="L190" s="293"/>
      <c r="M190" s="293"/>
      <c r="N190" s="293"/>
      <c r="O190" s="361">
        <f>+'Sept 19'!O192</f>
        <v>497</v>
      </c>
      <c r="P190" s="361">
        <f>+'Sept 19'!P192</f>
        <v>727</v>
      </c>
      <c r="Q190" s="293"/>
      <c r="R190" s="361">
        <f>O190+P190</f>
        <v>1224</v>
      </c>
      <c r="S190" s="296"/>
      <c r="T190" s="273"/>
    </row>
    <row r="191" spans="1:252" s="274" customFormat="1" x14ac:dyDescent="0.3">
      <c r="A191" s="300"/>
      <c r="B191" s="293" t="s">
        <v>49</v>
      </c>
      <c r="C191" s="293"/>
      <c r="D191" s="293"/>
      <c r="E191" s="293"/>
      <c r="F191" s="293"/>
      <c r="G191" s="293"/>
      <c r="H191" s="293"/>
      <c r="I191" s="293"/>
      <c r="J191" s="293"/>
      <c r="K191" s="293"/>
      <c r="L191" s="293"/>
      <c r="M191" s="293"/>
      <c r="N191" s="293"/>
      <c r="O191" s="360">
        <v>0</v>
      </c>
      <c r="P191" s="360">
        <v>0</v>
      </c>
      <c r="Q191" s="293"/>
      <c r="R191" s="361">
        <f>O191+P191</f>
        <v>0</v>
      </c>
      <c r="S191" s="296"/>
      <c r="T191" s="273"/>
    </row>
    <row r="192" spans="1:252" s="274" customFormat="1" x14ac:dyDescent="0.3">
      <c r="A192" s="300"/>
      <c r="B192" s="293" t="s">
        <v>50</v>
      </c>
      <c r="C192" s="293"/>
      <c r="D192" s="293"/>
      <c r="E192" s="293"/>
      <c r="F192" s="293"/>
      <c r="G192" s="293"/>
      <c r="H192" s="293"/>
      <c r="I192" s="293"/>
      <c r="J192" s="293"/>
      <c r="K192" s="293"/>
      <c r="L192" s="293"/>
      <c r="M192" s="293"/>
      <c r="N192" s="293"/>
      <c r="O192" s="361">
        <f>O190+O191</f>
        <v>497</v>
      </c>
      <c r="P192" s="361">
        <f>P191+P190</f>
        <v>727</v>
      </c>
      <c r="Q192" s="293"/>
      <c r="R192" s="361">
        <f>O192+P192</f>
        <v>1224</v>
      </c>
      <c r="S192" s="296"/>
      <c r="T192" s="273"/>
    </row>
    <row r="193" spans="1:20" s="274" customFormat="1" x14ac:dyDescent="0.3">
      <c r="A193" s="300"/>
      <c r="B193" s="293" t="s">
        <v>51</v>
      </c>
      <c r="C193" s="293"/>
      <c r="D193" s="293"/>
      <c r="E193" s="293"/>
      <c r="F193" s="293"/>
      <c r="G193" s="293"/>
      <c r="H193" s="293"/>
      <c r="I193" s="293"/>
      <c r="J193" s="293"/>
      <c r="K193" s="293"/>
      <c r="L193" s="293"/>
      <c r="M193" s="293"/>
      <c r="N193" s="293"/>
      <c r="O193" s="361">
        <f>O189-O192-P192</f>
        <v>26784.880000000001</v>
      </c>
      <c r="P193" s="332"/>
      <c r="Q193" s="293"/>
      <c r="R193" s="361"/>
      <c r="S193" s="296"/>
      <c r="T193" s="273"/>
    </row>
    <row r="194" spans="1:20" ht="16.2" thickBot="1" x14ac:dyDescent="0.35">
      <c r="A194" s="258"/>
      <c r="B194" s="362"/>
      <c r="C194" s="362"/>
      <c r="D194" s="362"/>
      <c r="E194" s="362"/>
      <c r="F194" s="362"/>
      <c r="G194" s="362"/>
      <c r="H194" s="362"/>
      <c r="I194" s="362"/>
      <c r="J194" s="362"/>
      <c r="K194" s="362"/>
      <c r="L194" s="362"/>
      <c r="M194" s="362"/>
      <c r="N194" s="362"/>
      <c r="O194" s="362"/>
      <c r="P194" s="362"/>
      <c r="Q194" s="362"/>
      <c r="R194" s="393"/>
      <c r="S194" s="261"/>
      <c r="T194" s="256"/>
    </row>
    <row r="195" spans="1:20" x14ac:dyDescent="0.3">
      <c r="A195" s="252"/>
      <c r="B195" s="254"/>
      <c r="C195" s="254"/>
      <c r="D195" s="254"/>
      <c r="E195" s="254"/>
      <c r="F195" s="254"/>
      <c r="G195" s="254"/>
      <c r="H195" s="254"/>
      <c r="I195" s="254"/>
      <c r="J195" s="254"/>
      <c r="K195" s="254"/>
      <c r="L195" s="254"/>
      <c r="M195" s="254"/>
      <c r="N195" s="254"/>
      <c r="O195" s="254"/>
      <c r="P195" s="254"/>
      <c r="Q195" s="254"/>
      <c r="R195" s="401"/>
      <c r="S195" s="255"/>
      <c r="T195" s="256"/>
    </row>
    <row r="196" spans="1:20" x14ac:dyDescent="0.3">
      <c r="A196" s="258"/>
      <c r="B196" s="392" t="s">
        <v>52</v>
      </c>
      <c r="C196" s="260"/>
      <c r="D196" s="260"/>
      <c r="E196" s="260"/>
      <c r="F196" s="260"/>
      <c r="G196" s="260"/>
      <c r="H196" s="260"/>
      <c r="I196" s="260"/>
      <c r="J196" s="260"/>
      <c r="K196" s="260"/>
      <c r="L196" s="260"/>
      <c r="M196" s="260"/>
      <c r="N196" s="260"/>
      <c r="O196" s="260"/>
      <c r="P196" s="260"/>
      <c r="Q196" s="260"/>
      <c r="R196" s="412"/>
      <c r="S196" s="261"/>
      <c r="T196" s="256"/>
    </row>
    <row r="197" spans="1:20" s="274" customFormat="1" x14ac:dyDescent="0.3">
      <c r="A197" s="300"/>
      <c r="B197" s="293" t="s">
        <v>53</v>
      </c>
      <c r="C197" s="293"/>
      <c r="D197" s="293"/>
      <c r="E197" s="293"/>
      <c r="F197" s="293"/>
      <c r="G197" s="293"/>
      <c r="H197" s="293"/>
      <c r="I197" s="293"/>
      <c r="J197" s="293"/>
      <c r="K197" s="293"/>
      <c r="L197" s="293"/>
      <c r="M197" s="293"/>
      <c r="N197" s="293"/>
      <c r="O197" s="293"/>
      <c r="P197" s="293"/>
      <c r="Q197" s="293"/>
      <c r="R197" s="413">
        <v>0</v>
      </c>
      <c r="S197" s="296" t="s">
        <v>95</v>
      </c>
      <c r="T197" s="273"/>
    </row>
    <row r="198" spans="1:20" s="274" customFormat="1" x14ac:dyDescent="0.3">
      <c r="A198" s="300"/>
      <c r="B198" s="293" t="s">
        <v>54</v>
      </c>
      <c r="C198" s="293"/>
      <c r="D198" s="293"/>
      <c r="E198" s="293"/>
      <c r="F198" s="293"/>
      <c r="G198" s="293"/>
      <c r="H198" s="293"/>
      <c r="I198" s="293"/>
      <c r="J198" s="293"/>
      <c r="K198" s="293"/>
      <c r="L198" s="293"/>
      <c r="M198" s="293"/>
      <c r="N198" s="293"/>
      <c r="O198" s="293"/>
      <c r="P198" s="293"/>
      <c r="Q198" s="293"/>
      <c r="R198" s="414">
        <v>0</v>
      </c>
      <c r="S198" s="296" t="s">
        <v>95</v>
      </c>
      <c r="T198" s="273"/>
    </row>
    <row r="199" spans="1:20" s="274" customFormat="1" x14ac:dyDescent="0.3">
      <c r="A199" s="300"/>
      <c r="B199" s="293" t="s">
        <v>182</v>
      </c>
      <c r="C199" s="293"/>
      <c r="D199" s="293"/>
      <c r="E199" s="293"/>
      <c r="F199" s="293"/>
      <c r="G199" s="293"/>
      <c r="H199" s="293"/>
      <c r="I199" s="293"/>
      <c r="J199" s="293"/>
      <c r="K199" s="293"/>
      <c r="L199" s="293"/>
      <c r="M199" s="293"/>
      <c r="N199" s="293"/>
      <c r="O199" s="293"/>
      <c r="P199" s="293"/>
      <c r="Q199" s="293"/>
      <c r="R199" s="413">
        <f>(R100+R102+R103+R104+R105+R106+R107)/-(R108)</f>
        <v>9.365384615384615</v>
      </c>
      <c r="S199" s="296" t="s">
        <v>95</v>
      </c>
      <c r="T199" s="273"/>
    </row>
    <row r="200" spans="1:20" s="274" customFormat="1" x14ac:dyDescent="0.3">
      <c r="A200" s="300"/>
      <c r="B200" s="293" t="s">
        <v>183</v>
      </c>
      <c r="C200" s="293"/>
      <c r="D200" s="293"/>
      <c r="E200" s="293"/>
      <c r="F200" s="293"/>
      <c r="G200" s="293"/>
      <c r="H200" s="293"/>
      <c r="I200" s="293"/>
      <c r="J200" s="293"/>
      <c r="K200" s="293"/>
      <c r="L200" s="293"/>
      <c r="M200" s="293"/>
      <c r="N200" s="293"/>
      <c r="O200" s="293"/>
      <c r="P200" s="293"/>
      <c r="Q200" s="293"/>
      <c r="R200" s="414">
        <v>9.7200000000000006</v>
      </c>
      <c r="S200" s="296" t="s">
        <v>95</v>
      </c>
      <c r="T200" s="273"/>
    </row>
    <row r="201" spans="1:20" s="274" customFormat="1" x14ac:dyDescent="0.3">
      <c r="A201" s="300"/>
      <c r="B201" s="293" t="s">
        <v>184</v>
      </c>
      <c r="C201" s="293"/>
      <c r="D201" s="293"/>
      <c r="E201" s="293"/>
      <c r="F201" s="293"/>
      <c r="G201" s="293"/>
      <c r="H201" s="293"/>
      <c r="I201" s="293"/>
      <c r="J201" s="293"/>
      <c r="K201" s="293"/>
      <c r="L201" s="293"/>
      <c r="M201" s="293"/>
      <c r="N201" s="293"/>
      <c r="O201" s="293"/>
      <c r="P201" s="293"/>
      <c r="Q201" s="293"/>
      <c r="R201" s="413">
        <f>(R100+R102+R103+R104+R105+R106+R107+R108)/-(R109)</f>
        <v>1.7058823529411764</v>
      </c>
      <c r="S201" s="296" t="s">
        <v>95</v>
      </c>
      <c r="T201" s="273"/>
    </row>
    <row r="202" spans="1:20" s="274" customFormat="1" x14ac:dyDescent="0.3">
      <c r="A202" s="300"/>
      <c r="B202" s="293" t="s">
        <v>185</v>
      </c>
      <c r="C202" s="293"/>
      <c r="D202" s="293"/>
      <c r="E202" s="293"/>
      <c r="F202" s="293"/>
      <c r="G202" s="293"/>
      <c r="H202" s="293"/>
      <c r="I202" s="293"/>
      <c r="J202" s="293"/>
      <c r="K202" s="293"/>
      <c r="L202" s="293"/>
      <c r="M202" s="293"/>
      <c r="N202" s="293"/>
      <c r="O202" s="293"/>
      <c r="P202" s="293"/>
      <c r="Q202" s="293"/>
      <c r="R202" s="414">
        <v>5.09</v>
      </c>
      <c r="S202" s="296" t="s">
        <v>95</v>
      </c>
      <c r="T202" s="273"/>
    </row>
    <row r="203" spans="1:20" s="274" customFormat="1" x14ac:dyDescent="0.3">
      <c r="A203" s="300"/>
      <c r="B203" s="293" t="s">
        <v>272</v>
      </c>
      <c r="C203" s="293"/>
      <c r="D203" s="293"/>
      <c r="E203" s="293"/>
      <c r="F203" s="293"/>
      <c r="G203" s="293"/>
      <c r="H203" s="293"/>
      <c r="I203" s="293"/>
      <c r="J203" s="293"/>
      <c r="K203" s="293"/>
      <c r="L203" s="293"/>
      <c r="M203" s="293"/>
      <c r="N203" s="293"/>
      <c r="O203" s="293"/>
      <c r="P203" s="293"/>
      <c r="Q203" s="293"/>
      <c r="R203" s="413">
        <f>(R100+R102+R103+R104+R105+R106+R107+R108+R109+R110+R111+R112+R113+R114)/-(R115)</f>
        <v>1.71875</v>
      </c>
      <c r="S203" s="296" t="s">
        <v>95</v>
      </c>
      <c r="T203" s="273"/>
    </row>
    <row r="204" spans="1:20" s="274" customFormat="1" x14ac:dyDescent="0.3">
      <c r="A204" s="300"/>
      <c r="B204" s="293" t="s">
        <v>273</v>
      </c>
      <c r="C204" s="293"/>
      <c r="D204" s="293"/>
      <c r="E204" s="293"/>
      <c r="F204" s="293"/>
      <c r="G204" s="293"/>
      <c r="H204" s="293"/>
      <c r="I204" s="293"/>
      <c r="J204" s="293"/>
      <c r="K204" s="293"/>
      <c r="L204" s="293"/>
      <c r="M204" s="293"/>
      <c r="N204" s="293"/>
      <c r="O204" s="293"/>
      <c r="P204" s="293"/>
      <c r="Q204" s="293"/>
      <c r="R204" s="414">
        <v>10.64</v>
      </c>
      <c r="S204" s="296" t="s">
        <v>95</v>
      </c>
      <c r="T204" s="273"/>
    </row>
    <row r="205" spans="1:20" s="274" customFormat="1" x14ac:dyDescent="0.3">
      <c r="A205" s="300"/>
      <c r="B205" s="293"/>
      <c r="C205" s="293"/>
      <c r="D205" s="293"/>
      <c r="E205" s="293"/>
      <c r="F205" s="293"/>
      <c r="G205" s="293"/>
      <c r="H205" s="293"/>
      <c r="I205" s="293"/>
      <c r="J205" s="293"/>
      <c r="K205" s="293"/>
      <c r="L205" s="293"/>
      <c r="M205" s="293"/>
      <c r="N205" s="293"/>
      <c r="O205" s="293"/>
      <c r="P205" s="293"/>
      <c r="Q205" s="293"/>
      <c r="R205" s="293"/>
      <c r="S205" s="296"/>
      <c r="T205" s="273"/>
    </row>
    <row r="206" spans="1:20" s="274" customFormat="1" x14ac:dyDescent="0.3">
      <c r="A206" s="269"/>
      <c r="B206" s="290"/>
      <c r="C206" s="290"/>
      <c r="D206" s="290"/>
      <c r="E206" s="290"/>
      <c r="F206" s="290"/>
      <c r="G206" s="290"/>
      <c r="H206" s="290"/>
      <c r="I206" s="290"/>
      <c r="J206" s="290"/>
      <c r="K206" s="290"/>
      <c r="L206" s="290"/>
      <c r="M206" s="290"/>
      <c r="N206" s="290"/>
      <c r="O206" s="290"/>
      <c r="P206" s="290"/>
      <c r="Q206" s="290"/>
      <c r="R206" s="290"/>
      <c r="S206" s="272"/>
      <c r="T206" s="273"/>
    </row>
    <row r="207" spans="1:20" s="274" customFormat="1" x14ac:dyDescent="0.3">
      <c r="A207" s="269"/>
      <c r="B207" s="271"/>
      <c r="C207" s="271"/>
      <c r="D207" s="271"/>
      <c r="E207" s="271"/>
      <c r="F207" s="271"/>
      <c r="G207" s="271"/>
      <c r="H207" s="271"/>
      <c r="I207" s="271"/>
      <c r="J207" s="271"/>
      <c r="K207" s="271"/>
      <c r="L207" s="271"/>
      <c r="M207" s="271"/>
      <c r="N207" s="271"/>
      <c r="O207" s="271"/>
      <c r="P207" s="271"/>
      <c r="Q207" s="271"/>
      <c r="R207" s="271"/>
      <c r="S207" s="272"/>
      <c r="T207" s="273"/>
    </row>
    <row r="208" spans="1:20" s="274" customFormat="1" ht="18.600000000000001" thickBot="1" x14ac:dyDescent="0.4">
      <c r="A208" s="346"/>
      <c r="B208" s="347" t="str">
        <f>B135</f>
        <v>PM24 INVESTOR REPORT QUARTER ENDING DECEMBER 2019</v>
      </c>
      <c r="C208" s="348"/>
      <c r="D208" s="348"/>
      <c r="E208" s="348"/>
      <c r="F208" s="348"/>
      <c r="G208" s="348"/>
      <c r="H208" s="348"/>
      <c r="I208" s="348"/>
      <c r="J208" s="348"/>
      <c r="K208" s="348"/>
      <c r="L208" s="348"/>
      <c r="M208" s="348"/>
      <c r="N208" s="348"/>
      <c r="O208" s="348"/>
      <c r="P208" s="348"/>
      <c r="Q208" s="348"/>
      <c r="R208" s="348"/>
      <c r="S208" s="350"/>
      <c r="T208" s="273"/>
    </row>
    <row r="209" spans="1:20" x14ac:dyDescent="0.3">
      <c r="A209" s="386"/>
      <c r="B209" s="387" t="s">
        <v>55</v>
      </c>
      <c r="C209" s="415"/>
      <c r="D209" s="416"/>
      <c r="E209" s="416"/>
      <c r="F209" s="416"/>
      <c r="G209" s="416"/>
      <c r="H209" s="416"/>
      <c r="I209" s="416"/>
      <c r="J209" s="416"/>
      <c r="K209" s="416"/>
      <c r="L209" s="416"/>
      <c r="M209" s="416"/>
      <c r="N209" s="416"/>
      <c r="O209" s="416"/>
      <c r="P209" s="416">
        <v>43830</v>
      </c>
      <c r="Q209" s="388"/>
      <c r="R209" s="388"/>
      <c r="S209" s="390"/>
      <c r="T209" s="256"/>
    </row>
    <row r="210" spans="1:20" x14ac:dyDescent="0.3">
      <c r="A210" s="417"/>
      <c r="B210" s="418"/>
      <c r="C210" s="419"/>
      <c r="D210" s="420"/>
      <c r="E210" s="420"/>
      <c r="F210" s="420"/>
      <c r="G210" s="420"/>
      <c r="H210" s="420"/>
      <c r="I210" s="420"/>
      <c r="J210" s="420"/>
      <c r="K210" s="420"/>
      <c r="L210" s="420"/>
      <c r="M210" s="420"/>
      <c r="N210" s="420"/>
      <c r="O210" s="420"/>
      <c r="P210" s="420"/>
      <c r="Q210" s="260"/>
      <c r="R210" s="260"/>
      <c r="S210" s="261"/>
      <c r="T210" s="256"/>
    </row>
    <row r="211" spans="1:20" s="274" customFormat="1" x14ac:dyDescent="0.3">
      <c r="A211" s="300"/>
      <c r="B211" s="293" t="s">
        <v>56</v>
      </c>
      <c r="C211" s="421"/>
      <c r="D211" s="336"/>
      <c r="E211" s="336"/>
      <c r="F211" s="336"/>
      <c r="G211" s="336"/>
      <c r="H211" s="336"/>
      <c r="I211" s="336"/>
      <c r="J211" s="336"/>
      <c r="K211" s="336"/>
      <c r="L211" s="336"/>
      <c r="M211" s="336"/>
      <c r="N211" s="336"/>
      <c r="O211" s="336"/>
      <c r="P211" s="328">
        <v>3.8129999999999997E-2</v>
      </c>
      <c r="Q211" s="293"/>
      <c r="R211" s="293"/>
      <c r="S211" s="296"/>
      <c r="T211" s="273"/>
    </row>
    <row r="212" spans="1:20" s="274" customFormat="1" x14ac:dyDescent="0.3">
      <c r="A212" s="300"/>
      <c r="B212" s="293" t="s">
        <v>158</v>
      </c>
      <c r="C212" s="421"/>
      <c r="D212" s="336"/>
      <c r="E212" s="336"/>
      <c r="F212" s="336"/>
      <c r="G212" s="336"/>
      <c r="H212" s="336"/>
      <c r="I212" s="336"/>
      <c r="J212" s="336"/>
      <c r="K212" s="336"/>
      <c r="L212" s="336"/>
      <c r="M212" s="336"/>
      <c r="N212" s="336"/>
      <c r="O212" s="336"/>
      <c r="P212" s="328">
        <v>2.4610284713705084E-2</v>
      </c>
      <c r="Q212" s="293"/>
      <c r="R212" s="293"/>
      <c r="S212" s="296"/>
      <c r="T212" s="273"/>
    </row>
    <row r="213" spans="1:20" s="274" customFormat="1" x14ac:dyDescent="0.3">
      <c r="A213" s="300"/>
      <c r="B213" s="293" t="s">
        <v>57</v>
      </c>
      <c r="C213" s="421"/>
      <c r="D213" s="336"/>
      <c r="E213" s="336"/>
      <c r="F213" s="336"/>
      <c r="G213" s="336"/>
      <c r="H213" s="336"/>
      <c r="I213" s="336"/>
      <c r="J213" s="336"/>
      <c r="K213" s="336"/>
      <c r="L213" s="336"/>
      <c r="M213" s="336"/>
      <c r="N213" s="336"/>
      <c r="O213" s="336"/>
      <c r="P213" s="328">
        <f>P211-P212</f>
        <v>1.3519715286294913E-2</v>
      </c>
      <c r="Q213" s="293"/>
      <c r="R213" s="293"/>
      <c r="S213" s="296"/>
      <c r="T213" s="273"/>
    </row>
    <row r="214" spans="1:20" s="274" customFormat="1" x14ac:dyDescent="0.3">
      <c r="A214" s="300"/>
      <c r="B214" s="293" t="s">
        <v>161</v>
      </c>
      <c r="C214" s="421"/>
      <c r="D214" s="336"/>
      <c r="E214" s="336"/>
      <c r="F214" s="336"/>
      <c r="G214" s="336"/>
      <c r="H214" s="336"/>
      <c r="I214" s="336"/>
      <c r="J214" s="336"/>
      <c r="K214" s="336"/>
      <c r="L214" s="336"/>
      <c r="M214" s="336"/>
      <c r="N214" s="336"/>
      <c r="O214" s="336"/>
      <c r="P214" s="328">
        <v>4.7849999999999997E-2</v>
      </c>
      <c r="Q214" s="293"/>
      <c r="R214" s="293"/>
      <c r="S214" s="296"/>
      <c r="T214" s="273"/>
    </row>
    <row r="215" spans="1:20" s="274" customFormat="1" x14ac:dyDescent="0.3">
      <c r="A215" s="300"/>
      <c r="B215" s="293" t="s">
        <v>58</v>
      </c>
      <c r="C215" s="421"/>
      <c r="D215" s="336"/>
      <c r="E215" s="336"/>
      <c r="F215" s="336"/>
      <c r="G215" s="336"/>
      <c r="H215" s="336"/>
      <c r="I215" s="336"/>
      <c r="J215" s="336"/>
      <c r="K215" s="336"/>
      <c r="L215" s="336"/>
      <c r="M215" s="336"/>
      <c r="N215" s="336"/>
      <c r="O215" s="336"/>
      <c r="P215" s="328">
        <v>4.9930000000000002E-2</v>
      </c>
      <c r="Q215" s="293"/>
      <c r="R215" s="293"/>
      <c r="S215" s="296"/>
      <c r="T215" s="273"/>
    </row>
    <row r="216" spans="1:20" s="274" customFormat="1" x14ac:dyDescent="0.3">
      <c r="A216" s="300"/>
      <c r="B216" s="293" t="s">
        <v>159</v>
      </c>
      <c r="C216" s="421"/>
      <c r="D216" s="336"/>
      <c r="E216" s="336"/>
      <c r="F216" s="336"/>
      <c r="G216" s="336"/>
      <c r="H216" s="336"/>
      <c r="I216" s="336"/>
      <c r="J216" s="336"/>
      <c r="K216" s="336"/>
      <c r="L216" s="336"/>
      <c r="M216" s="336"/>
      <c r="N216" s="336"/>
      <c r="O216" s="336"/>
      <c r="P216" s="328">
        <f>R40</f>
        <v>3.9433144715107935E-2</v>
      </c>
      <c r="Q216" s="293"/>
      <c r="R216" s="293"/>
      <c r="S216" s="296"/>
      <c r="T216" s="273"/>
    </row>
    <row r="217" spans="1:20" s="274" customFormat="1" x14ac:dyDescent="0.3">
      <c r="A217" s="300"/>
      <c r="B217" s="293" t="s">
        <v>59</v>
      </c>
      <c r="C217" s="421"/>
      <c r="D217" s="336"/>
      <c r="E217" s="336"/>
      <c r="F217" s="336"/>
      <c r="G217" s="336"/>
      <c r="H217" s="336"/>
      <c r="I217" s="336"/>
      <c r="J217" s="336"/>
      <c r="K217" s="336"/>
      <c r="L217" s="336"/>
      <c r="M217" s="336"/>
      <c r="N217" s="336"/>
      <c r="O217" s="336"/>
      <c r="P217" s="328">
        <f>P215-P216</f>
        <v>1.0496855284892068E-2</v>
      </c>
      <c r="Q217" s="293"/>
      <c r="R217" s="293"/>
      <c r="S217" s="296"/>
      <c r="T217" s="273"/>
    </row>
    <row r="218" spans="1:20" s="274" customFormat="1" x14ac:dyDescent="0.3">
      <c r="A218" s="300"/>
      <c r="B218" s="293" t="s">
        <v>139</v>
      </c>
      <c r="C218" s="421"/>
      <c r="D218" s="336"/>
      <c r="E218" s="336"/>
      <c r="F218" s="336"/>
      <c r="G218" s="336"/>
      <c r="H218" s="336"/>
      <c r="I218" s="336"/>
      <c r="J218" s="336"/>
      <c r="K218" s="336"/>
      <c r="L218" s="336"/>
      <c r="M218" s="336"/>
      <c r="N218" s="336"/>
      <c r="O218" s="336"/>
      <c r="P218" s="328">
        <f>(+R100+R102)/H80</f>
        <v>1.3361983797668444E-2</v>
      </c>
      <c r="Q218" s="293"/>
      <c r="R218" s="293"/>
      <c r="S218" s="296"/>
      <c r="T218" s="273"/>
    </row>
    <row r="219" spans="1:20" s="274" customFormat="1" x14ac:dyDescent="0.3">
      <c r="A219" s="300"/>
      <c r="B219" s="293" t="s">
        <v>132</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186</v>
      </c>
      <c r="C220" s="421"/>
      <c r="D220" s="336"/>
      <c r="E220" s="336"/>
      <c r="F220" s="336"/>
      <c r="G220" s="336"/>
      <c r="H220" s="336"/>
      <c r="I220" s="336"/>
      <c r="J220" s="336"/>
      <c r="K220" s="336"/>
      <c r="L220" s="336"/>
      <c r="M220" s="336"/>
      <c r="N220" s="336"/>
      <c r="O220" s="336"/>
      <c r="P220" s="422">
        <v>52427</v>
      </c>
      <c r="Q220" s="293"/>
      <c r="R220" s="293"/>
      <c r="S220" s="296"/>
      <c r="T220" s="273"/>
    </row>
    <row r="221" spans="1:20" s="274" customFormat="1" x14ac:dyDescent="0.3">
      <c r="A221" s="300"/>
      <c r="B221" s="293" t="s">
        <v>187</v>
      </c>
      <c r="C221" s="421"/>
      <c r="D221" s="336"/>
      <c r="E221" s="336"/>
      <c r="F221" s="336"/>
      <c r="G221" s="336"/>
      <c r="H221" s="336"/>
      <c r="I221" s="336"/>
      <c r="J221" s="336"/>
      <c r="K221" s="336"/>
      <c r="L221" s="336"/>
      <c r="M221" s="336"/>
      <c r="N221" s="336"/>
      <c r="O221" s="336"/>
      <c r="P221" s="422">
        <v>52427</v>
      </c>
      <c r="Q221" s="293"/>
      <c r="R221" s="293"/>
      <c r="S221" s="296"/>
      <c r="T221" s="273"/>
    </row>
    <row r="222" spans="1:20" s="274" customFormat="1" x14ac:dyDescent="0.3">
      <c r="A222" s="300"/>
      <c r="B222" s="293" t="s">
        <v>274</v>
      </c>
      <c r="C222" s="421"/>
      <c r="D222" s="336"/>
      <c r="E222" s="336"/>
      <c r="F222" s="336"/>
      <c r="G222" s="336"/>
      <c r="H222" s="336"/>
      <c r="I222" s="336"/>
      <c r="J222" s="336"/>
      <c r="K222" s="336"/>
      <c r="L222" s="336"/>
      <c r="M222" s="336"/>
      <c r="N222" s="336"/>
      <c r="O222" s="336"/>
      <c r="P222" s="422">
        <v>52427</v>
      </c>
      <c r="Q222" s="293"/>
      <c r="R222" s="293"/>
      <c r="S222" s="296"/>
      <c r="T222" s="273"/>
    </row>
    <row r="223" spans="1:20" s="274" customFormat="1" x14ac:dyDescent="0.3">
      <c r="A223" s="300"/>
      <c r="B223" s="293" t="s">
        <v>60</v>
      </c>
      <c r="C223" s="421"/>
      <c r="D223" s="336"/>
      <c r="E223" s="336"/>
      <c r="F223" s="336"/>
      <c r="G223" s="336"/>
      <c r="H223" s="336"/>
      <c r="I223" s="336"/>
      <c r="J223" s="336"/>
      <c r="K223" s="336"/>
      <c r="L223" s="336"/>
      <c r="M223" s="336"/>
      <c r="N223" s="336"/>
      <c r="O223" s="336"/>
      <c r="P223" s="334">
        <v>20.96</v>
      </c>
      <c r="Q223" s="293" t="s">
        <v>90</v>
      </c>
      <c r="R223" s="293"/>
      <c r="S223" s="296"/>
      <c r="T223" s="273"/>
    </row>
    <row r="224" spans="1:20" s="274" customFormat="1" x14ac:dyDescent="0.3">
      <c r="A224" s="300"/>
      <c r="B224" s="293" t="s">
        <v>61</v>
      </c>
      <c r="C224" s="421"/>
      <c r="D224" s="336"/>
      <c r="E224" s="336"/>
      <c r="F224" s="336"/>
      <c r="G224" s="336"/>
      <c r="H224" s="336"/>
      <c r="I224" s="336"/>
      <c r="J224" s="336"/>
      <c r="K224" s="336"/>
      <c r="L224" s="336"/>
      <c r="M224" s="336"/>
      <c r="N224" s="336"/>
      <c r="O224" s="336"/>
      <c r="P224" s="334">
        <v>16.670000000000002</v>
      </c>
      <c r="Q224" s="293" t="s">
        <v>90</v>
      </c>
      <c r="R224" s="293"/>
      <c r="S224" s="296"/>
      <c r="T224" s="273"/>
    </row>
    <row r="225" spans="1:20" s="274" customFormat="1" x14ac:dyDescent="0.3">
      <c r="A225" s="300"/>
      <c r="B225" s="293" t="s">
        <v>62</v>
      </c>
      <c r="C225" s="421"/>
      <c r="D225" s="336"/>
      <c r="E225" s="336"/>
      <c r="F225" s="336"/>
      <c r="G225" s="336"/>
      <c r="H225" s="336"/>
      <c r="I225" s="336"/>
      <c r="J225" s="336"/>
      <c r="K225" s="336"/>
      <c r="L225" s="336"/>
      <c r="M225" s="336"/>
      <c r="N225" s="336"/>
      <c r="O225" s="336"/>
      <c r="P225" s="328">
        <f>(+J64+L64+P64)/(H64+H77)</f>
        <v>0.11230488045840743</v>
      </c>
      <c r="Q225" s="293"/>
      <c r="R225" s="293"/>
      <c r="S225" s="296"/>
      <c r="T225" s="273"/>
    </row>
    <row r="226" spans="1:20" s="274" customFormat="1" x14ac:dyDescent="0.3">
      <c r="A226" s="300"/>
      <c r="B226" s="293" t="s">
        <v>63</v>
      </c>
      <c r="C226" s="421"/>
      <c r="D226" s="336"/>
      <c r="E226" s="336"/>
      <c r="F226" s="336"/>
      <c r="G226" s="336"/>
      <c r="H226" s="336"/>
      <c r="I226" s="336"/>
      <c r="J226" s="336"/>
      <c r="K226" s="336"/>
      <c r="L226" s="336"/>
      <c r="M226" s="336"/>
      <c r="N226" s="336"/>
      <c r="O226" s="336"/>
      <c r="P226" s="328">
        <v>0.42159999999999997</v>
      </c>
      <c r="Q226" s="293"/>
      <c r="R226" s="293"/>
      <c r="S226" s="296"/>
      <c r="T226" s="273"/>
    </row>
    <row r="227" spans="1:20" x14ac:dyDescent="0.3">
      <c r="A227" s="417"/>
      <c r="B227" s="423"/>
      <c r="C227" s="423"/>
      <c r="D227" s="362"/>
      <c r="E227" s="362"/>
      <c r="F227" s="362"/>
      <c r="G227" s="362"/>
      <c r="H227" s="362"/>
      <c r="I227" s="362"/>
      <c r="J227" s="362"/>
      <c r="K227" s="362"/>
      <c r="L227" s="362"/>
      <c r="M227" s="362"/>
      <c r="N227" s="362"/>
      <c r="O227" s="362"/>
      <c r="P227" s="393"/>
      <c r="Q227" s="362"/>
      <c r="R227" s="424"/>
      <c r="S227" s="261"/>
      <c r="T227" s="256"/>
    </row>
    <row r="228" spans="1:20" x14ac:dyDescent="0.3">
      <c r="A228" s="425"/>
      <c r="B228" s="368" t="s">
        <v>64</v>
      </c>
      <c r="C228" s="369"/>
      <c r="D228" s="369"/>
      <c r="E228" s="369"/>
      <c r="F228" s="369"/>
      <c r="G228" s="369"/>
      <c r="H228" s="369"/>
      <c r="I228" s="369"/>
      <c r="J228" s="369"/>
      <c r="K228" s="369"/>
      <c r="L228" s="369"/>
      <c r="M228" s="369"/>
      <c r="N228" s="369"/>
      <c r="O228" s="369" t="s">
        <v>83</v>
      </c>
      <c r="P228" s="426" t="s">
        <v>88</v>
      </c>
      <c r="Q228" s="286"/>
      <c r="R228" s="286"/>
      <c r="S228" s="289"/>
      <c r="T228" s="256"/>
    </row>
    <row r="229" spans="1:20" s="274" customFormat="1" x14ac:dyDescent="0.3">
      <c r="A229" s="427"/>
      <c r="B229" s="290" t="s">
        <v>65</v>
      </c>
      <c r="C229" s="372"/>
      <c r="D229" s="428"/>
      <c r="E229" s="428"/>
      <c r="F229" s="428"/>
      <c r="G229" s="428"/>
      <c r="H229" s="428"/>
      <c r="I229" s="428"/>
      <c r="J229" s="428"/>
      <c r="K229" s="428"/>
      <c r="L229" s="428"/>
      <c r="M229" s="428"/>
      <c r="N229" s="428"/>
      <c r="O229" s="428">
        <v>0</v>
      </c>
      <c r="P229" s="429">
        <v>0</v>
      </c>
      <c r="Q229" s="290"/>
      <c r="R229" s="430"/>
      <c r="S229" s="431"/>
      <c r="T229" s="273"/>
    </row>
    <row r="230" spans="1:20" s="274" customFormat="1" x14ac:dyDescent="0.3">
      <c r="A230" s="432"/>
      <c r="B230" s="293" t="s">
        <v>113</v>
      </c>
      <c r="C230" s="360"/>
      <c r="D230" s="301"/>
      <c r="E230" s="301"/>
      <c r="F230" s="301"/>
      <c r="G230" s="301"/>
      <c r="H230" s="301"/>
      <c r="I230" s="301"/>
      <c r="J230" s="301"/>
      <c r="K230" s="301"/>
      <c r="L230" s="301"/>
      <c r="M230" s="301"/>
      <c r="N230" s="301"/>
      <c r="O230" s="433">
        <f>+N282</f>
        <v>0</v>
      </c>
      <c r="P230" s="434">
        <f>+P282</f>
        <v>0</v>
      </c>
      <c r="Q230" s="293"/>
      <c r="R230" s="435"/>
      <c r="S230" s="436"/>
      <c r="T230" s="273"/>
    </row>
    <row r="231" spans="1:20" s="274" customFormat="1" x14ac:dyDescent="0.3">
      <c r="A231" s="432"/>
      <c r="B231" s="293" t="s">
        <v>66</v>
      </c>
      <c r="C231" s="360"/>
      <c r="D231" s="301"/>
      <c r="E231" s="301"/>
      <c r="F231" s="301"/>
      <c r="G231" s="301"/>
      <c r="H231" s="301"/>
      <c r="I231" s="301"/>
      <c r="J231" s="301"/>
      <c r="K231" s="301"/>
      <c r="L231" s="301"/>
      <c r="M231" s="301"/>
      <c r="N231" s="301"/>
      <c r="O231" s="433">
        <f>+N294</f>
        <v>0</v>
      </c>
      <c r="P231" s="434">
        <f>+P294</f>
        <v>0</v>
      </c>
      <c r="Q231" s="293"/>
      <c r="R231" s="435"/>
      <c r="S231" s="436"/>
      <c r="T231" s="273"/>
    </row>
    <row r="232" spans="1:20" x14ac:dyDescent="0.3">
      <c r="A232" s="437"/>
      <c r="B232" s="438" t="s">
        <v>277</v>
      </c>
      <c r="C232" s="439"/>
      <c r="D232" s="316"/>
      <c r="E232" s="316"/>
      <c r="F232" s="316"/>
      <c r="G232" s="316"/>
      <c r="H232" s="316"/>
      <c r="I232" s="316"/>
      <c r="J232" s="316"/>
      <c r="K232" s="316"/>
      <c r="L232" s="316"/>
      <c r="M232" s="316"/>
      <c r="N232" s="316"/>
      <c r="O232" s="379"/>
      <c r="P232" s="434">
        <f>+P64</f>
        <v>1440</v>
      </c>
      <c r="Q232" s="316"/>
      <c r="R232" s="440"/>
      <c r="S232" s="441"/>
      <c r="T232" s="256"/>
    </row>
    <row r="233" spans="1:20" x14ac:dyDescent="0.3">
      <c r="A233" s="437"/>
      <c r="B233" s="438" t="s">
        <v>140</v>
      </c>
      <c r="C233" s="439"/>
      <c r="D233" s="316"/>
      <c r="E233" s="316"/>
      <c r="F233" s="316"/>
      <c r="G233" s="316"/>
      <c r="H233" s="316"/>
      <c r="I233" s="316"/>
      <c r="J233" s="316"/>
      <c r="K233" s="316"/>
      <c r="L233" s="316"/>
      <c r="M233" s="316"/>
      <c r="N233" s="316"/>
      <c r="O233" s="379"/>
      <c r="P233" s="434">
        <f>-J77</f>
        <v>0</v>
      </c>
      <c r="Q233" s="316"/>
      <c r="R233" s="440"/>
      <c r="S233" s="441"/>
      <c r="T233" s="256"/>
    </row>
    <row r="234" spans="1:20" x14ac:dyDescent="0.3">
      <c r="A234" s="442"/>
      <c r="B234" s="438" t="s">
        <v>67</v>
      </c>
      <c r="C234" s="443"/>
      <c r="D234" s="316"/>
      <c r="E234" s="316"/>
      <c r="F234" s="316"/>
      <c r="G234" s="316"/>
      <c r="H234" s="316"/>
      <c r="I234" s="316"/>
      <c r="J234" s="316"/>
      <c r="K234" s="316"/>
      <c r="L234" s="316"/>
      <c r="M234" s="316"/>
      <c r="N234" s="316"/>
      <c r="O234" s="379"/>
      <c r="P234" s="444"/>
      <c r="Q234" s="316"/>
      <c r="R234" s="440"/>
      <c r="S234" s="445"/>
      <c r="T234" s="256"/>
    </row>
    <row r="235" spans="1:20" s="274" customFormat="1" x14ac:dyDescent="0.3">
      <c r="A235" s="446"/>
      <c r="B235" s="293" t="s">
        <v>68</v>
      </c>
      <c r="C235" s="293"/>
      <c r="D235" s="293"/>
      <c r="E235" s="293"/>
      <c r="F235" s="293"/>
      <c r="G235" s="293"/>
      <c r="H235" s="293"/>
      <c r="I235" s="293"/>
      <c r="J235" s="293"/>
      <c r="K235" s="293"/>
      <c r="L235" s="293"/>
      <c r="M235" s="293"/>
      <c r="N235" s="293"/>
      <c r="O235" s="301"/>
      <c r="P235" s="434">
        <f>R165</f>
        <v>0</v>
      </c>
      <c r="Q235" s="293"/>
      <c r="R235" s="435"/>
      <c r="S235" s="447"/>
      <c r="T235" s="273"/>
    </row>
    <row r="236" spans="1:20" s="274" customFormat="1" x14ac:dyDescent="0.3">
      <c r="A236" s="432"/>
      <c r="B236" s="293" t="s">
        <v>69</v>
      </c>
      <c r="C236" s="360"/>
      <c r="D236" s="293"/>
      <c r="E236" s="293"/>
      <c r="F236" s="293"/>
      <c r="G236" s="293"/>
      <c r="H236" s="293"/>
      <c r="I236" s="293"/>
      <c r="J236" s="293"/>
      <c r="K236" s="293"/>
      <c r="L236" s="293"/>
      <c r="M236" s="293"/>
      <c r="N236" s="293"/>
      <c r="O236" s="301"/>
      <c r="P236" s="434">
        <f>'Sept 19'!P236+P235</f>
        <v>0</v>
      </c>
      <c r="Q236" s="293"/>
      <c r="R236" s="435"/>
      <c r="S236" s="447"/>
      <c r="T236" s="273"/>
    </row>
    <row r="237" spans="1:20" x14ac:dyDescent="0.3">
      <c r="A237" s="442"/>
      <c r="B237" s="438" t="s">
        <v>151</v>
      </c>
      <c r="C237" s="443"/>
      <c r="D237" s="316"/>
      <c r="E237" s="316"/>
      <c r="F237" s="316"/>
      <c r="G237" s="316"/>
      <c r="H237" s="316"/>
      <c r="I237" s="316"/>
      <c r="J237" s="316"/>
      <c r="K237" s="316"/>
      <c r="L237" s="316"/>
      <c r="M237" s="316"/>
      <c r="N237" s="316"/>
      <c r="O237" s="448"/>
      <c r="P237" s="444"/>
      <c r="Q237" s="316"/>
      <c r="R237" s="440"/>
      <c r="S237" s="445"/>
      <c r="T237" s="256"/>
    </row>
    <row r="238" spans="1:20" s="274" customFormat="1" x14ac:dyDescent="0.3">
      <c r="A238" s="446"/>
      <c r="B238" s="293" t="s">
        <v>160</v>
      </c>
      <c r="C238" s="293"/>
      <c r="D238" s="293"/>
      <c r="E238" s="293"/>
      <c r="F238" s="293"/>
      <c r="G238" s="293"/>
      <c r="H238" s="293"/>
      <c r="I238" s="293"/>
      <c r="J238" s="293"/>
      <c r="K238" s="293"/>
      <c r="L238" s="293"/>
      <c r="M238" s="293"/>
      <c r="N238" s="293"/>
      <c r="O238" s="301">
        <v>0</v>
      </c>
      <c r="P238" s="434">
        <v>0</v>
      </c>
      <c r="Q238" s="293"/>
      <c r="R238" s="435"/>
      <c r="S238" s="447"/>
      <c r="T238" s="273"/>
    </row>
    <row r="239" spans="1:20" s="274" customFormat="1" x14ac:dyDescent="0.3">
      <c r="A239" s="432"/>
      <c r="B239" s="293" t="s">
        <v>70</v>
      </c>
      <c r="C239" s="332"/>
      <c r="D239" s="293"/>
      <c r="E239" s="293"/>
      <c r="F239" s="293"/>
      <c r="G239" s="293"/>
      <c r="H239" s="293"/>
      <c r="I239" s="293"/>
      <c r="J239" s="293"/>
      <c r="K239" s="293"/>
      <c r="L239" s="293"/>
      <c r="M239" s="293"/>
      <c r="N239" s="293"/>
      <c r="O239" s="293"/>
      <c r="P239" s="449">
        <v>0</v>
      </c>
      <c r="Q239" s="293"/>
      <c r="R239" s="435"/>
      <c r="S239" s="447"/>
      <c r="T239" s="273"/>
    </row>
    <row r="240" spans="1:20" s="274" customFormat="1" x14ac:dyDescent="0.3">
      <c r="A240" s="432"/>
      <c r="B240" s="293" t="s">
        <v>71</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38" t="s">
        <v>136</v>
      </c>
      <c r="C241" s="450"/>
      <c r="D241" s="316"/>
      <c r="E241" s="316"/>
      <c r="F241" s="316"/>
      <c r="G241" s="316"/>
      <c r="H241" s="316"/>
      <c r="I241" s="316"/>
      <c r="J241" s="316"/>
      <c r="K241" s="316"/>
      <c r="L241" s="316"/>
      <c r="M241" s="316"/>
      <c r="N241" s="316"/>
      <c r="O241" s="379"/>
      <c r="P241" s="451"/>
      <c r="Q241" s="316"/>
      <c r="R241" s="440"/>
      <c r="S241" s="445"/>
      <c r="T241" s="256"/>
    </row>
    <row r="242" spans="1:20" s="274" customFormat="1" x14ac:dyDescent="0.3">
      <c r="A242" s="432"/>
      <c r="B242" s="293" t="s">
        <v>160</v>
      </c>
      <c r="C242" s="332"/>
      <c r="D242" s="293"/>
      <c r="E242" s="293"/>
      <c r="F242" s="293"/>
      <c r="G242" s="293"/>
      <c r="H242" s="293"/>
      <c r="I242" s="293"/>
      <c r="J242" s="293"/>
      <c r="K242" s="293"/>
      <c r="L242" s="293"/>
      <c r="M242" s="293"/>
      <c r="N242" s="293"/>
      <c r="O242" s="301">
        <v>0</v>
      </c>
      <c r="P242" s="434">
        <v>0</v>
      </c>
      <c r="Q242" s="293"/>
      <c r="R242" s="435"/>
      <c r="S242" s="447"/>
      <c r="T242" s="273"/>
    </row>
    <row r="243" spans="1:20" s="274" customFormat="1" x14ac:dyDescent="0.3">
      <c r="A243" s="432"/>
      <c r="B243" s="293" t="s">
        <v>137</v>
      </c>
      <c r="C243" s="332"/>
      <c r="D243" s="293"/>
      <c r="E243" s="293"/>
      <c r="F243" s="293"/>
      <c r="G243" s="293"/>
      <c r="H243" s="293"/>
      <c r="I243" s="293"/>
      <c r="J243" s="293"/>
      <c r="K243" s="293"/>
      <c r="L243" s="293"/>
      <c r="M243" s="293"/>
      <c r="N243" s="293"/>
      <c r="O243" s="293"/>
      <c r="P243" s="449">
        <v>0</v>
      </c>
      <c r="Q243" s="293"/>
      <c r="R243" s="435"/>
      <c r="S243" s="447"/>
      <c r="T243" s="273"/>
    </row>
    <row r="244" spans="1:20" x14ac:dyDescent="0.3">
      <c r="A244" s="437"/>
      <c r="B244" s="443"/>
      <c r="C244" s="450"/>
      <c r="D244" s="316"/>
      <c r="E244" s="316"/>
      <c r="F244" s="316"/>
      <c r="G244" s="316"/>
      <c r="H244" s="316"/>
      <c r="I244" s="316"/>
      <c r="J244" s="316"/>
      <c r="K244" s="316"/>
      <c r="L244" s="316"/>
      <c r="M244" s="316"/>
      <c r="N244" s="316"/>
      <c r="O244" s="379"/>
      <c r="P244" s="451"/>
      <c r="Q244" s="316"/>
      <c r="R244" s="440"/>
      <c r="S244" s="445"/>
      <c r="T244" s="256"/>
    </row>
    <row r="245" spans="1:20" x14ac:dyDescent="0.3">
      <c r="A245" s="437"/>
      <c r="B245" s="443"/>
      <c r="C245" s="450"/>
      <c r="D245" s="316"/>
      <c r="E245" s="316"/>
      <c r="F245" s="316"/>
      <c r="G245" s="316"/>
      <c r="H245" s="316"/>
      <c r="I245" s="316"/>
      <c r="J245" s="316"/>
      <c r="K245" s="316"/>
      <c r="L245" s="316"/>
      <c r="M245" s="316"/>
      <c r="N245" s="316"/>
      <c r="O245" s="316"/>
      <c r="P245" s="452"/>
      <c r="Q245" s="316"/>
      <c r="R245" s="440"/>
      <c r="S245" s="445"/>
      <c r="T245" s="256"/>
    </row>
    <row r="246" spans="1:20" ht="18" x14ac:dyDescent="0.35">
      <c r="A246" s="437"/>
      <c r="B246" s="453" t="s">
        <v>129</v>
      </c>
      <c r="C246" s="450"/>
      <c r="D246" s="316"/>
      <c r="E246" s="316"/>
      <c r="F246" s="316"/>
      <c r="G246" s="316"/>
      <c r="H246" s="316"/>
      <c r="I246" s="316"/>
      <c r="J246" s="316"/>
      <c r="K246" s="316"/>
      <c r="L246" s="454"/>
      <c r="M246" s="316"/>
      <c r="N246" s="455" t="s">
        <v>285</v>
      </c>
      <c r="O246" s="454"/>
      <c r="P246" s="452"/>
      <c r="Q246" s="316"/>
      <c r="R246" s="440"/>
      <c r="S246" s="445"/>
      <c r="T246" s="256"/>
    </row>
    <row r="247" spans="1:20" ht="18" x14ac:dyDescent="0.35">
      <c r="A247" s="456"/>
      <c r="B247" s="457"/>
      <c r="C247" s="458"/>
      <c r="D247" s="362"/>
      <c r="E247" s="362"/>
      <c r="F247" s="362"/>
      <c r="G247" s="362"/>
      <c r="H247" s="362"/>
      <c r="I247" s="362"/>
      <c r="J247" s="362"/>
      <c r="K247" s="362"/>
      <c r="L247" s="459"/>
      <c r="M247" s="362"/>
      <c r="N247" s="362"/>
      <c r="O247" s="362"/>
      <c r="P247" s="460"/>
      <c r="Q247" s="362"/>
      <c r="R247" s="424"/>
      <c r="S247" s="461"/>
      <c r="T247" s="256"/>
    </row>
    <row r="248" spans="1:20" x14ac:dyDescent="0.3">
      <c r="A248" s="285"/>
      <c r="B248" s="368" t="s">
        <v>152</v>
      </c>
      <c r="C248" s="369"/>
      <c r="D248" s="369"/>
      <c r="E248" s="369"/>
      <c r="F248" s="369"/>
      <c r="G248" s="369"/>
      <c r="H248" s="369"/>
      <c r="I248" s="369"/>
      <c r="J248" s="369"/>
      <c r="K248" s="369"/>
      <c r="L248" s="369"/>
      <c r="M248" s="369"/>
      <c r="N248" s="426" t="s">
        <v>83</v>
      </c>
      <c r="O248" s="369" t="s">
        <v>84</v>
      </c>
      <c r="P248" s="426" t="s">
        <v>89</v>
      </c>
      <c r="Q248" s="369" t="s">
        <v>84</v>
      </c>
      <c r="R248" s="286"/>
      <c r="S248" s="462"/>
      <c r="T248" s="256"/>
    </row>
    <row r="249" spans="1:20" s="274" customFormat="1" x14ac:dyDescent="0.3">
      <c r="A249" s="269"/>
      <c r="B249" s="372" t="s">
        <v>72</v>
      </c>
      <c r="C249" s="463"/>
      <c r="D249" s="463"/>
      <c r="E249" s="463"/>
      <c r="F249" s="463"/>
      <c r="G249" s="463"/>
      <c r="H249" s="463"/>
      <c r="I249" s="463"/>
      <c r="J249" s="463"/>
      <c r="K249" s="463"/>
      <c r="L249" s="463"/>
      <c r="M249" s="463"/>
      <c r="N249" s="372">
        <f>+N261+N273+N285</f>
        <v>236</v>
      </c>
      <c r="O249" s="464">
        <f>N249/$N$258</f>
        <v>0.99578059071729963</v>
      </c>
      <c r="P249" s="373">
        <f>+P261+P273+P285</f>
        <v>35875</v>
      </c>
      <c r="Q249" s="464">
        <f t="shared" ref="Q249:Q256" si="5">P249/$P$258</f>
        <v>0.99816365710469934</v>
      </c>
      <c r="R249" s="430"/>
      <c r="S249" s="465"/>
      <c r="T249" s="273"/>
    </row>
    <row r="250" spans="1:20" s="274" customFormat="1" x14ac:dyDescent="0.3">
      <c r="A250" s="300"/>
      <c r="B250" s="360" t="s">
        <v>73</v>
      </c>
      <c r="C250" s="466"/>
      <c r="D250" s="466"/>
      <c r="E250" s="466"/>
      <c r="F250" s="466"/>
      <c r="G250" s="466"/>
      <c r="H250" s="466"/>
      <c r="I250" s="466"/>
      <c r="J250" s="466"/>
      <c r="K250" s="466"/>
      <c r="L250" s="466"/>
      <c r="M250" s="466"/>
      <c r="N250" s="467">
        <f t="shared" ref="N250:N255" si="6">+N262+N274+N286</f>
        <v>1</v>
      </c>
      <c r="O250" s="468">
        <f t="shared" ref="O250:O256" si="7">N250/$N$258</f>
        <v>4.2194092827004216E-3</v>
      </c>
      <c r="P250" s="469">
        <f t="shared" ref="P250:P256" si="8">+P262+P274+P286</f>
        <v>66</v>
      </c>
      <c r="Q250" s="470">
        <f t="shared" si="5"/>
        <v>1.8363428953006315E-3</v>
      </c>
      <c r="R250" s="435"/>
      <c r="S250" s="447"/>
      <c r="T250" s="273"/>
    </row>
    <row r="251" spans="1:20" s="274" customFormat="1" x14ac:dyDescent="0.3">
      <c r="A251" s="300"/>
      <c r="B251" s="360" t="s">
        <v>74</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119</v>
      </c>
      <c r="C252" s="466"/>
      <c r="D252" s="466"/>
      <c r="E252" s="466"/>
      <c r="F252" s="466"/>
      <c r="G252" s="466"/>
      <c r="H252" s="466"/>
      <c r="I252" s="466"/>
      <c r="J252" s="466"/>
      <c r="K252" s="466"/>
      <c r="L252" s="466"/>
      <c r="M252" s="466"/>
      <c r="N252" s="471">
        <f t="shared" si="6"/>
        <v>0</v>
      </c>
      <c r="O252" s="472">
        <f t="shared" si="7"/>
        <v>0</v>
      </c>
      <c r="P252" s="398">
        <f t="shared" si="8"/>
        <v>0</v>
      </c>
      <c r="Q252" s="470">
        <f t="shared" si="5"/>
        <v>0</v>
      </c>
      <c r="R252" s="435"/>
      <c r="S252" s="447"/>
      <c r="T252" s="273"/>
    </row>
    <row r="253" spans="1:20" s="274" customFormat="1" x14ac:dyDescent="0.3">
      <c r="A253" s="300"/>
      <c r="B253" s="360" t="s">
        <v>120</v>
      </c>
      <c r="C253" s="466"/>
      <c r="D253" s="466"/>
      <c r="E253" s="466"/>
      <c r="F253" s="466"/>
      <c r="G253" s="466"/>
      <c r="H253" s="466"/>
      <c r="I253" s="466"/>
      <c r="J253" s="466"/>
      <c r="K253" s="466"/>
      <c r="L253" s="466"/>
      <c r="M253" s="466"/>
      <c r="N253" s="471">
        <f t="shared" si="6"/>
        <v>0</v>
      </c>
      <c r="O253" s="472">
        <f t="shared" si="7"/>
        <v>0</v>
      </c>
      <c r="P253" s="398">
        <f t="shared" si="8"/>
        <v>0</v>
      </c>
      <c r="Q253" s="470">
        <f t="shared" si="5"/>
        <v>0</v>
      </c>
      <c r="R253" s="435"/>
      <c r="S253" s="447"/>
      <c r="T253" s="273"/>
    </row>
    <row r="254" spans="1:20" s="274" customFormat="1" x14ac:dyDescent="0.3">
      <c r="A254" s="300"/>
      <c r="B254" s="360" t="s">
        <v>121</v>
      </c>
      <c r="C254" s="466"/>
      <c r="D254" s="466"/>
      <c r="E254" s="466"/>
      <c r="F254" s="466"/>
      <c r="G254" s="466"/>
      <c r="H254" s="466"/>
      <c r="I254" s="466"/>
      <c r="J254" s="466"/>
      <c r="K254" s="466"/>
      <c r="L254" s="466"/>
      <c r="M254" s="466"/>
      <c r="N254" s="471">
        <f t="shared" si="6"/>
        <v>0</v>
      </c>
      <c r="O254" s="472">
        <f t="shared" si="7"/>
        <v>0</v>
      </c>
      <c r="P254" s="398">
        <f t="shared" si="8"/>
        <v>0</v>
      </c>
      <c r="Q254" s="470">
        <f t="shared" si="5"/>
        <v>0</v>
      </c>
      <c r="R254" s="435"/>
      <c r="S254" s="447"/>
      <c r="T254" s="273"/>
    </row>
    <row r="255" spans="1:20" s="274" customFormat="1" x14ac:dyDescent="0.3">
      <c r="A255" s="300"/>
      <c r="B255" s="360" t="s">
        <v>122</v>
      </c>
      <c r="C255" s="466"/>
      <c r="D255" s="466"/>
      <c r="E255" s="466"/>
      <c r="F255" s="466"/>
      <c r="G255" s="466"/>
      <c r="H255" s="466"/>
      <c r="I255" s="466"/>
      <c r="J255" s="466"/>
      <c r="K255" s="466"/>
      <c r="L255" s="466"/>
      <c r="M255" s="466"/>
      <c r="N255" s="473">
        <f t="shared" si="6"/>
        <v>0</v>
      </c>
      <c r="O255" s="474">
        <f t="shared" si="7"/>
        <v>0</v>
      </c>
      <c r="P255" s="475">
        <f t="shared" si="8"/>
        <v>0</v>
      </c>
      <c r="Q255" s="470">
        <f t="shared" si="5"/>
        <v>0</v>
      </c>
      <c r="R255" s="435"/>
      <c r="S255" s="447"/>
      <c r="T255" s="273"/>
    </row>
    <row r="256" spans="1:20" s="274" customFormat="1" x14ac:dyDescent="0.3">
      <c r="A256" s="300"/>
      <c r="B256" s="360" t="s">
        <v>123</v>
      </c>
      <c r="C256" s="466"/>
      <c r="D256" s="466"/>
      <c r="E256" s="466"/>
      <c r="F256" s="466"/>
      <c r="G256" s="466"/>
      <c r="H256" s="466"/>
      <c r="I256" s="466"/>
      <c r="J256" s="466"/>
      <c r="K256" s="466"/>
      <c r="L256" s="466"/>
      <c r="M256" s="466"/>
      <c r="N256" s="372">
        <f>+N268+N280+N292</f>
        <v>0</v>
      </c>
      <c r="O256" s="470">
        <f t="shared" si="7"/>
        <v>0</v>
      </c>
      <c r="P256" s="373">
        <f t="shared" si="8"/>
        <v>0</v>
      </c>
      <c r="Q256" s="470">
        <f t="shared" si="5"/>
        <v>0</v>
      </c>
      <c r="R256" s="435"/>
      <c r="S256" s="447"/>
      <c r="T256" s="273"/>
    </row>
    <row r="257" spans="1:21" s="274" customFormat="1" x14ac:dyDescent="0.3">
      <c r="A257" s="300"/>
      <c r="B257" s="360"/>
      <c r="C257" s="466"/>
      <c r="D257" s="466"/>
      <c r="E257" s="466"/>
      <c r="F257" s="466"/>
      <c r="G257" s="466"/>
      <c r="H257" s="466"/>
      <c r="I257" s="466"/>
      <c r="J257" s="466"/>
      <c r="K257" s="466"/>
      <c r="L257" s="466"/>
      <c r="M257" s="466"/>
      <c r="N257" s="360"/>
      <c r="O257" s="470"/>
      <c r="P257" s="361"/>
      <c r="Q257" s="470"/>
      <c r="R257" s="435"/>
      <c r="S257" s="447"/>
      <c r="T257" s="273"/>
    </row>
    <row r="258" spans="1:21" s="274" customFormat="1" x14ac:dyDescent="0.3">
      <c r="A258" s="300"/>
      <c r="B258" s="293" t="s">
        <v>94</v>
      </c>
      <c r="C258" s="293"/>
      <c r="D258" s="476"/>
      <c r="E258" s="476"/>
      <c r="F258" s="476"/>
      <c r="G258" s="476"/>
      <c r="H258" s="476"/>
      <c r="I258" s="476"/>
      <c r="J258" s="476"/>
      <c r="K258" s="476"/>
      <c r="L258" s="476"/>
      <c r="M258" s="476"/>
      <c r="N258" s="360">
        <f>SUM(N249:N257)</f>
        <v>237</v>
      </c>
      <c r="O258" s="470">
        <f>SUM(O249:O257)</f>
        <v>1</v>
      </c>
      <c r="P258" s="361">
        <f>SUM(P249:P257)</f>
        <v>35941</v>
      </c>
      <c r="Q258" s="470">
        <f>SUM(Q249:Q257)</f>
        <v>1</v>
      </c>
      <c r="R258" s="293"/>
      <c r="S258" s="296"/>
      <c r="T258" s="273"/>
    </row>
    <row r="259" spans="1:21" x14ac:dyDescent="0.3">
      <c r="A259" s="258"/>
      <c r="B259" s="423"/>
      <c r="C259" s="458"/>
      <c r="D259" s="362"/>
      <c r="E259" s="362"/>
      <c r="F259" s="362"/>
      <c r="G259" s="362"/>
      <c r="H259" s="362"/>
      <c r="I259" s="362"/>
      <c r="J259" s="362"/>
      <c r="K259" s="362"/>
      <c r="L259" s="362"/>
      <c r="M259" s="362"/>
      <c r="N259" s="362"/>
      <c r="O259" s="362"/>
      <c r="P259" s="460"/>
      <c r="Q259" s="362"/>
      <c r="R259" s="362"/>
      <c r="S259" s="261"/>
      <c r="T259" s="256"/>
    </row>
    <row r="260" spans="1:21" x14ac:dyDescent="0.3">
      <c r="A260" s="285"/>
      <c r="B260" s="368" t="s">
        <v>124</v>
      </c>
      <c r="C260" s="369"/>
      <c r="D260" s="369"/>
      <c r="E260" s="369"/>
      <c r="F260" s="369"/>
      <c r="G260" s="369"/>
      <c r="H260" s="369"/>
      <c r="I260" s="369"/>
      <c r="J260" s="369"/>
      <c r="K260" s="369"/>
      <c r="L260" s="369"/>
      <c r="M260" s="369"/>
      <c r="N260" s="426" t="s">
        <v>83</v>
      </c>
      <c r="O260" s="369" t="s">
        <v>84</v>
      </c>
      <c r="P260" s="426" t="s">
        <v>89</v>
      </c>
      <c r="Q260" s="369" t="s">
        <v>84</v>
      </c>
      <c r="R260" s="286"/>
      <c r="S260" s="462"/>
      <c r="T260" s="256"/>
    </row>
    <row r="261" spans="1:21" s="274" customFormat="1" x14ac:dyDescent="0.3">
      <c r="A261" s="269"/>
      <c r="B261" s="372" t="s">
        <v>72</v>
      </c>
      <c r="C261" s="463"/>
      <c r="D261" s="463"/>
      <c r="E261" s="463"/>
      <c r="F261" s="463"/>
      <c r="G261" s="463"/>
      <c r="H261" s="463"/>
      <c r="I261" s="463"/>
      <c r="J261" s="463"/>
      <c r="K261" s="463"/>
      <c r="L261" s="463"/>
      <c r="M261" s="463"/>
      <c r="N261" s="372">
        <v>236</v>
      </c>
      <c r="O261" s="464">
        <f>N261/$N$270</f>
        <v>0.99578059071729963</v>
      </c>
      <c r="P261" s="373">
        <v>35875</v>
      </c>
      <c r="Q261" s="464">
        <f>P261/$P$270</f>
        <v>0.99816365710469934</v>
      </c>
      <c r="R261" s="430"/>
      <c r="S261" s="465"/>
      <c r="T261" s="273"/>
    </row>
    <row r="262" spans="1:21" s="274" customFormat="1" x14ac:dyDescent="0.3">
      <c r="A262" s="300"/>
      <c r="B262" s="360" t="s">
        <v>73</v>
      </c>
      <c r="C262" s="466"/>
      <c r="D262" s="466"/>
      <c r="E262" s="466"/>
      <c r="F262" s="466"/>
      <c r="G262" s="466"/>
      <c r="H262" s="466"/>
      <c r="I262" s="466"/>
      <c r="J262" s="466"/>
      <c r="K262" s="466"/>
      <c r="L262" s="466"/>
      <c r="M262" s="466"/>
      <c r="N262" s="360">
        <v>1</v>
      </c>
      <c r="O262" s="470">
        <f t="shared" ref="O262:O268" si="9">N262/$N$270</f>
        <v>4.2194092827004216E-3</v>
      </c>
      <c r="P262" s="361">
        <v>66</v>
      </c>
      <c r="Q262" s="470">
        <f t="shared" ref="Q262:Q268" si="10">P262/$P$270</f>
        <v>1.8363428953006315E-3</v>
      </c>
      <c r="R262" s="435"/>
      <c r="S262" s="447"/>
      <c r="T262" s="273"/>
      <c r="U262" s="382"/>
    </row>
    <row r="263" spans="1:21" s="274" customFormat="1" x14ac:dyDescent="0.3">
      <c r="A263" s="300"/>
      <c r="B263" s="360" t="s">
        <v>74</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row>
    <row r="264" spans="1:21" s="274" customFormat="1" x14ac:dyDescent="0.3">
      <c r="A264" s="300"/>
      <c r="B264" s="360" t="s">
        <v>119</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c r="U264" s="382"/>
    </row>
    <row r="265" spans="1:21" s="274" customFormat="1" x14ac:dyDescent="0.3">
      <c r="A265" s="300"/>
      <c r="B265" s="360" t="s">
        <v>120</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row>
    <row r="266" spans="1:21" s="274" customFormat="1" x14ac:dyDescent="0.3">
      <c r="A266" s="300"/>
      <c r="B266" s="360" t="s">
        <v>121</v>
      </c>
      <c r="C266" s="466"/>
      <c r="D266" s="466"/>
      <c r="E266" s="466"/>
      <c r="F266" s="466"/>
      <c r="G266" s="466"/>
      <c r="H266" s="466"/>
      <c r="I266" s="466"/>
      <c r="J266" s="466"/>
      <c r="K266" s="466"/>
      <c r="L266" s="466"/>
      <c r="M266" s="466"/>
      <c r="N266" s="360">
        <v>0</v>
      </c>
      <c r="O266" s="470">
        <f t="shared" si="9"/>
        <v>0</v>
      </c>
      <c r="P266" s="361">
        <v>0</v>
      </c>
      <c r="Q266" s="470">
        <f t="shared" si="10"/>
        <v>0</v>
      </c>
      <c r="R266" s="435"/>
      <c r="S266" s="447"/>
      <c r="T266" s="273"/>
      <c r="U266" s="382"/>
    </row>
    <row r="267" spans="1:21" s="274" customFormat="1" x14ac:dyDescent="0.3">
      <c r="A267" s="300"/>
      <c r="B267" s="360" t="s">
        <v>122</v>
      </c>
      <c r="C267" s="466"/>
      <c r="D267" s="466"/>
      <c r="E267" s="466"/>
      <c r="F267" s="466"/>
      <c r="G267" s="466"/>
      <c r="H267" s="466"/>
      <c r="I267" s="466"/>
      <c r="J267" s="466"/>
      <c r="K267" s="466"/>
      <c r="L267" s="466"/>
      <c r="M267" s="466"/>
      <c r="N267" s="360">
        <v>0</v>
      </c>
      <c r="O267" s="470">
        <f t="shared" si="9"/>
        <v>0</v>
      </c>
      <c r="P267" s="361">
        <v>0</v>
      </c>
      <c r="Q267" s="470">
        <f t="shared" si="10"/>
        <v>0</v>
      </c>
      <c r="R267" s="435"/>
      <c r="S267" s="447"/>
      <c r="T267" s="273"/>
    </row>
    <row r="268" spans="1:21" s="274" customFormat="1" x14ac:dyDescent="0.3">
      <c r="A268" s="300"/>
      <c r="B268" s="360" t="s">
        <v>123</v>
      </c>
      <c r="C268" s="466"/>
      <c r="D268" s="466"/>
      <c r="E268" s="466"/>
      <c r="F268" s="466"/>
      <c r="G268" s="466"/>
      <c r="H268" s="466"/>
      <c r="I268" s="466"/>
      <c r="J268" s="466"/>
      <c r="K268" s="466"/>
      <c r="L268" s="466"/>
      <c r="M268" s="466"/>
      <c r="N268" s="360">
        <v>0</v>
      </c>
      <c r="O268" s="470">
        <f t="shared" si="9"/>
        <v>0</v>
      </c>
      <c r="P268" s="361">
        <v>0</v>
      </c>
      <c r="Q268" s="470">
        <f t="shared" si="10"/>
        <v>0</v>
      </c>
      <c r="R268" s="435"/>
      <c r="S268" s="447"/>
      <c r="T268" s="273"/>
      <c r="U268" s="382"/>
    </row>
    <row r="269" spans="1:21" s="274" customFormat="1" x14ac:dyDescent="0.3">
      <c r="A269" s="300"/>
      <c r="B269" s="360"/>
      <c r="C269" s="466"/>
      <c r="D269" s="466"/>
      <c r="E269" s="466"/>
      <c r="F269" s="466"/>
      <c r="G269" s="466"/>
      <c r="H269" s="466"/>
      <c r="I269" s="466"/>
      <c r="J269" s="466"/>
      <c r="K269" s="466"/>
      <c r="L269" s="466"/>
      <c r="M269" s="466"/>
      <c r="N269" s="360"/>
      <c r="O269" s="470"/>
      <c r="P269" s="361"/>
      <c r="Q269" s="470"/>
      <c r="R269" s="435"/>
      <c r="S269" s="447"/>
      <c r="T269" s="273"/>
    </row>
    <row r="270" spans="1:21" s="274" customFormat="1" x14ac:dyDescent="0.3">
      <c r="A270" s="300"/>
      <c r="B270" s="293" t="s">
        <v>94</v>
      </c>
      <c r="C270" s="293"/>
      <c r="D270" s="476"/>
      <c r="E270" s="476"/>
      <c r="F270" s="476"/>
      <c r="G270" s="476"/>
      <c r="H270" s="476"/>
      <c r="I270" s="476"/>
      <c r="J270" s="476"/>
      <c r="K270" s="476"/>
      <c r="L270" s="476"/>
      <c r="M270" s="476"/>
      <c r="N270" s="360">
        <f>SUM(N261:N269)</f>
        <v>237</v>
      </c>
      <c r="O270" s="470">
        <f>SUM(O261:O269)</f>
        <v>1</v>
      </c>
      <c r="P270" s="361">
        <f>SUM(P261:P269)</f>
        <v>35941</v>
      </c>
      <c r="Q270" s="470">
        <f>SUM(Q261:Q269)</f>
        <v>1</v>
      </c>
      <c r="R270" s="293"/>
      <c r="S270" s="296"/>
      <c r="T270" s="273"/>
    </row>
    <row r="271" spans="1:21" x14ac:dyDescent="0.3">
      <c r="A271" s="258"/>
      <c r="B271" s="362"/>
      <c r="C271" s="362"/>
      <c r="D271" s="477"/>
      <c r="E271" s="477"/>
      <c r="F271" s="477"/>
      <c r="G271" s="477"/>
      <c r="H271" s="477"/>
      <c r="I271" s="477"/>
      <c r="J271" s="477"/>
      <c r="K271" s="477"/>
      <c r="L271" s="477"/>
      <c r="M271" s="477"/>
      <c r="N271" s="363"/>
      <c r="O271" s="478"/>
      <c r="P271" s="479"/>
      <c r="Q271" s="478"/>
      <c r="R271" s="362"/>
      <c r="S271" s="261"/>
      <c r="T271" s="256"/>
    </row>
    <row r="272" spans="1:21" x14ac:dyDescent="0.3">
      <c r="A272" s="285"/>
      <c r="B272" s="368" t="s">
        <v>146</v>
      </c>
      <c r="C272" s="369"/>
      <c r="D272" s="369"/>
      <c r="E272" s="369"/>
      <c r="F272" s="369"/>
      <c r="G272" s="369"/>
      <c r="H272" s="369"/>
      <c r="I272" s="369"/>
      <c r="J272" s="369"/>
      <c r="K272" s="369"/>
      <c r="L272" s="369"/>
      <c r="M272" s="369"/>
      <c r="N272" s="426" t="s">
        <v>83</v>
      </c>
      <c r="O272" s="369" t="s">
        <v>84</v>
      </c>
      <c r="P272" s="426" t="s">
        <v>89</v>
      </c>
      <c r="Q272" s="369" t="s">
        <v>84</v>
      </c>
      <c r="R272" s="286"/>
      <c r="S272" s="289"/>
      <c r="T272" s="256"/>
    </row>
    <row r="273" spans="1:20" s="274" customFormat="1" x14ac:dyDescent="0.3">
      <c r="A273" s="269"/>
      <c r="B273" s="372" t="s">
        <v>72</v>
      </c>
      <c r="C273" s="463"/>
      <c r="D273" s="463"/>
      <c r="E273" s="463"/>
      <c r="F273" s="463"/>
      <c r="G273" s="463"/>
      <c r="H273" s="463"/>
      <c r="I273" s="463"/>
      <c r="J273" s="463"/>
      <c r="K273" s="463"/>
      <c r="L273" s="463"/>
      <c r="M273" s="463"/>
      <c r="N273" s="372">
        <v>0</v>
      </c>
      <c r="O273" s="464">
        <v>0</v>
      </c>
      <c r="P273" s="373">
        <v>0</v>
      </c>
      <c r="Q273" s="464">
        <v>0</v>
      </c>
      <c r="R273" s="290"/>
      <c r="S273" s="272"/>
      <c r="T273" s="273"/>
    </row>
    <row r="274" spans="1:20" s="274" customFormat="1" x14ac:dyDescent="0.3">
      <c r="A274" s="300"/>
      <c r="B274" s="360" t="s">
        <v>73</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74</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119</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120</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t="s">
        <v>121</v>
      </c>
      <c r="C278" s="466"/>
      <c r="D278" s="466"/>
      <c r="E278" s="466"/>
      <c r="F278" s="466"/>
      <c r="G278" s="466"/>
      <c r="H278" s="466"/>
      <c r="I278" s="466"/>
      <c r="J278" s="466"/>
      <c r="K278" s="466"/>
      <c r="L278" s="466"/>
      <c r="M278" s="466"/>
      <c r="N278" s="360">
        <v>0</v>
      </c>
      <c r="O278" s="470">
        <v>0</v>
      </c>
      <c r="P278" s="361">
        <v>0</v>
      </c>
      <c r="Q278" s="470">
        <v>0</v>
      </c>
      <c r="R278" s="293"/>
      <c r="S278" s="296"/>
      <c r="T278" s="273"/>
    </row>
    <row r="279" spans="1:20" s="274" customFormat="1" x14ac:dyDescent="0.3">
      <c r="A279" s="300"/>
      <c r="B279" s="360" t="s">
        <v>122</v>
      </c>
      <c r="C279" s="466"/>
      <c r="D279" s="466"/>
      <c r="E279" s="466"/>
      <c r="F279" s="466"/>
      <c r="G279" s="466"/>
      <c r="H279" s="466"/>
      <c r="I279" s="466"/>
      <c r="J279" s="466"/>
      <c r="K279" s="466"/>
      <c r="L279" s="466"/>
      <c r="M279" s="466"/>
      <c r="N279" s="360">
        <v>0</v>
      </c>
      <c r="O279" s="470">
        <v>0</v>
      </c>
      <c r="P279" s="361">
        <v>0</v>
      </c>
      <c r="Q279" s="470">
        <v>0</v>
      </c>
      <c r="R279" s="293"/>
      <c r="S279" s="296"/>
      <c r="T279" s="273"/>
    </row>
    <row r="280" spans="1:20" s="274" customFormat="1" x14ac:dyDescent="0.3">
      <c r="A280" s="300"/>
      <c r="B280" s="360" t="s">
        <v>123</v>
      </c>
      <c r="C280" s="466"/>
      <c r="D280" s="466"/>
      <c r="E280" s="466"/>
      <c r="F280" s="466"/>
      <c r="G280" s="466"/>
      <c r="H280" s="466"/>
      <c r="I280" s="466"/>
      <c r="J280" s="466"/>
      <c r="K280" s="466"/>
      <c r="L280" s="466"/>
      <c r="M280" s="466"/>
      <c r="N280" s="360">
        <v>0</v>
      </c>
      <c r="O280" s="470">
        <v>0</v>
      </c>
      <c r="P280" s="361">
        <v>0</v>
      </c>
      <c r="Q280" s="470">
        <v>0</v>
      </c>
      <c r="R280" s="293"/>
      <c r="S280" s="296"/>
      <c r="T280" s="273"/>
    </row>
    <row r="281" spans="1:20" s="274" customFormat="1" x14ac:dyDescent="0.3">
      <c r="A281" s="300"/>
      <c r="B281" s="360"/>
      <c r="C281" s="466"/>
      <c r="D281" s="466"/>
      <c r="E281" s="466"/>
      <c r="F281" s="466"/>
      <c r="G281" s="466"/>
      <c r="H281" s="466"/>
      <c r="I281" s="466"/>
      <c r="J281" s="466"/>
      <c r="K281" s="466"/>
      <c r="L281" s="466"/>
      <c r="M281" s="466"/>
      <c r="N281" s="360"/>
      <c r="O281" s="470"/>
      <c r="P281" s="361"/>
      <c r="Q281" s="470"/>
      <c r="R281" s="293"/>
      <c r="S281" s="296"/>
      <c r="T281" s="273"/>
    </row>
    <row r="282" spans="1:20" s="274" customFormat="1" x14ac:dyDescent="0.3">
      <c r="A282" s="300"/>
      <c r="B282" s="293" t="s">
        <v>94</v>
      </c>
      <c r="C282" s="293"/>
      <c r="D282" s="476"/>
      <c r="E282" s="476"/>
      <c r="F282" s="476"/>
      <c r="G282" s="476"/>
      <c r="H282" s="476"/>
      <c r="I282" s="476"/>
      <c r="J282" s="476"/>
      <c r="K282" s="476"/>
      <c r="L282" s="476"/>
      <c r="M282" s="476"/>
      <c r="N282" s="360">
        <f>SUM(N273:N281)</f>
        <v>0</v>
      </c>
      <c r="O282" s="470">
        <f>SUM(O273:O281)</f>
        <v>0</v>
      </c>
      <c r="P282" s="361">
        <f>SUM(P273:P281)</f>
        <v>0</v>
      </c>
      <c r="Q282" s="470">
        <f>SUM(Q273:Q281)</f>
        <v>0</v>
      </c>
      <c r="R282" s="293"/>
      <c r="S282" s="296"/>
      <c r="T282" s="273"/>
    </row>
    <row r="283" spans="1:20" x14ac:dyDescent="0.3">
      <c r="A283" s="258"/>
      <c r="B283" s="362"/>
      <c r="C283" s="362"/>
      <c r="D283" s="477"/>
      <c r="E283" s="477"/>
      <c r="F283" s="477"/>
      <c r="G283" s="477"/>
      <c r="H283" s="477"/>
      <c r="I283" s="477"/>
      <c r="J283" s="477"/>
      <c r="K283" s="477"/>
      <c r="L283" s="477"/>
      <c r="M283" s="477"/>
      <c r="N283" s="363"/>
      <c r="O283" s="478"/>
      <c r="P283" s="479"/>
      <c r="Q283" s="478"/>
      <c r="R283" s="362"/>
      <c r="S283" s="261"/>
      <c r="T283" s="256"/>
    </row>
    <row r="284" spans="1:20" x14ac:dyDescent="0.3">
      <c r="A284" s="285"/>
      <c r="B284" s="368" t="s">
        <v>125</v>
      </c>
      <c r="C284" s="286"/>
      <c r="D284" s="480"/>
      <c r="E284" s="480"/>
      <c r="F284" s="480"/>
      <c r="G284" s="480"/>
      <c r="H284" s="480"/>
      <c r="I284" s="480"/>
      <c r="J284" s="480"/>
      <c r="K284" s="480"/>
      <c r="L284" s="480"/>
      <c r="M284" s="480"/>
      <c r="N284" s="426" t="s">
        <v>83</v>
      </c>
      <c r="O284" s="369" t="s">
        <v>84</v>
      </c>
      <c r="P284" s="426" t="s">
        <v>89</v>
      </c>
      <c r="Q284" s="369" t="s">
        <v>84</v>
      </c>
      <c r="R284" s="286"/>
      <c r="S284" s="289"/>
      <c r="T284" s="256"/>
    </row>
    <row r="285" spans="1:20" s="274" customFormat="1" x14ac:dyDescent="0.3">
      <c r="A285" s="269"/>
      <c r="B285" s="372" t="s">
        <v>72</v>
      </c>
      <c r="C285" s="290"/>
      <c r="D285" s="481"/>
      <c r="E285" s="481"/>
      <c r="F285" s="481"/>
      <c r="G285" s="481"/>
      <c r="H285" s="481"/>
      <c r="I285" s="481"/>
      <c r="J285" s="481"/>
      <c r="K285" s="481"/>
      <c r="L285" s="481"/>
      <c r="M285" s="481"/>
      <c r="N285" s="372">
        <v>0</v>
      </c>
      <c r="O285" s="464">
        <v>0</v>
      </c>
      <c r="P285" s="373">
        <v>0</v>
      </c>
      <c r="Q285" s="464">
        <v>0</v>
      </c>
      <c r="R285" s="290"/>
      <c r="S285" s="272"/>
      <c r="T285" s="273"/>
    </row>
    <row r="286" spans="1:20" s="274" customFormat="1" x14ac:dyDescent="0.3">
      <c r="A286" s="300"/>
      <c r="B286" s="360" t="s">
        <v>73</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74</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119</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120</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t="s">
        <v>121</v>
      </c>
      <c r="C290" s="293"/>
      <c r="D290" s="476"/>
      <c r="E290" s="476"/>
      <c r="F290" s="476"/>
      <c r="G290" s="476"/>
      <c r="H290" s="476"/>
      <c r="I290" s="476"/>
      <c r="J290" s="476"/>
      <c r="K290" s="476"/>
      <c r="L290" s="476"/>
      <c r="M290" s="476"/>
      <c r="N290" s="360">
        <v>0</v>
      </c>
      <c r="O290" s="470">
        <v>0</v>
      </c>
      <c r="P290" s="361">
        <v>0</v>
      </c>
      <c r="Q290" s="470">
        <v>0</v>
      </c>
      <c r="R290" s="293"/>
      <c r="S290" s="296"/>
      <c r="T290" s="273"/>
    </row>
    <row r="291" spans="1:20" s="274" customFormat="1" x14ac:dyDescent="0.3">
      <c r="A291" s="300"/>
      <c r="B291" s="360" t="s">
        <v>122</v>
      </c>
      <c r="C291" s="293"/>
      <c r="D291" s="476"/>
      <c r="E291" s="476"/>
      <c r="F291" s="476"/>
      <c r="G291" s="476"/>
      <c r="H291" s="476"/>
      <c r="I291" s="476"/>
      <c r="J291" s="476"/>
      <c r="K291" s="476"/>
      <c r="L291" s="476"/>
      <c r="M291" s="476"/>
      <c r="N291" s="360">
        <v>0</v>
      </c>
      <c r="O291" s="470">
        <v>0</v>
      </c>
      <c r="P291" s="361">
        <v>0</v>
      </c>
      <c r="Q291" s="470">
        <v>0</v>
      </c>
      <c r="R291" s="293"/>
      <c r="S291" s="296"/>
      <c r="T291" s="273"/>
    </row>
    <row r="292" spans="1:20" s="274" customFormat="1" x14ac:dyDescent="0.3">
      <c r="A292" s="300"/>
      <c r="B292" s="360" t="s">
        <v>123</v>
      </c>
      <c r="C292" s="293"/>
      <c r="D292" s="476"/>
      <c r="E292" s="476"/>
      <c r="F292" s="476"/>
      <c r="G292" s="476"/>
      <c r="H292" s="476"/>
      <c r="I292" s="476"/>
      <c r="J292" s="476"/>
      <c r="K292" s="476"/>
      <c r="L292" s="476"/>
      <c r="M292" s="476"/>
      <c r="N292" s="360">
        <v>0</v>
      </c>
      <c r="O292" s="470">
        <v>0</v>
      </c>
      <c r="P292" s="361">
        <v>0</v>
      </c>
      <c r="Q292" s="470">
        <v>0</v>
      </c>
      <c r="R292" s="293"/>
      <c r="S292" s="296"/>
      <c r="T292" s="273"/>
    </row>
    <row r="293" spans="1:20" s="274" customFormat="1" x14ac:dyDescent="0.3">
      <c r="A293" s="300"/>
      <c r="B293" s="360"/>
      <c r="C293" s="293"/>
      <c r="D293" s="476"/>
      <c r="E293" s="476"/>
      <c r="F293" s="476"/>
      <c r="G293" s="476"/>
      <c r="H293" s="476"/>
      <c r="I293" s="476"/>
      <c r="J293" s="476"/>
      <c r="K293" s="476"/>
      <c r="L293" s="476"/>
      <c r="M293" s="476"/>
      <c r="N293" s="360"/>
      <c r="O293" s="470"/>
      <c r="P293" s="361"/>
      <c r="Q293" s="470"/>
      <c r="R293" s="293"/>
      <c r="S293" s="296"/>
      <c r="T293" s="273"/>
    </row>
    <row r="294" spans="1:20" s="274" customFormat="1" x14ac:dyDescent="0.3">
      <c r="A294" s="300"/>
      <c r="B294" s="293" t="s">
        <v>94</v>
      </c>
      <c r="C294" s="293"/>
      <c r="D294" s="476"/>
      <c r="E294" s="476"/>
      <c r="F294" s="476"/>
      <c r="G294" s="476"/>
      <c r="H294" s="476"/>
      <c r="I294" s="476"/>
      <c r="J294" s="476"/>
      <c r="K294" s="476"/>
      <c r="L294" s="476"/>
      <c r="M294" s="476"/>
      <c r="N294" s="360">
        <f>SUM(N285:N292)</f>
        <v>0</v>
      </c>
      <c r="O294" s="470">
        <f>SUM(O285:O292)</f>
        <v>0</v>
      </c>
      <c r="P294" s="361">
        <f>SUM(P285:P292)</f>
        <v>0</v>
      </c>
      <c r="Q294" s="470">
        <f>SUM(Q285:Q292)</f>
        <v>0</v>
      </c>
      <c r="R294" s="293"/>
      <c r="S294" s="296"/>
      <c r="T294" s="273"/>
    </row>
    <row r="295" spans="1:20" s="274" customFormat="1" x14ac:dyDescent="0.3">
      <c r="A295" s="300"/>
      <c r="B295" s="293"/>
      <c r="C295" s="293"/>
      <c r="D295" s="476"/>
      <c r="E295" s="476"/>
      <c r="F295" s="476"/>
      <c r="G295" s="476"/>
      <c r="H295" s="476"/>
      <c r="I295" s="476"/>
      <c r="J295" s="476"/>
      <c r="K295" s="476"/>
      <c r="L295" s="476"/>
      <c r="M295" s="476"/>
      <c r="N295" s="360"/>
      <c r="O295" s="470"/>
      <c r="P295" s="361"/>
      <c r="Q295" s="470"/>
      <c r="R295" s="293"/>
      <c r="S295" s="296"/>
      <c r="T295" s="273"/>
    </row>
    <row r="296" spans="1:20" s="274" customFormat="1" x14ac:dyDescent="0.3">
      <c r="A296" s="300"/>
      <c r="B296" s="297" t="s">
        <v>176</v>
      </c>
      <c r="C296" s="293"/>
      <c r="D296" s="476"/>
      <c r="E296" s="476"/>
      <c r="F296" s="476"/>
      <c r="G296" s="476"/>
      <c r="H296" s="476"/>
      <c r="I296" s="476"/>
      <c r="J296" s="476"/>
      <c r="K296" s="476"/>
      <c r="L296" s="476"/>
      <c r="M296" s="476"/>
      <c r="N296" s="482">
        <f>N294+N282+N270</f>
        <v>237</v>
      </c>
      <c r="O296" s="470"/>
      <c r="P296" s="483">
        <f>+P294+P282+P270</f>
        <v>35941</v>
      </c>
      <c r="Q296" s="470"/>
      <c r="R296" s="293"/>
      <c r="S296" s="296"/>
      <c r="T296" s="273"/>
    </row>
    <row r="297" spans="1:20" s="274" customFormat="1" x14ac:dyDescent="0.3">
      <c r="A297" s="300"/>
      <c r="B297" s="297" t="s">
        <v>216</v>
      </c>
      <c r="C297" s="297"/>
      <c r="D297" s="484"/>
      <c r="E297" s="484"/>
      <c r="F297" s="484"/>
      <c r="G297" s="484"/>
      <c r="H297" s="484"/>
      <c r="I297" s="484"/>
      <c r="J297" s="484"/>
      <c r="K297" s="484"/>
      <c r="L297" s="484"/>
      <c r="M297" s="484"/>
      <c r="N297" s="482"/>
      <c r="O297" s="485"/>
      <c r="P297" s="483">
        <f>+R183</f>
        <v>0</v>
      </c>
      <c r="Q297" s="470"/>
      <c r="R297" s="293"/>
      <c r="S297" s="296"/>
      <c r="T297" s="273"/>
    </row>
    <row r="298" spans="1:20" s="274" customFormat="1" x14ac:dyDescent="0.3">
      <c r="A298" s="300"/>
      <c r="B298" s="297" t="s">
        <v>126</v>
      </c>
      <c r="C298" s="297"/>
      <c r="D298" s="484"/>
      <c r="E298" s="484"/>
      <c r="F298" s="484"/>
      <c r="G298" s="484"/>
      <c r="H298" s="484"/>
      <c r="I298" s="484"/>
      <c r="J298" s="484"/>
      <c r="K298" s="484"/>
      <c r="L298" s="484"/>
      <c r="M298" s="484"/>
      <c r="N298" s="482"/>
      <c r="O298" s="485"/>
      <c r="P298" s="483">
        <f>+P296+P297</f>
        <v>35941</v>
      </c>
      <c r="Q298" s="470"/>
      <c r="R298" s="293"/>
      <c r="S298" s="296"/>
      <c r="T298" s="273"/>
    </row>
    <row r="299" spans="1:20" s="274" customFormat="1" x14ac:dyDescent="0.3">
      <c r="A299" s="300"/>
      <c r="B299" s="297" t="s">
        <v>175</v>
      </c>
      <c r="C299" s="293"/>
      <c r="D299" s="476"/>
      <c r="E299" s="476"/>
      <c r="F299" s="476"/>
      <c r="G299" s="476"/>
      <c r="H299" s="476"/>
      <c r="I299" s="476"/>
      <c r="J299" s="476"/>
      <c r="K299" s="476"/>
      <c r="L299" s="476"/>
      <c r="M299" s="476"/>
      <c r="N299" s="482"/>
      <c r="O299" s="470"/>
      <c r="P299" s="483">
        <f>+R80</f>
        <v>35941</v>
      </c>
      <c r="Q299" s="470"/>
      <c r="R299" s="293"/>
      <c r="S299" s="296"/>
      <c r="T299" s="273"/>
    </row>
    <row r="300" spans="1:20" s="274" customFormat="1" x14ac:dyDescent="0.3">
      <c r="A300" s="300"/>
      <c r="B300" s="297"/>
      <c r="C300" s="293"/>
      <c r="D300" s="476"/>
      <c r="E300" s="476"/>
      <c r="F300" s="476"/>
      <c r="G300" s="476"/>
      <c r="H300" s="476"/>
      <c r="I300" s="476"/>
      <c r="J300" s="476"/>
      <c r="K300" s="476"/>
      <c r="L300" s="476"/>
      <c r="M300" s="476"/>
      <c r="N300" s="482"/>
      <c r="O300" s="470"/>
      <c r="P300" s="483"/>
      <c r="Q300" s="470"/>
      <c r="R300" s="293"/>
      <c r="S300" s="296"/>
      <c r="T300" s="273"/>
    </row>
    <row r="301" spans="1:20" s="274" customFormat="1" x14ac:dyDescent="0.3">
      <c r="A301" s="300"/>
      <c r="B301" s="297" t="s">
        <v>201</v>
      </c>
      <c r="C301" s="293"/>
      <c r="D301" s="476"/>
      <c r="E301" s="476"/>
      <c r="F301" s="476"/>
      <c r="G301" s="476"/>
      <c r="H301" s="476"/>
      <c r="I301" s="476"/>
      <c r="J301" s="476"/>
      <c r="K301" s="476"/>
      <c r="L301" s="476"/>
      <c r="M301" s="476"/>
      <c r="N301" s="482"/>
      <c r="O301" s="470"/>
      <c r="P301" s="486">
        <f>(L33+R150)/R33</f>
        <v>0.48707405008791682</v>
      </c>
      <c r="Q301" s="470"/>
      <c r="R301" s="293"/>
      <c r="S301" s="296"/>
      <c r="T301" s="273"/>
    </row>
    <row r="302" spans="1:20" s="274" customFormat="1" x14ac:dyDescent="0.3">
      <c r="A302" s="269"/>
      <c r="B302" s="271"/>
      <c r="C302" s="271"/>
      <c r="D302" s="487"/>
      <c r="E302" s="487"/>
      <c r="F302" s="487"/>
      <c r="G302" s="487"/>
      <c r="H302" s="487"/>
      <c r="I302" s="487"/>
      <c r="J302" s="487"/>
      <c r="K302" s="487"/>
      <c r="L302" s="487"/>
      <c r="M302" s="487"/>
      <c r="N302" s="487"/>
      <c r="O302" s="487"/>
      <c r="P302" s="488"/>
      <c r="Q302" s="487"/>
      <c r="R302" s="271"/>
      <c r="S302" s="272"/>
      <c r="T302" s="273"/>
    </row>
    <row r="303" spans="1:20" s="274" customFormat="1" x14ac:dyDescent="0.3">
      <c r="A303" s="269"/>
      <c r="B303" s="270" t="s">
        <v>75</v>
      </c>
      <c r="C303" s="271"/>
      <c r="D303" s="489" t="s">
        <v>79</v>
      </c>
      <c r="E303" s="270"/>
      <c r="F303" s="270" t="s">
        <v>80</v>
      </c>
      <c r="G303" s="271"/>
      <c r="H303" s="270"/>
      <c r="I303" s="271"/>
      <c r="J303" s="271"/>
      <c r="K303" s="271"/>
      <c r="L303" s="271"/>
      <c r="M303" s="271"/>
      <c r="N303" s="271"/>
      <c r="O303" s="271"/>
      <c r="P303" s="271"/>
      <c r="Q303" s="271"/>
      <c r="R303" s="271"/>
      <c r="S303" s="272"/>
      <c r="T303" s="273"/>
    </row>
    <row r="304" spans="1:20" s="274" customFormat="1" x14ac:dyDescent="0.3">
      <c r="A304" s="269"/>
      <c r="B304" s="271"/>
      <c r="C304" s="271"/>
      <c r="D304" s="271"/>
      <c r="E304" s="271"/>
      <c r="F304" s="271"/>
      <c r="G304" s="271"/>
      <c r="H304" s="271"/>
      <c r="I304" s="271"/>
      <c r="J304" s="271"/>
      <c r="K304" s="271"/>
      <c r="L304" s="271"/>
      <c r="M304" s="271"/>
      <c r="N304" s="271"/>
      <c r="O304" s="271"/>
      <c r="P304" s="271"/>
      <c r="Q304" s="271"/>
      <c r="R304" s="271"/>
      <c r="S304" s="272"/>
      <c r="T304" s="273"/>
    </row>
    <row r="305" spans="1:20" s="274" customFormat="1" x14ac:dyDescent="0.3">
      <c r="A305" s="269"/>
      <c r="B305" s="270" t="s">
        <v>192</v>
      </c>
      <c r="C305" s="270"/>
      <c r="D305" s="490" t="s">
        <v>147</v>
      </c>
      <c r="E305" s="270"/>
      <c r="F305" s="270" t="s">
        <v>286</v>
      </c>
      <c r="G305" s="270"/>
      <c r="H305" s="270"/>
      <c r="I305" s="271"/>
      <c r="J305" s="271"/>
      <c r="K305" s="271"/>
      <c r="L305" s="271"/>
      <c r="M305" s="271"/>
      <c r="N305" s="271"/>
      <c r="O305" s="271"/>
      <c r="P305" s="271"/>
      <c r="Q305" s="271"/>
      <c r="R305" s="271"/>
      <c r="S305" s="272"/>
      <c r="T305" s="273"/>
    </row>
    <row r="306" spans="1:20" s="274" customFormat="1" x14ac:dyDescent="0.3">
      <c r="A306" s="269"/>
      <c r="B306" s="270" t="s">
        <v>193</v>
      </c>
      <c r="C306" s="270"/>
      <c r="D306" s="490" t="s">
        <v>114</v>
      </c>
      <c r="E306" s="270"/>
      <c r="F306" s="270" t="s">
        <v>287</v>
      </c>
      <c r="G306" s="270"/>
      <c r="H306" s="270"/>
      <c r="I306" s="271"/>
      <c r="J306" s="271"/>
      <c r="K306" s="271"/>
      <c r="L306" s="271"/>
      <c r="M306" s="271"/>
      <c r="N306" s="271"/>
      <c r="O306" s="271"/>
      <c r="P306" s="271"/>
      <c r="Q306" s="271"/>
      <c r="R306" s="271"/>
      <c r="S306" s="272"/>
      <c r="T306" s="273"/>
    </row>
    <row r="307" spans="1:20" x14ac:dyDescent="0.3">
      <c r="A307" s="491"/>
      <c r="B307" s="492"/>
      <c r="C307" s="492"/>
      <c r="D307" s="493"/>
      <c r="E307" s="493"/>
      <c r="F307" s="493"/>
      <c r="G307" s="493"/>
      <c r="H307" s="493"/>
      <c r="I307" s="493"/>
      <c r="J307" s="493"/>
      <c r="K307" s="493"/>
      <c r="L307" s="493"/>
      <c r="M307" s="493"/>
      <c r="N307" s="493"/>
      <c r="O307" s="493"/>
      <c r="P307" s="493"/>
      <c r="Q307" s="493"/>
      <c r="R307" s="493"/>
      <c r="S307" s="494"/>
      <c r="T307" s="256"/>
    </row>
    <row r="308" spans="1:20" x14ac:dyDescent="0.3">
      <c r="A308" s="491"/>
      <c r="B308" s="492"/>
      <c r="C308" s="492"/>
      <c r="D308" s="493"/>
      <c r="E308" s="493"/>
      <c r="F308" s="493"/>
      <c r="G308" s="493"/>
      <c r="H308" s="493"/>
      <c r="I308" s="493"/>
      <c r="J308" s="493"/>
      <c r="K308" s="493"/>
      <c r="L308" s="493"/>
      <c r="M308" s="493"/>
      <c r="N308" s="493"/>
      <c r="O308" s="493"/>
      <c r="P308" s="493"/>
      <c r="Q308" s="493"/>
      <c r="R308" s="493"/>
      <c r="S308" s="494"/>
      <c r="T308" s="256"/>
    </row>
    <row r="309" spans="1:20" ht="18.600000000000001" thickBot="1" x14ac:dyDescent="0.4">
      <c r="A309" s="491"/>
      <c r="B309" s="495" t="str">
        <f>B208</f>
        <v>PM24 INVESTOR REPORT QUARTER ENDING DECEMBER 2019</v>
      </c>
      <c r="C309" s="492"/>
      <c r="D309" s="493"/>
      <c r="E309" s="493"/>
      <c r="F309" s="493"/>
      <c r="G309" s="493"/>
      <c r="H309" s="493"/>
      <c r="I309" s="493"/>
      <c r="J309" s="493"/>
      <c r="K309" s="493"/>
      <c r="L309" s="493"/>
      <c r="M309" s="493"/>
      <c r="N309" s="493"/>
      <c r="O309" s="493"/>
      <c r="P309" s="493"/>
      <c r="Q309" s="493"/>
      <c r="R309" s="493"/>
      <c r="S309" s="496"/>
      <c r="T309" s="256"/>
    </row>
    <row r="310" spans="1:20" x14ac:dyDescent="0.3">
      <c r="A310" s="497"/>
      <c r="B310" s="497"/>
      <c r="C310" s="497"/>
      <c r="D310" s="497"/>
      <c r="E310" s="497"/>
      <c r="F310" s="497"/>
      <c r="G310" s="497"/>
      <c r="H310" s="497"/>
      <c r="I310" s="497"/>
      <c r="J310" s="497"/>
      <c r="K310" s="497"/>
      <c r="L310" s="497"/>
      <c r="M310" s="497"/>
      <c r="N310" s="497"/>
      <c r="O310" s="497"/>
      <c r="P310" s="497"/>
      <c r="Q310" s="497"/>
      <c r="R310" s="497"/>
      <c r="S310" s="497"/>
    </row>
  </sheetData>
  <hyperlinks>
    <hyperlink ref="N246" r:id="rId1" display="http://www.paragon-group.co.uk" xr:uid="{C46E659E-A9CE-4405-8364-6003E50FAE32}"/>
    <hyperlink ref="K9" r:id="rId2" display="http://www.paragon-group.co.uk" xr:uid="{26E3545E-6585-45B5-BC86-3D86DE080F39}"/>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5" max="18" man="1"/>
    <brk id="208" max="18" man="1"/>
  </rowBreaks>
  <colBreaks count="1" manualBreakCount="1">
    <brk id="19" max="299" man="1"/>
  </colBreaks>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3D468-BB14-459F-A0E2-B9D47A9641E9}">
  <sheetPr>
    <tabColor rgb="FF2D2926"/>
  </sheetPr>
  <dimension ref="A1:IR312"/>
  <sheetViews>
    <sheetView showGridLines="0" tabSelected="1"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43945</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112</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198</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0</v>
      </c>
      <c r="E29" s="307"/>
      <c r="F29" s="308">
        <f>F28*F35</f>
        <v>0</v>
      </c>
      <c r="G29" s="308"/>
      <c r="H29" s="308">
        <f>H28*H35</f>
        <v>1788.1469299999999</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0</v>
      </c>
      <c r="E30" s="312"/>
      <c r="F30" s="312">
        <f t="shared" ref="F30" si="0">F28*F34</f>
        <v>0</v>
      </c>
      <c r="G30" s="312"/>
      <c r="H30" s="312">
        <f t="shared" ref="H30" si="1">H28*H34</f>
        <v>0</v>
      </c>
      <c r="I30" s="312"/>
      <c r="J30" s="312">
        <f t="shared" ref="J30" si="2">J28*J34</f>
        <v>0</v>
      </c>
      <c r="K30" s="312"/>
      <c r="L30" s="312">
        <f t="shared" ref="L30" si="3">L28*L34</f>
        <v>0</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0</v>
      </c>
      <c r="E32" s="308"/>
      <c r="F32" s="308">
        <f>F31*F35</f>
        <v>0</v>
      </c>
      <c r="G32" s="308"/>
      <c r="H32" s="308">
        <f>H31*H35</f>
        <v>1788.1469299999999</v>
      </c>
      <c r="I32" s="308"/>
      <c r="J32" s="308">
        <f>J31*J35</f>
        <v>25400</v>
      </c>
      <c r="K32" s="308"/>
      <c r="L32" s="308">
        <f>L31*L35</f>
        <v>8753</v>
      </c>
      <c r="M32" s="303"/>
      <c r="N32" s="313"/>
      <c r="O32" s="303"/>
      <c r="P32" s="303"/>
      <c r="Q32" s="302"/>
      <c r="R32" s="303">
        <f>SUM(D32:L32)</f>
        <v>35941.146930000003</v>
      </c>
      <c r="S32" s="304"/>
      <c r="T32" s="273"/>
    </row>
    <row r="33" spans="1:20" s="274" customFormat="1" x14ac:dyDescent="0.3">
      <c r="A33" s="300"/>
      <c r="B33" s="297" t="s">
        <v>223</v>
      </c>
      <c r="C33" s="302"/>
      <c r="D33" s="312">
        <f>D31*D34</f>
        <v>0</v>
      </c>
      <c r="E33" s="312"/>
      <c r="F33" s="312">
        <f t="shared" ref="F33:L33" si="4">F31*F34</f>
        <v>0</v>
      </c>
      <c r="G33" s="312"/>
      <c r="H33" s="312">
        <f t="shared" si="4"/>
        <v>0</v>
      </c>
      <c r="I33" s="312"/>
      <c r="J33" s="312">
        <f t="shared" si="4"/>
        <v>0</v>
      </c>
      <c r="K33" s="312"/>
      <c r="L33" s="312">
        <f t="shared" si="4"/>
        <v>0</v>
      </c>
      <c r="M33" s="310"/>
      <c r="N33" s="313"/>
      <c r="O33" s="303"/>
      <c r="P33" s="303"/>
      <c r="Q33" s="302"/>
      <c r="R33" s="310">
        <f>SUM(D33:L33)</f>
        <v>0</v>
      </c>
      <c r="S33" s="304"/>
      <c r="T33" s="273"/>
    </row>
    <row r="34" spans="1:20" s="324" customFormat="1" x14ac:dyDescent="0.3">
      <c r="A34" s="314"/>
      <c r="B34" s="315" t="s">
        <v>103</v>
      </c>
      <c r="C34" s="316"/>
      <c r="D34" s="317">
        <v>0</v>
      </c>
      <c r="E34" s="317"/>
      <c r="F34" s="317">
        <v>0</v>
      </c>
      <c r="G34" s="317"/>
      <c r="H34" s="317">
        <v>0</v>
      </c>
      <c r="I34" s="317"/>
      <c r="J34" s="317">
        <v>0</v>
      </c>
      <c r="K34" s="317"/>
      <c r="L34" s="317">
        <v>0</v>
      </c>
      <c r="M34" s="318"/>
      <c r="N34" s="318"/>
      <c r="O34" s="319"/>
      <c r="P34" s="319"/>
      <c r="Q34" s="320"/>
      <c r="R34" s="321"/>
      <c r="S34" s="322"/>
      <c r="T34" s="323"/>
    </row>
    <row r="35" spans="1:20" s="324" customFormat="1" x14ac:dyDescent="0.3">
      <c r="A35" s="314"/>
      <c r="B35" s="316" t="s">
        <v>104</v>
      </c>
      <c r="C35" s="316"/>
      <c r="D35" s="325">
        <v>0</v>
      </c>
      <c r="E35" s="325"/>
      <c r="F35" s="325">
        <v>0</v>
      </c>
      <c r="G35" s="325"/>
      <c r="H35" s="317">
        <v>9.2650099999999999E-2</v>
      </c>
      <c r="I35" s="317"/>
      <c r="J35" s="317">
        <v>1</v>
      </c>
      <c r="K35" s="317"/>
      <c r="L35" s="317">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0</v>
      </c>
      <c r="E37" s="329"/>
      <c r="F37" s="329">
        <v>0</v>
      </c>
      <c r="G37" s="329"/>
      <c r="H37" s="329">
        <v>3.175E-2</v>
      </c>
      <c r="I37" s="329"/>
      <c r="J37" s="329">
        <v>3.925E-2</v>
      </c>
      <c r="K37" s="329"/>
      <c r="L37" s="329">
        <v>4.2750000000000003E-2</v>
      </c>
      <c r="M37" s="328"/>
      <c r="N37" s="329"/>
      <c r="O37" s="301"/>
      <c r="P37" s="301"/>
      <c r="Q37" s="293"/>
      <c r="R37" s="328"/>
      <c r="S37" s="296"/>
      <c r="T37" s="273"/>
    </row>
    <row r="38" spans="1:20" s="274" customFormat="1" x14ac:dyDescent="0.3">
      <c r="A38" s="300"/>
      <c r="B38" s="293" t="s">
        <v>10</v>
      </c>
      <c r="C38" s="330"/>
      <c r="D38" s="329">
        <v>0</v>
      </c>
      <c r="E38" s="329"/>
      <c r="F38" s="329">
        <v>0</v>
      </c>
      <c r="G38" s="329"/>
      <c r="H38" s="329">
        <v>3.2349999999999997E-2</v>
      </c>
      <c r="I38" s="329"/>
      <c r="J38" s="329">
        <v>3.9849999999999997E-2</v>
      </c>
      <c r="K38" s="329"/>
      <c r="L38" s="329">
        <v>4.335E-2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0</v>
      </c>
      <c r="E40" s="329"/>
      <c r="F40" s="329">
        <f>+F37</f>
        <v>0</v>
      </c>
      <c r="G40" s="329"/>
      <c r="H40" s="329">
        <f>+H37</f>
        <v>3.175E-2</v>
      </c>
      <c r="I40" s="329"/>
      <c r="J40" s="329">
        <f>+J37</f>
        <v>3.925E-2</v>
      </c>
      <c r="K40" s="329"/>
      <c r="L40" s="329">
        <f>+L37</f>
        <v>4.2750000000000003E-2</v>
      </c>
      <c r="M40" s="328"/>
      <c r="N40" s="329"/>
      <c r="O40" s="301"/>
      <c r="P40" s="301"/>
      <c r="Q40" s="293"/>
      <c r="R40" s="328">
        <f>SUMPRODUCT(D40:L40,D32:L32)/R32</f>
        <v>3.9729238964147325E-2</v>
      </c>
      <c r="S40" s="296"/>
      <c r="T40" s="273"/>
    </row>
    <row r="41" spans="1:20" s="274" customFormat="1" x14ac:dyDescent="0.3">
      <c r="A41" s="300"/>
      <c r="B41" s="293" t="s">
        <v>228</v>
      </c>
      <c r="C41" s="330"/>
      <c r="D41" s="329">
        <v>0</v>
      </c>
      <c r="E41" s="329"/>
      <c r="F41" s="329">
        <f>+F38</f>
        <v>0</v>
      </c>
      <c r="G41" s="329"/>
      <c r="H41" s="329">
        <f>+H38</f>
        <v>3.2349999999999997E-2</v>
      </c>
      <c r="I41" s="329"/>
      <c r="J41" s="329">
        <f>+J38</f>
        <v>3.9849999999999997E-2</v>
      </c>
      <c r="K41" s="329"/>
      <c r="L41" s="329">
        <f>+L38</f>
        <v>4.335E-2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498" t="s">
        <v>97</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43936</v>
      </c>
      <c r="S52" s="296"/>
      <c r="T52" s="273"/>
    </row>
    <row r="53" spans="1:21" s="274" customFormat="1" x14ac:dyDescent="0.3">
      <c r="A53" s="300"/>
      <c r="B53" s="293" t="s">
        <v>99</v>
      </c>
      <c r="C53" s="293"/>
      <c r="D53" s="338"/>
      <c r="E53" s="338"/>
      <c r="F53" s="338"/>
      <c r="G53" s="338"/>
      <c r="H53" s="338"/>
      <c r="I53" s="338"/>
      <c r="J53" s="338"/>
      <c r="K53" s="338"/>
      <c r="L53" s="338"/>
      <c r="M53" s="338"/>
      <c r="N53" s="293">
        <f>+R53-P53+1</f>
        <v>92</v>
      </c>
      <c r="O53" s="293"/>
      <c r="P53" s="339">
        <v>43753</v>
      </c>
      <c r="Q53" s="340"/>
      <c r="R53" s="339">
        <v>43844</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43845</v>
      </c>
      <c r="Q54" s="340"/>
      <c r="R54" s="339">
        <v>43935</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43922</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302</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35941</v>
      </c>
      <c r="I64" s="360"/>
      <c r="J64" s="361">
        <v>26</v>
      </c>
      <c r="K64" s="360"/>
      <c r="L64" s="360">
        <v>34434</v>
      </c>
      <c r="M64" s="360"/>
      <c r="N64" s="360">
        <v>0</v>
      </c>
      <c r="O64" s="360"/>
      <c r="P64" s="360">
        <v>1481</v>
      </c>
      <c r="Q64" s="360"/>
      <c r="R64" s="361">
        <f>H64-J64-L64+N64-P64</f>
        <v>0</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35941</v>
      </c>
      <c r="I67" s="360"/>
      <c r="J67" s="360">
        <f>J64+J65</f>
        <v>26</v>
      </c>
      <c r="K67" s="360"/>
      <c r="L67" s="360">
        <f>SUM(L64:L66)</f>
        <v>34434</v>
      </c>
      <c r="M67" s="360"/>
      <c r="N67" s="360">
        <f>SUM(N64:N66)</f>
        <v>0</v>
      </c>
      <c r="O67" s="360"/>
      <c r="P67" s="360">
        <f>SUM(P64:P66)</f>
        <v>1481</v>
      </c>
      <c r="Q67" s="360"/>
      <c r="R67" s="360">
        <f>SUM(R64:R66)</f>
        <v>0</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35941</v>
      </c>
      <c r="I80" s="360"/>
      <c r="J80" s="360"/>
      <c r="K80" s="360"/>
      <c r="L80" s="360"/>
      <c r="M80" s="360"/>
      <c r="N80" s="360"/>
      <c r="O80" s="360"/>
      <c r="P80" s="360"/>
      <c r="Q80" s="360"/>
      <c r="R80" s="360">
        <f>SUM(R67:R79)</f>
        <v>0</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+P211</f>
        <v>43921</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35941</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455-40</f>
        <v>415</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12</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20</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248</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303</v>
      </c>
      <c r="C97" s="293"/>
      <c r="D97" s="293"/>
      <c r="E97" s="293"/>
      <c r="F97" s="293"/>
      <c r="G97" s="293"/>
      <c r="H97" s="293"/>
      <c r="I97" s="293"/>
      <c r="J97" s="293"/>
      <c r="K97" s="293"/>
      <c r="L97" s="293"/>
      <c r="M97" s="293"/>
      <c r="N97" s="293"/>
      <c r="O97" s="293"/>
      <c r="P97" s="360"/>
      <c r="Q97" s="293"/>
      <c r="R97" s="361">
        <f>-R144</f>
        <v>8753</v>
      </c>
      <c r="S97" s="296"/>
      <c r="T97" s="273"/>
    </row>
    <row r="98" spans="1:21" s="274" customFormat="1" x14ac:dyDescent="0.3">
      <c r="A98" s="300"/>
      <c r="B98" s="293" t="s">
        <v>25</v>
      </c>
      <c r="C98" s="293"/>
      <c r="D98" s="293"/>
      <c r="E98" s="293"/>
      <c r="F98" s="293"/>
      <c r="G98" s="293"/>
      <c r="H98" s="293"/>
      <c r="I98" s="293"/>
      <c r="J98" s="293"/>
      <c r="K98" s="293"/>
      <c r="L98" s="293"/>
      <c r="M98" s="293"/>
      <c r="N98" s="293"/>
      <c r="O98" s="293"/>
      <c r="P98" s="360">
        <f>SUM(P84:P96)</f>
        <v>35941</v>
      </c>
      <c r="Q98" s="293"/>
      <c r="R98" s="360">
        <f>SUM(R84:R97)</f>
        <v>9448</v>
      </c>
      <c r="S98" s="296"/>
      <c r="T98" s="273"/>
    </row>
    <row r="99" spans="1:21" s="274" customFormat="1" x14ac:dyDescent="0.3">
      <c r="A99" s="300"/>
      <c r="B99" s="293" t="s">
        <v>26</v>
      </c>
      <c r="C99" s="293"/>
      <c r="D99" s="293"/>
      <c r="E99" s="293"/>
      <c r="F99" s="293"/>
      <c r="G99" s="293"/>
      <c r="H99" s="293"/>
      <c r="I99" s="293"/>
      <c r="J99" s="293"/>
      <c r="K99" s="293"/>
      <c r="L99" s="293"/>
      <c r="M99" s="293"/>
      <c r="N99" s="293"/>
      <c r="O99" s="293"/>
      <c r="P99" s="360">
        <f>-R99</f>
        <v>0</v>
      </c>
      <c r="Q99" s="293"/>
      <c r="R99" s="361">
        <v>0</v>
      </c>
      <c r="S99" s="296"/>
      <c r="T99" s="273"/>
    </row>
    <row r="100" spans="1:21" s="274" customFormat="1" x14ac:dyDescent="0.3">
      <c r="A100" s="300"/>
      <c r="B100" s="293" t="s">
        <v>150</v>
      </c>
      <c r="C100" s="293"/>
      <c r="D100" s="293"/>
      <c r="E100" s="293"/>
      <c r="F100" s="293"/>
      <c r="G100" s="293"/>
      <c r="H100" s="293"/>
      <c r="I100" s="293"/>
      <c r="J100" s="293"/>
      <c r="K100" s="293"/>
      <c r="L100" s="293"/>
      <c r="M100" s="293"/>
      <c r="N100" s="293"/>
      <c r="O100" s="293"/>
      <c r="P100" s="360"/>
      <c r="Q100" s="293"/>
      <c r="R100" s="361">
        <v>0</v>
      </c>
      <c r="S100" s="296"/>
      <c r="T100" s="273"/>
    </row>
    <row r="101" spans="1:21" s="274" customFormat="1" x14ac:dyDescent="0.3">
      <c r="A101" s="300"/>
      <c r="B101" s="293" t="s">
        <v>27</v>
      </c>
      <c r="C101" s="293"/>
      <c r="D101" s="293"/>
      <c r="E101" s="293"/>
      <c r="F101" s="293"/>
      <c r="G101" s="293"/>
      <c r="H101" s="293"/>
      <c r="I101" s="293"/>
      <c r="J101" s="293"/>
      <c r="K101" s="293"/>
      <c r="L101" s="293"/>
      <c r="M101" s="293"/>
      <c r="N101" s="293"/>
      <c r="O101" s="293"/>
      <c r="P101" s="360">
        <f>P98+P99</f>
        <v>35941</v>
      </c>
      <c r="Q101" s="293"/>
      <c r="R101" s="360">
        <f>R98+R99+R100</f>
        <v>9448</v>
      </c>
      <c r="S101" s="296"/>
      <c r="T101" s="273"/>
    </row>
    <row r="102" spans="1:21" x14ac:dyDescent="0.3">
      <c r="A102" s="376"/>
      <c r="B102" s="377" t="s">
        <v>28</v>
      </c>
      <c r="C102" s="316"/>
      <c r="D102" s="316"/>
      <c r="E102" s="316"/>
      <c r="F102" s="316"/>
      <c r="G102" s="316"/>
      <c r="H102" s="316"/>
      <c r="I102" s="316"/>
      <c r="J102" s="316"/>
      <c r="K102" s="316"/>
      <c r="L102" s="316"/>
      <c r="M102" s="316"/>
      <c r="N102" s="316"/>
      <c r="O102" s="316"/>
      <c r="P102" s="378"/>
      <c r="Q102" s="379"/>
      <c r="R102" s="380"/>
      <c r="S102" s="381"/>
      <c r="T102" s="256"/>
    </row>
    <row r="103" spans="1:21" s="274" customFormat="1" x14ac:dyDescent="0.3">
      <c r="A103" s="300">
        <v>1</v>
      </c>
      <c r="B103" s="293" t="s">
        <v>174</v>
      </c>
      <c r="C103" s="293"/>
      <c r="D103" s="293"/>
      <c r="E103" s="293"/>
      <c r="F103" s="293"/>
      <c r="G103" s="293"/>
      <c r="H103" s="293"/>
      <c r="I103" s="293"/>
      <c r="J103" s="293"/>
      <c r="K103" s="293"/>
      <c r="L103" s="293"/>
      <c r="M103" s="293"/>
      <c r="N103" s="293"/>
      <c r="O103" s="293"/>
      <c r="P103" s="360"/>
      <c r="Q103" s="293"/>
      <c r="R103" s="361">
        <v>0</v>
      </c>
      <c r="S103" s="296"/>
      <c r="T103" s="273"/>
    </row>
    <row r="104" spans="1:21" s="274" customFormat="1" x14ac:dyDescent="0.3">
      <c r="A104" s="300">
        <v>2</v>
      </c>
      <c r="B104" s="293" t="s">
        <v>194</v>
      </c>
      <c r="C104" s="293"/>
      <c r="D104" s="293"/>
      <c r="E104" s="293"/>
      <c r="F104" s="293"/>
      <c r="G104" s="293"/>
      <c r="H104" s="293"/>
      <c r="I104" s="293"/>
      <c r="J104" s="293"/>
      <c r="K104" s="293"/>
      <c r="L104" s="293"/>
      <c r="M104" s="293"/>
      <c r="N104" s="293"/>
      <c r="O104" s="293"/>
      <c r="P104" s="293"/>
      <c r="Q104" s="293"/>
      <c r="R104" s="361">
        <v>-3</v>
      </c>
      <c r="S104" s="296"/>
      <c r="T104" s="273"/>
    </row>
    <row r="105" spans="1:21" s="274" customFormat="1" x14ac:dyDescent="0.3">
      <c r="A105" s="300">
        <v>3</v>
      </c>
      <c r="B105" s="293" t="s">
        <v>280</v>
      </c>
      <c r="C105" s="293"/>
      <c r="D105" s="293"/>
      <c r="E105" s="293"/>
      <c r="F105" s="293"/>
      <c r="G105" s="293"/>
      <c r="H105" s="293"/>
      <c r="I105" s="293"/>
      <c r="J105" s="293"/>
      <c r="K105" s="293"/>
      <c r="L105" s="293"/>
      <c r="M105" s="293"/>
      <c r="N105" s="293"/>
      <c r="O105" s="293"/>
      <c r="P105" s="293"/>
      <c r="Q105" s="293"/>
      <c r="R105" s="361">
        <f>-14-2-3</f>
        <v>-19</v>
      </c>
      <c r="S105" s="296"/>
      <c r="T105" s="273"/>
    </row>
    <row r="106" spans="1:21" s="274" customFormat="1" x14ac:dyDescent="0.3">
      <c r="A106" s="300">
        <v>4</v>
      </c>
      <c r="B106" s="293" t="s">
        <v>96</v>
      </c>
      <c r="C106" s="293"/>
      <c r="D106" s="293"/>
      <c r="E106" s="293"/>
      <c r="F106" s="293"/>
      <c r="G106" s="293"/>
      <c r="H106" s="293"/>
      <c r="I106" s="293"/>
      <c r="J106" s="293"/>
      <c r="K106" s="293"/>
      <c r="L106" s="293"/>
      <c r="M106" s="293"/>
      <c r="N106" s="293"/>
      <c r="O106" s="293"/>
      <c r="P106" s="293"/>
      <c r="Q106" s="293"/>
      <c r="R106" s="361">
        <v>-24</v>
      </c>
      <c r="S106" s="296"/>
      <c r="T106" s="273"/>
    </row>
    <row r="107" spans="1:21" s="274" customFormat="1" x14ac:dyDescent="0.3">
      <c r="A107" s="300" t="s">
        <v>239</v>
      </c>
      <c r="B107" s="293" t="s">
        <v>238</v>
      </c>
      <c r="C107" s="293"/>
      <c r="D107" s="293"/>
      <c r="E107" s="293"/>
      <c r="F107" s="293"/>
      <c r="G107" s="293"/>
      <c r="H107" s="293"/>
      <c r="I107" s="293"/>
      <c r="J107" s="293"/>
      <c r="K107" s="293"/>
      <c r="L107" s="293"/>
      <c r="M107" s="293"/>
      <c r="N107" s="293"/>
      <c r="O107" s="293"/>
      <c r="P107" s="293"/>
      <c r="Q107" s="293"/>
      <c r="R107" s="361">
        <v>0</v>
      </c>
      <c r="S107" s="296"/>
      <c r="T107" s="273"/>
      <c r="U107" s="382"/>
    </row>
    <row r="108" spans="1:21" s="274" customFormat="1" x14ac:dyDescent="0.3">
      <c r="A108" s="300" t="s">
        <v>240</v>
      </c>
      <c r="B108" s="293" t="s">
        <v>234</v>
      </c>
      <c r="C108" s="293"/>
      <c r="D108" s="293"/>
      <c r="E108" s="293"/>
      <c r="F108" s="293"/>
      <c r="G108" s="293"/>
      <c r="H108" s="293"/>
      <c r="I108" s="293"/>
      <c r="J108" s="293"/>
      <c r="K108" s="293"/>
      <c r="L108" s="293"/>
      <c r="M108" s="293"/>
      <c r="N108" s="293"/>
      <c r="O108" s="293"/>
      <c r="P108" s="293"/>
      <c r="Q108" s="293"/>
      <c r="R108" s="361">
        <v>0</v>
      </c>
      <c r="S108" s="296"/>
      <c r="T108" s="273"/>
      <c r="U108" s="382"/>
    </row>
    <row r="109" spans="1:21" s="274" customFormat="1" x14ac:dyDescent="0.3">
      <c r="A109" s="300">
        <v>6</v>
      </c>
      <c r="B109" s="293" t="s">
        <v>188</v>
      </c>
      <c r="C109" s="293"/>
      <c r="D109" s="293"/>
      <c r="E109" s="293"/>
      <c r="F109" s="293"/>
      <c r="G109" s="293"/>
      <c r="H109" s="293"/>
      <c r="I109" s="293"/>
      <c r="J109" s="293"/>
      <c r="K109" s="293"/>
      <c r="L109" s="293"/>
      <c r="M109" s="293"/>
      <c r="N109" s="293"/>
      <c r="O109" s="293"/>
      <c r="P109" s="293"/>
      <c r="Q109" s="293"/>
      <c r="R109" s="361">
        <v>-14</v>
      </c>
      <c r="S109" s="296"/>
      <c r="T109" s="273"/>
      <c r="U109" s="382"/>
    </row>
    <row r="110" spans="1:21" s="274" customFormat="1" x14ac:dyDescent="0.3">
      <c r="A110" s="300">
        <v>7</v>
      </c>
      <c r="B110" s="293" t="s">
        <v>189</v>
      </c>
      <c r="C110" s="293"/>
      <c r="D110" s="293"/>
      <c r="E110" s="293"/>
      <c r="F110" s="293"/>
      <c r="G110" s="293"/>
      <c r="H110" s="293"/>
      <c r="I110" s="293"/>
      <c r="J110" s="293"/>
      <c r="K110" s="293"/>
      <c r="L110" s="293"/>
      <c r="M110" s="293"/>
      <c r="N110" s="293"/>
      <c r="O110" s="293"/>
      <c r="P110" s="293"/>
      <c r="Q110" s="293"/>
      <c r="R110" s="361">
        <v>-249</v>
      </c>
      <c r="S110" s="296"/>
      <c r="T110" s="273"/>
      <c r="U110" s="382"/>
    </row>
    <row r="111" spans="1:21" s="274" customFormat="1" x14ac:dyDescent="0.3">
      <c r="A111" s="300">
        <v>8</v>
      </c>
      <c r="B111" s="293" t="s">
        <v>156</v>
      </c>
      <c r="C111" s="293"/>
      <c r="D111" s="293"/>
      <c r="E111" s="293"/>
      <c r="F111" s="293"/>
      <c r="G111" s="293"/>
      <c r="H111" s="293"/>
      <c r="I111" s="293"/>
      <c r="J111" s="293"/>
      <c r="K111" s="293"/>
      <c r="L111" s="293"/>
      <c r="M111" s="293"/>
      <c r="N111" s="293"/>
      <c r="O111" s="293"/>
      <c r="P111" s="293"/>
      <c r="Q111" s="293"/>
      <c r="R111" s="361">
        <v>0</v>
      </c>
      <c r="S111" s="296"/>
      <c r="T111" s="273"/>
      <c r="U111" s="382"/>
    </row>
    <row r="112" spans="1:21" s="274" customFormat="1" x14ac:dyDescent="0.3">
      <c r="A112" s="300">
        <v>9</v>
      </c>
      <c r="B112" s="293" t="s">
        <v>37</v>
      </c>
      <c r="C112" s="293"/>
      <c r="D112" s="293"/>
      <c r="E112" s="293"/>
      <c r="F112" s="293"/>
      <c r="G112" s="293"/>
      <c r="H112" s="293"/>
      <c r="I112" s="293"/>
      <c r="J112" s="293"/>
      <c r="K112" s="293"/>
      <c r="L112" s="293"/>
      <c r="M112" s="293"/>
      <c r="N112" s="293"/>
      <c r="O112" s="293"/>
      <c r="P112" s="360">
        <f>-R112</f>
        <v>0</v>
      </c>
      <c r="Q112" s="293"/>
      <c r="R112" s="361">
        <v>0</v>
      </c>
      <c r="S112" s="296"/>
      <c r="T112" s="273"/>
    </row>
    <row r="113" spans="1:20" s="274" customFormat="1" x14ac:dyDescent="0.3">
      <c r="A113" s="300">
        <v>10</v>
      </c>
      <c r="B113" s="293" t="s">
        <v>101</v>
      </c>
      <c r="C113" s="293"/>
      <c r="D113" s="293"/>
      <c r="E113" s="293"/>
      <c r="F113" s="293"/>
      <c r="G113" s="293"/>
      <c r="H113" s="293"/>
      <c r="I113" s="293"/>
      <c r="J113" s="293"/>
      <c r="K113" s="293"/>
      <c r="L113" s="293"/>
      <c r="M113" s="293"/>
      <c r="N113" s="293"/>
      <c r="O113" s="293"/>
      <c r="P113" s="293"/>
      <c r="Q113" s="293"/>
      <c r="R113" s="361">
        <v>0</v>
      </c>
      <c r="S113" s="296"/>
      <c r="T113" s="273"/>
    </row>
    <row r="114" spans="1:20" s="274" customFormat="1" x14ac:dyDescent="0.3">
      <c r="A114" s="300">
        <v>11</v>
      </c>
      <c r="B114" s="293" t="s">
        <v>29</v>
      </c>
      <c r="C114" s="293"/>
      <c r="D114" s="293"/>
      <c r="E114" s="293"/>
      <c r="F114" s="293"/>
      <c r="G114" s="293"/>
      <c r="H114" s="293"/>
      <c r="I114" s="293"/>
      <c r="J114" s="293"/>
      <c r="K114" s="293"/>
      <c r="L114" s="293"/>
      <c r="M114" s="293"/>
      <c r="N114" s="293"/>
      <c r="O114" s="293"/>
      <c r="P114" s="293"/>
      <c r="Q114" s="293"/>
      <c r="R114" s="361">
        <v>-13</v>
      </c>
      <c r="S114" s="296"/>
      <c r="T114" s="273"/>
    </row>
    <row r="115" spans="1:20" s="274" customFormat="1" x14ac:dyDescent="0.3">
      <c r="A115" s="300">
        <v>12</v>
      </c>
      <c r="B115" s="293" t="s">
        <v>138</v>
      </c>
      <c r="C115" s="293"/>
      <c r="D115" s="293"/>
      <c r="E115" s="293"/>
      <c r="F115" s="293"/>
      <c r="G115" s="293"/>
      <c r="H115" s="293"/>
      <c r="I115" s="293"/>
      <c r="J115" s="293"/>
      <c r="K115" s="293"/>
      <c r="L115" s="293"/>
      <c r="M115" s="293"/>
      <c r="N115" s="293"/>
      <c r="O115" s="293"/>
      <c r="P115" s="293"/>
      <c r="Q115" s="293"/>
      <c r="R115" s="361">
        <v>0</v>
      </c>
      <c r="S115" s="296"/>
      <c r="T115" s="273"/>
    </row>
    <row r="116" spans="1:20" s="274" customFormat="1" x14ac:dyDescent="0.3">
      <c r="A116" s="300">
        <v>13</v>
      </c>
      <c r="B116" s="293" t="s">
        <v>269</v>
      </c>
      <c r="C116" s="293"/>
      <c r="D116" s="293"/>
      <c r="E116" s="293"/>
      <c r="F116" s="293"/>
      <c r="G116" s="293"/>
      <c r="H116" s="293"/>
      <c r="I116" s="293"/>
      <c r="J116" s="293"/>
      <c r="K116" s="293"/>
      <c r="L116" s="293"/>
      <c r="M116" s="293"/>
      <c r="N116" s="293"/>
      <c r="O116" s="293"/>
      <c r="P116" s="293"/>
      <c r="Q116" s="293"/>
      <c r="R116" s="361">
        <v>-93</v>
      </c>
      <c r="S116" s="296"/>
      <c r="T116" s="273"/>
    </row>
    <row r="117" spans="1:20" s="274" customFormat="1" x14ac:dyDescent="0.3">
      <c r="A117" s="300">
        <v>14</v>
      </c>
      <c r="B117" s="293" t="s">
        <v>157</v>
      </c>
      <c r="C117" s="293"/>
      <c r="D117" s="293"/>
      <c r="E117" s="293"/>
      <c r="F117" s="293"/>
      <c r="G117" s="293"/>
      <c r="H117" s="293"/>
      <c r="I117" s="293"/>
      <c r="J117" s="293"/>
      <c r="K117" s="293"/>
      <c r="L117" s="293"/>
      <c r="M117" s="293"/>
      <c r="N117" s="293"/>
      <c r="O117" s="293"/>
      <c r="P117" s="293"/>
      <c r="Q117" s="293"/>
      <c r="R117" s="361">
        <v>0</v>
      </c>
      <c r="S117" s="296"/>
      <c r="T117" s="273"/>
    </row>
    <row r="118" spans="1:20" s="274" customFormat="1" x14ac:dyDescent="0.3">
      <c r="A118" s="300">
        <v>15</v>
      </c>
      <c r="B118" s="293" t="s">
        <v>206</v>
      </c>
      <c r="C118" s="293"/>
      <c r="D118" s="293"/>
      <c r="E118" s="293"/>
      <c r="F118" s="293"/>
      <c r="G118" s="293"/>
      <c r="H118" s="293"/>
      <c r="I118" s="293"/>
      <c r="J118" s="293"/>
      <c r="K118" s="293"/>
      <c r="L118" s="293"/>
      <c r="M118" s="293"/>
      <c r="N118" s="293"/>
      <c r="O118" s="293"/>
      <c r="P118" s="293"/>
      <c r="Q118" s="293"/>
      <c r="R118" s="361">
        <v>-13</v>
      </c>
      <c r="S118" s="296"/>
      <c r="T118" s="273"/>
    </row>
    <row r="119" spans="1:20" s="274" customFormat="1" x14ac:dyDescent="0.3">
      <c r="A119" s="300">
        <v>16</v>
      </c>
      <c r="B119" s="293" t="s">
        <v>167</v>
      </c>
      <c r="C119" s="293"/>
      <c r="D119" s="293"/>
      <c r="E119" s="293"/>
      <c r="F119" s="293"/>
      <c r="G119" s="293"/>
      <c r="H119" s="293"/>
      <c r="I119" s="293"/>
      <c r="J119" s="293"/>
      <c r="K119" s="293"/>
      <c r="L119" s="293"/>
      <c r="M119" s="293"/>
      <c r="N119" s="293"/>
      <c r="O119" s="293"/>
      <c r="P119" s="293"/>
      <c r="Q119" s="293"/>
      <c r="R119" s="361">
        <f>-4-263</f>
        <v>-267</v>
      </c>
      <c r="S119" s="296"/>
      <c r="T119" s="273"/>
    </row>
    <row r="120" spans="1:20" s="274" customFormat="1" x14ac:dyDescent="0.3">
      <c r="A120" s="300">
        <v>17</v>
      </c>
      <c r="B120" s="293" t="s">
        <v>297</v>
      </c>
      <c r="C120" s="293"/>
      <c r="D120" s="293"/>
      <c r="E120" s="293"/>
      <c r="F120" s="293"/>
      <c r="G120" s="293"/>
      <c r="H120" s="293"/>
      <c r="I120" s="293"/>
      <c r="J120" s="293"/>
      <c r="K120" s="293"/>
      <c r="L120" s="293"/>
      <c r="M120" s="293"/>
      <c r="N120" s="293"/>
      <c r="O120" s="293"/>
      <c r="P120" s="293"/>
      <c r="Q120" s="293"/>
      <c r="R120" s="361">
        <v>0</v>
      </c>
      <c r="S120" s="296"/>
      <c r="T120" s="273"/>
    </row>
    <row r="121" spans="1:20" s="274" customFormat="1" x14ac:dyDescent="0.3">
      <c r="A121" s="300">
        <v>18</v>
      </c>
      <c r="B121" s="293" t="s">
        <v>298</v>
      </c>
      <c r="C121" s="293"/>
      <c r="D121" s="293"/>
      <c r="E121" s="293"/>
      <c r="F121" s="293"/>
      <c r="G121" s="293"/>
      <c r="H121" s="293"/>
      <c r="I121" s="293"/>
      <c r="J121" s="293"/>
      <c r="K121" s="293"/>
      <c r="L121" s="293"/>
      <c r="M121" s="293"/>
      <c r="N121" s="293"/>
      <c r="O121" s="293"/>
      <c r="P121" s="293"/>
      <c r="Q121" s="293"/>
      <c r="R121" s="361">
        <v>0</v>
      </c>
      <c r="S121" s="296"/>
      <c r="T121" s="273"/>
    </row>
    <row r="122" spans="1:20" s="274" customFormat="1" x14ac:dyDescent="0.3">
      <c r="A122" s="300">
        <v>19</v>
      </c>
      <c r="B122" s="293" t="s">
        <v>299</v>
      </c>
      <c r="C122" s="293"/>
      <c r="D122" s="293"/>
      <c r="E122" s="293"/>
      <c r="F122" s="293"/>
      <c r="G122" s="293"/>
      <c r="H122" s="293"/>
      <c r="I122" s="293"/>
      <c r="J122" s="293"/>
      <c r="K122" s="293"/>
      <c r="L122" s="293"/>
      <c r="M122" s="293"/>
      <c r="N122" s="293"/>
      <c r="O122" s="293"/>
      <c r="P122" s="293"/>
      <c r="Q122" s="293"/>
      <c r="R122" s="361">
        <v>0</v>
      </c>
      <c r="S122" s="296"/>
      <c r="T122" s="273"/>
    </row>
    <row r="123" spans="1:20" s="274" customFormat="1" x14ac:dyDescent="0.3">
      <c r="A123" s="300">
        <v>20</v>
      </c>
      <c r="B123" s="293" t="s">
        <v>300</v>
      </c>
      <c r="C123" s="293"/>
      <c r="D123" s="293"/>
      <c r="E123" s="293"/>
      <c r="F123" s="293"/>
      <c r="G123" s="293"/>
      <c r="H123" s="293"/>
      <c r="I123" s="293"/>
      <c r="J123" s="293"/>
      <c r="K123" s="293"/>
      <c r="L123" s="293"/>
      <c r="M123" s="293"/>
      <c r="N123" s="293"/>
      <c r="O123" s="293"/>
      <c r="P123" s="293"/>
      <c r="Q123" s="293"/>
      <c r="R123" s="361">
        <f>-R101-SUM(R103:R122)</f>
        <v>-8753</v>
      </c>
      <c r="S123" s="296"/>
      <c r="T123" s="273"/>
    </row>
    <row r="124" spans="1:20" x14ac:dyDescent="0.3">
      <c r="A124" s="376"/>
      <c r="B124" s="377" t="s">
        <v>30</v>
      </c>
      <c r="C124" s="316"/>
      <c r="D124" s="316"/>
      <c r="E124" s="316"/>
      <c r="F124" s="316"/>
      <c r="G124" s="316"/>
      <c r="H124" s="316"/>
      <c r="I124" s="316"/>
      <c r="J124" s="316"/>
      <c r="K124" s="316"/>
      <c r="L124" s="316"/>
      <c r="M124" s="316"/>
      <c r="N124" s="316"/>
      <c r="O124" s="316"/>
      <c r="P124" s="379"/>
      <c r="Q124" s="379"/>
      <c r="R124" s="383"/>
      <c r="S124" s="381"/>
      <c r="T124" s="256"/>
    </row>
    <row r="125" spans="1:20" s="274" customFormat="1" x14ac:dyDescent="0.3">
      <c r="A125" s="300"/>
      <c r="B125" s="293" t="s">
        <v>207</v>
      </c>
      <c r="C125" s="293"/>
      <c r="D125" s="293"/>
      <c r="E125" s="293"/>
      <c r="F125" s="293"/>
      <c r="G125" s="293"/>
      <c r="H125" s="293"/>
      <c r="I125" s="293"/>
      <c r="J125" s="293"/>
      <c r="K125" s="293"/>
      <c r="L125" s="293"/>
      <c r="M125" s="293"/>
      <c r="N125" s="293"/>
      <c r="O125" s="293"/>
      <c r="P125" s="360">
        <f>-P193</f>
        <v>0</v>
      </c>
      <c r="Q125" s="360"/>
      <c r="R125" s="361"/>
      <c r="S125" s="296"/>
      <c r="T125" s="273"/>
    </row>
    <row r="126" spans="1:20" s="274" customFormat="1" x14ac:dyDescent="0.3">
      <c r="A126" s="300"/>
      <c r="B126" s="293" t="s">
        <v>208</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237</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236</v>
      </c>
      <c r="C128" s="293"/>
      <c r="D128" s="293"/>
      <c r="E128" s="293"/>
      <c r="F128" s="293"/>
      <c r="G128" s="293"/>
      <c r="H128" s="293"/>
      <c r="I128" s="293"/>
      <c r="J128" s="293"/>
      <c r="K128" s="293"/>
      <c r="L128" s="293"/>
      <c r="M128" s="293"/>
      <c r="N128" s="293"/>
      <c r="O128" s="293"/>
      <c r="P128" s="360">
        <v>0</v>
      </c>
      <c r="Q128" s="360"/>
      <c r="R128" s="361"/>
      <c r="S128" s="296"/>
      <c r="T128" s="273"/>
    </row>
    <row r="129" spans="1:20" s="274" customFormat="1" x14ac:dyDescent="0.3">
      <c r="A129" s="300"/>
      <c r="B129" s="293" t="s">
        <v>180</v>
      </c>
      <c r="C129" s="293"/>
      <c r="D129" s="293"/>
      <c r="E129" s="293"/>
      <c r="F129" s="293"/>
      <c r="G129" s="293"/>
      <c r="H129" s="293"/>
      <c r="I129" s="293"/>
      <c r="J129" s="293"/>
      <c r="K129" s="293"/>
      <c r="L129" s="293"/>
      <c r="M129" s="293"/>
      <c r="N129" s="293"/>
      <c r="O129" s="293"/>
      <c r="P129" s="360">
        <v>-1788</v>
      </c>
      <c r="Q129" s="360"/>
      <c r="R129" s="361"/>
      <c r="S129" s="296"/>
      <c r="T129" s="273"/>
    </row>
    <row r="130" spans="1:20" s="274" customFormat="1" x14ac:dyDescent="0.3">
      <c r="A130" s="300"/>
      <c r="B130" s="293" t="s">
        <v>181</v>
      </c>
      <c r="C130" s="293"/>
      <c r="D130" s="293"/>
      <c r="E130" s="293"/>
      <c r="F130" s="293"/>
      <c r="G130" s="293"/>
      <c r="H130" s="293"/>
      <c r="I130" s="293"/>
      <c r="J130" s="293"/>
      <c r="K130" s="293"/>
      <c r="L130" s="293"/>
      <c r="M130" s="293"/>
      <c r="N130" s="293"/>
      <c r="O130" s="293"/>
      <c r="P130" s="360">
        <v>-25400</v>
      </c>
      <c r="Q130" s="360"/>
      <c r="R130" s="361"/>
      <c r="S130" s="296"/>
      <c r="T130" s="273"/>
    </row>
    <row r="131" spans="1:20" s="274" customFormat="1" x14ac:dyDescent="0.3">
      <c r="A131" s="300"/>
      <c r="B131" s="293" t="s">
        <v>270</v>
      </c>
      <c r="C131" s="293"/>
      <c r="D131" s="293"/>
      <c r="E131" s="293"/>
      <c r="F131" s="293"/>
      <c r="G131" s="293"/>
      <c r="H131" s="293"/>
      <c r="I131" s="293"/>
      <c r="J131" s="293"/>
      <c r="K131" s="293"/>
      <c r="L131" s="293"/>
      <c r="M131" s="293"/>
      <c r="N131" s="293"/>
      <c r="O131" s="293"/>
      <c r="P131" s="360">
        <v>-8753</v>
      </c>
      <c r="Q131" s="360"/>
      <c r="R131" s="361"/>
      <c r="S131" s="296"/>
      <c r="T131" s="273"/>
    </row>
    <row r="132" spans="1:20" s="274" customFormat="1" x14ac:dyDescent="0.3">
      <c r="A132" s="300"/>
      <c r="B132" s="293" t="s">
        <v>31</v>
      </c>
      <c r="C132" s="293"/>
      <c r="D132" s="293"/>
      <c r="E132" s="293"/>
      <c r="F132" s="293"/>
      <c r="G132" s="293"/>
      <c r="H132" s="293"/>
      <c r="I132" s="293"/>
      <c r="J132" s="293"/>
      <c r="K132" s="293"/>
      <c r="L132" s="293"/>
      <c r="M132" s="293"/>
      <c r="N132" s="293"/>
      <c r="O132" s="293"/>
      <c r="P132" s="360">
        <f>SUM(P125:P131)</f>
        <v>-35941</v>
      </c>
      <c r="Q132" s="360"/>
      <c r="R132" s="360">
        <f>SUM(R102:R131)</f>
        <v>-9448</v>
      </c>
      <c r="S132" s="296"/>
      <c r="T132" s="273"/>
    </row>
    <row r="133" spans="1:20" s="274" customFormat="1" x14ac:dyDescent="0.3">
      <c r="A133" s="300"/>
      <c r="B133" s="293" t="s">
        <v>32</v>
      </c>
      <c r="C133" s="293"/>
      <c r="D133" s="293"/>
      <c r="E133" s="293"/>
      <c r="F133" s="293"/>
      <c r="G133" s="293"/>
      <c r="H133" s="293"/>
      <c r="I133" s="293"/>
      <c r="J133" s="293"/>
      <c r="K133" s="293"/>
      <c r="L133" s="293"/>
      <c r="M133" s="293"/>
      <c r="N133" s="293"/>
      <c r="O133" s="293"/>
      <c r="P133" s="360">
        <f>P101+P132+P112</f>
        <v>0</v>
      </c>
      <c r="Q133" s="360"/>
      <c r="R133" s="360">
        <f>R101+R132</f>
        <v>0</v>
      </c>
      <c r="S133" s="296"/>
      <c r="T133" s="273"/>
    </row>
    <row r="134" spans="1:20" s="274" customFormat="1" x14ac:dyDescent="0.3">
      <c r="A134" s="269"/>
      <c r="B134" s="290"/>
      <c r="C134" s="290"/>
      <c r="D134" s="290"/>
      <c r="E134" s="290"/>
      <c r="F134" s="290"/>
      <c r="G134" s="290"/>
      <c r="H134" s="290"/>
      <c r="I134" s="290"/>
      <c r="J134" s="290"/>
      <c r="K134" s="290"/>
      <c r="L134" s="290"/>
      <c r="M134" s="290"/>
      <c r="N134" s="290"/>
      <c r="O134" s="290"/>
      <c r="P134" s="372"/>
      <c r="Q134" s="372"/>
      <c r="R134" s="372"/>
      <c r="S134" s="272"/>
      <c r="T134" s="273"/>
    </row>
    <row r="135" spans="1:20" s="274" customFormat="1" x14ac:dyDescent="0.3">
      <c r="A135" s="269"/>
      <c r="B135" s="271"/>
      <c r="C135" s="271"/>
      <c r="D135" s="271"/>
      <c r="E135" s="271"/>
      <c r="F135" s="271"/>
      <c r="G135" s="271"/>
      <c r="H135" s="271"/>
      <c r="I135" s="271"/>
      <c r="J135" s="271"/>
      <c r="K135" s="271"/>
      <c r="L135" s="271"/>
      <c r="M135" s="271"/>
      <c r="N135" s="271"/>
      <c r="O135" s="271"/>
      <c r="P135" s="271"/>
      <c r="Q135" s="271"/>
      <c r="R135" s="384"/>
      <c r="S135" s="272"/>
      <c r="T135" s="273"/>
    </row>
    <row r="136" spans="1:20" s="274" customFormat="1" ht="18.600000000000001" thickBot="1" x14ac:dyDescent="0.4">
      <c r="A136" s="346"/>
      <c r="B136" s="347" t="str">
        <f>B60</f>
        <v>PM24 INVESTOR REPORT QUARTER ENDING MARCH 2020</v>
      </c>
      <c r="C136" s="348"/>
      <c r="D136" s="348"/>
      <c r="E136" s="348"/>
      <c r="F136" s="348"/>
      <c r="G136" s="348"/>
      <c r="H136" s="348"/>
      <c r="I136" s="348"/>
      <c r="J136" s="348"/>
      <c r="K136" s="348"/>
      <c r="L136" s="348"/>
      <c r="M136" s="348"/>
      <c r="N136" s="348"/>
      <c r="O136" s="348"/>
      <c r="P136" s="348"/>
      <c r="Q136" s="348"/>
      <c r="R136" s="385"/>
      <c r="S136" s="350"/>
      <c r="T136" s="273"/>
    </row>
    <row r="137" spans="1:20" x14ac:dyDescent="0.3">
      <c r="A137" s="386"/>
      <c r="B137" s="387" t="s">
        <v>33</v>
      </c>
      <c r="C137" s="388"/>
      <c r="D137" s="388"/>
      <c r="E137" s="388"/>
      <c r="F137" s="388"/>
      <c r="G137" s="388"/>
      <c r="H137" s="388"/>
      <c r="I137" s="388"/>
      <c r="J137" s="388"/>
      <c r="K137" s="388"/>
      <c r="L137" s="388"/>
      <c r="M137" s="388"/>
      <c r="N137" s="388"/>
      <c r="O137" s="388"/>
      <c r="P137" s="388"/>
      <c r="Q137" s="388"/>
      <c r="R137" s="389"/>
      <c r="S137" s="390"/>
      <c r="T137" s="256"/>
    </row>
    <row r="138" spans="1:20" x14ac:dyDescent="0.3">
      <c r="A138" s="258"/>
      <c r="B138" s="391"/>
      <c r="C138" s="260"/>
      <c r="D138" s="260"/>
      <c r="E138" s="260"/>
      <c r="F138" s="260"/>
      <c r="G138" s="260"/>
      <c r="H138" s="260"/>
      <c r="I138" s="260"/>
      <c r="J138" s="260"/>
      <c r="K138" s="260"/>
      <c r="L138" s="260"/>
      <c r="M138" s="260"/>
      <c r="N138" s="260"/>
      <c r="O138" s="260"/>
      <c r="P138" s="260"/>
      <c r="Q138" s="260"/>
      <c r="R138" s="354"/>
      <c r="S138" s="261"/>
      <c r="T138" s="256"/>
    </row>
    <row r="139" spans="1:20" x14ac:dyDescent="0.3">
      <c r="A139" s="258"/>
      <c r="B139" s="392" t="s">
        <v>34</v>
      </c>
      <c r="C139" s="260"/>
      <c r="D139" s="260"/>
      <c r="E139" s="260"/>
      <c r="F139" s="260"/>
      <c r="G139" s="260"/>
      <c r="H139" s="260"/>
      <c r="I139" s="260"/>
      <c r="J139" s="260"/>
      <c r="K139" s="260"/>
      <c r="L139" s="260"/>
      <c r="M139" s="260"/>
      <c r="N139" s="260"/>
      <c r="O139" s="260"/>
      <c r="P139" s="260"/>
      <c r="Q139" s="260"/>
      <c r="R139" s="354"/>
      <c r="S139" s="261"/>
      <c r="T139" s="256"/>
    </row>
    <row r="140" spans="1:20" s="274" customFormat="1" x14ac:dyDescent="0.3">
      <c r="A140" s="300"/>
      <c r="B140" s="293" t="s">
        <v>35</v>
      </c>
      <c r="C140" s="293"/>
      <c r="D140" s="293"/>
      <c r="E140" s="293"/>
      <c r="F140" s="293"/>
      <c r="G140" s="293"/>
      <c r="H140" s="293"/>
      <c r="I140" s="293"/>
      <c r="J140" s="293"/>
      <c r="K140" s="293"/>
      <c r="L140" s="293"/>
      <c r="M140" s="293"/>
      <c r="N140" s="293"/>
      <c r="O140" s="293"/>
      <c r="P140" s="293"/>
      <c r="Q140" s="293"/>
      <c r="R140" s="361">
        <v>8753</v>
      </c>
      <c r="S140" s="296"/>
      <c r="T140" s="273"/>
    </row>
    <row r="141" spans="1:20" s="274" customFormat="1" x14ac:dyDescent="0.3">
      <c r="A141" s="300"/>
      <c r="B141" s="293" t="s">
        <v>36</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169</v>
      </c>
      <c r="C142" s="293"/>
      <c r="D142" s="293"/>
      <c r="E142" s="293"/>
      <c r="F142" s="293"/>
      <c r="G142" s="293"/>
      <c r="H142" s="293"/>
      <c r="I142" s="293"/>
      <c r="J142" s="293"/>
      <c r="K142" s="293"/>
      <c r="L142" s="293"/>
      <c r="M142" s="293"/>
      <c r="N142" s="293"/>
      <c r="O142" s="293"/>
      <c r="P142" s="293"/>
      <c r="Q142" s="293"/>
      <c r="R142" s="361">
        <f>R140-R143</f>
        <v>8753</v>
      </c>
      <c r="S142" s="296"/>
      <c r="T142" s="273"/>
    </row>
    <row r="143" spans="1:20" s="274" customFormat="1" x14ac:dyDescent="0.3">
      <c r="A143" s="300"/>
      <c r="B143" s="293" t="s">
        <v>209</v>
      </c>
      <c r="C143" s="293"/>
      <c r="D143" s="293"/>
      <c r="E143" s="293"/>
      <c r="F143" s="293"/>
      <c r="G143" s="293"/>
      <c r="H143" s="293"/>
      <c r="I143" s="293"/>
      <c r="J143" s="293"/>
      <c r="K143" s="293"/>
      <c r="L143" s="293"/>
      <c r="M143" s="293"/>
      <c r="N143" s="293"/>
      <c r="O143" s="293"/>
      <c r="P143" s="293"/>
      <c r="Q143" s="293"/>
      <c r="R143" s="361">
        <f>SUM(D33:J33)*0.025</f>
        <v>0</v>
      </c>
      <c r="S143" s="296"/>
      <c r="T143" s="273"/>
    </row>
    <row r="144" spans="1:20" s="274" customFormat="1" x14ac:dyDescent="0.3">
      <c r="A144" s="300"/>
      <c r="B144" s="293" t="s">
        <v>304</v>
      </c>
      <c r="C144" s="293"/>
      <c r="D144" s="293"/>
      <c r="E144" s="293"/>
      <c r="F144" s="293"/>
      <c r="G144" s="293"/>
      <c r="H144" s="293"/>
      <c r="I144" s="293"/>
      <c r="J144" s="293"/>
      <c r="K144" s="293"/>
      <c r="L144" s="293"/>
      <c r="M144" s="293"/>
      <c r="N144" s="293"/>
      <c r="O144" s="293"/>
      <c r="P144" s="293"/>
      <c r="Q144" s="293"/>
      <c r="R144" s="361">
        <v>-8753</v>
      </c>
      <c r="S144" s="296"/>
      <c r="T144" s="273"/>
    </row>
    <row r="145" spans="1:21" s="274" customFormat="1" x14ac:dyDescent="0.3">
      <c r="A145" s="300"/>
      <c r="B145" s="293" t="s">
        <v>108</v>
      </c>
      <c r="C145" s="293"/>
      <c r="D145" s="293"/>
      <c r="E145" s="293"/>
      <c r="F145" s="293"/>
      <c r="G145" s="293"/>
      <c r="H145" s="293"/>
      <c r="I145" s="293"/>
      <c r="J145" s="293"/>
      <c r="K145" s="293"/>
      <c r="L145" s="293"/>
      <c r="M145" s="293"/>
      <c r="N145" s="293"/>
      <c r="O145" s="293"/>
      <c r="P145" s="293"/>
      <c r="Q145" s="293"/>
      <c r="R145" s="361"/>
      <c r="S145" s="296"/>
      <c r="T145" s="273"/>
    </row>
    <row r="146" spans="1:21" s="274" customFormat="1" x14ac:dyDescent="0.3">
      <c r="A146" s="300"/>
      <c r="B146" s="293" t="s">
        <v>155</v>
      </c>
      <c r="C146" s="293"/>
      <c r="D146" s="293"/>
      <c r="E146" s="293"/>
      <c r="F146" s="293"/>
      <c r="G146" s="293"/>
      <c r="H146" s="293"/>
      <c r="I146" s="293"/>
      <c r="J146" s="293"/>
      <c r="K146" s="293"/>
      <c r="L146" s="293"/>
      <c r="M146" s="293"/>
      <c r="N146" s="293"/>
      <c r="O146" s="293"/>
      <c r="P146" s="293"/>
      <c r="Q146" s="293"/>
      <c r="R146" s="361">
        <v>0</v>
      </c>
      <c r="S146" s="296"/>
      <c r="T146" s="273"/>
    </row>
    <row r="147" spans="1:21" s="274" customFormat="1" x14ac:dyDescent="0.3">
      <c r="A147" s="300"/>
      <c r="B147" s="293" t="s">
        <v>188</v>
      </c>
      <c r="C147" s="293"/>
      <c r="D147" s="293"/>
      <c r="E147" s="293"/>
      <c r="F147" s="293"/>
      <c r="G147" s="293"/>
      <c r="H147" s="293"/>
      <c r="I147" s="293"/>
      <c r="J147" s="293"/>
      <c r="K147" s="293"/>
      <c r="L147" s="293"/>
      <c r="M147" s="293"/>
      <c r="N147" s="293"/>
      <c r="O147" s="293"/>
      <c r="P147" s="293"/>
      <c r="Q147" s="293"/>
      <c r="R147" s="361">
        <v>0</v>
      </c>
      <c r="S147" s="296"/>
      <c r="T147" s="273"/>
    </row>
    <row r="148" spans="1:21" s="274" customFormat="1" x14ac:dyDescent="0.3">
      <c r="A148" s="300"/>
      <c r="B148" s="293" t="s">
        <v>189</v>
      </c>
      <c r="C148" s="293"/>
      <c r="D148" s="293"/>
      <c r="E148" s="293"/>
      <c r="F148" s="293"/>
      <c r="G148" s="293"/>
      <c r="H148" s="293"/>
      <c r="I148" s="293"/>
      <c r="J148" s="293"/>
      <c r="K148" s="293"/>
      <c r="L148" s="293"/>
      <c r="M148" s="293"/>
      <c r="N148" s="293"/>
      <c r="O148" s="293"/>
      <c r="P148" s="293"/>
      <c r="Q148" s="293"/>
      <c r="R148" s="361">
        <v>0</v>
      </c>
      <c r="S148" s="296"/>
      <c r="T148" s="273"/>
    </row>
    <row r="149" spans="1:21" s="274" customFormat="1" x14ac:dyDescent="0.3">
      <c r="A149" s="300"/>
      <c r="B149" s="293" t="s">
        <v>37</v>
      </c>
      <c r="C149" s="293"/>
      <c r="D149" s="293"/>
      <c r="E149" s="293"/>
      <c r="F149" s="293"/>
      <c r="G149" s="293"/>
      <c r="H149" s="293"/>
      <c r="I149" s="293"/>
      <c r="J149" s="293"/>
      <c r="K149" s="293"/>
      <c r="L149" s="293"/>
      <c r="M149" s="293"/>
      <c r="N149" s="293"/>
      <c r="O149" s="293"/>
      <c r="P149" s="293"/>
      <c r="Q149" s="293"/>
      <c r="R149" s="361">
        <v>0</v>
      </c>
      <c r="S149" s="296"/>
      <c r="T149" s="273"/>
    </row>
    <row r="150" spans="1:21" s="274" customFormat="1" x14ac:dyDescent="0.3">
      <c r="A150" s="300"/>
      <c r="B150" s="293" t="s">
        <v>102</v>
      </c>
      <c r="C150" s="293"/>
      <c r="D150" s="293"/>
      <c r="E150" s="293"/>
      <c r="F150" s="293"/>
      <c r="G150" s="293"/>
      <c r="H150" s="293"/>
      <c r="I150" s="293"/>
      <c r="J150" s="293"/>
      <c r="K150" s="293"/>
      <c r="L150" s="293"/>
      <c r="M150" s="293"/>
      <c r="N150" s="293"/>
      <c r="O150" s="293"/>
      <c r="P150" s="293"/>
      <c r="Q150" s="293"/>
      <c r="R150" s="361">
        <v>0</v>
      </c>
      <c r="S150" s="296"/>
      <c r="T150" s="273"/>
    </row>
    <row r="151" spans="1:21" s="274" customFormat="1" x14ac:dyDescent="0.3">
      <c r="A151" s="300"/>
      <c r="B151" s="293" t="s">
        <v>271</v>
      </c>
      <c r="C151" s="293"/>
      <c r="D151" s="293"/>
      <c r="E151" s="293"/>
      <c r="F151" s="293"/>
      <c r="G151" s="293"/>
      <c r="H151" s="293"/>
      <c r="I151" s="293"/>
      <c r="J151" s="293"/>
      <c r="K151" s="293"/>
      <c r="L151" s="293"/>
      <c r="M151" s="293"/>
      <c r="N151" s="293"/>
      <c r="O151" s="293"/>
      <c r="P151" s="293"/>
      <c r="Q151" s="293"/>
      <c r="R151" s="361">
        <v>0</v>
      </c>
      <c r="S151" s="296"/>
      <c r="T151" s="273"/>
      <c r="U151" s="382"/>
    </row>
    <row r="152" spans="1:21" s="274" customFormat="1" x14ac:dyDescent="0.3">
      <c r="A152" s="300"/>
      <c r="B152" s="293" t="s">
        <v>38</v>
      </c>
      <c r="C152" s="293"/>
      <c r="D152" s="293"/>
      <c r="E152" s="293"/>
      <c r="F152" s="293"/>
      <c r="G152" s="293"/>
      <c r="H152" s="293"/>
      <c r="I152" s="293"/>
      <c r="J152" s="293"/>
      <c r="K152" s="293"/>
      <c r="L152" s="293"/>
      <c r="M152" s="293"/>
      <c r="N152" s="293"/>
      <c r="O152" s="293"/>
      <c r="P152" s="293"/>
      <c r="Q152" s="293"/>
      <c r="R152" s="361">
        <f>SUM(R141:R151)</f>
        <v>0</v>
      </c>
      <c r="S152" s="296"/>
      <c r="T152" s="273"/>
    </row>
    <row r="153" spans="1:21" x14ac:dyDescent="0.3">
      <c r="A153" s="258"/>
      <c r="B153" s="362"/>
      <c r="C153" s="362"/>
      <c r="D153" s="362"/>
      <c r="E153" s="362"/>
      <c r="F153" s="362"/>
      <c r="G153" s="362"/>
      <c r="H153" s="362"/>
      <c r="I153" s="362"/>
      <c r="J153" s="362"/>
      <c r="K153" s="362"/>
      <c r="L153" s="362"/>
      <c r="M153" s="362"/>
      <c r="N153" s="362"/>
      <c r="O153" s="362"/>
      <c r="P153" s="362"/>
      <c r="Q153" s="362"/>
      <c r="R153" s="393"/>
      <c r="S153" s="261"/>
      <c r="T153" s="256"/>
    </row>
    <row r="154" spans="1:21" x14ac:dyDescent="0.3">
      <c r="A154" s="258"/>
      <c r="B154" s="392" t="s">
        <v>202</v>
      </c>
      <c r="C154" s="260"/>
      <c r="D154" s="260"/>
      <c r="E154" s="260"/>
      <c r="F154" s="260"/>
      <c r="G154" s="260"/>
      <c r="H154" s="260"/>
      <c r="I154" s="260"/>
      <c r="J154" s="260"/>
      <c r="K154" s="260"/>
      <c r="L154" s="260"/>
      <c r="M154" s="260"/>
      <c r="N154" s="260"/>
      <c r="O154" s="260"/>
      <c r="P154" s="260"/>
      <c r="Q154" s="260"/>
      <c r="R154" s="354"/>
      <c r="S154" s="261"/>
      <c r="T154" s="256"/>
    </row>
    <row r="155" spans="1:21" s="274" customFormat="1" x14ac:dyDescent="0.3">
      <c r="A155" s="300"/>
      <c r="B155" s="293" t="s">
        <v>168</v>
      </c>
      <c r="C155" s="293"/>
      <c r="D155" s="293"/>
      <c r="E155" s="293"/>
      <c r="F155" s="293"/>
      <c r="G155" s="293"/>
      <c r="H155" s="293"/>
      <c r="I155" s="293"/>
      <c r="J155" s="293"/>
      <c r="K155" s="293"/>
      <c r="L155" s="293"/>
      <c r="M155" s="293"/>
      <c r="N155" s="293"/>
      <c r="O155" s="293"/>
      <c r="P155" s="293"/>
      <c r="Q155" s="293"/>
      <c r="R155" s="361">
        <f>+F77</f>
        <v>0</v>
      </c>
      <c r="S155" s="296"/>
      <c r="T155" s="273"/>
    </row>
    <row r="156" spans="1:21" s="274" customFormat="1" x14ac:dyDescent="0.3">
      <c r="A156" s="300"/>
      <c r="B156" s="293" t="s">
        <v>190</v>
      </c>
      <c r="C156" s="293"/>
      <c r="D156" s="293"/>
      <c r="E156" s="293"/>
      <c r="F156" s="293"/>
      <c r="G156" s="293"/>
      <c r="H156" s="293"/>
      <c r="I156" s="293"/>
      <c r="J156" s="293"/>
      <c r="K156" s="293"/>
      <c r="L156" s="293"/>
      <c r="M156" s="293"/>
      <c r="N156" s="293"/>
      <c r="O156" s="293"/>
      <c r="P156" s="293"/>
      <c r="Q156" s="293"/>
      <c r="R156" s="361">
        <f>+J77</f>
        <v>0</v>
      </c>
      <c r="S156" s="296"/>
      <c r="T156" s="273"/>
    </row>
    <row r="157" spans="1:21" s="274" customFormat="1" x14ac:dyDescent="0.3">
      <c r="A157" s="300"/>
      <c r="B157" s="293" t="s">
        <v>204</v>
      </c>
      <c r="C157" s="293"/>
      <c r="D157" s="293"/>
      <c r="E157" s="293"/>
      <c r="F157" s="293"/>
      <c r="G157" s="293"/>
      <c r="H157" s="293"/>
      <c r="I157" s="293"/>
      <c r="J157" s="293"/>
      <c r="K157" s="293"/>
      <c r="L157" s="293"/>
      <c r="M157" s="293"/>
      <c r="N157" s="293"/>
      <c r="O157" s="293"/>
      <c r="P157" s="293"/>
      <c r="Q157" s="293"/>
      <c r="R157" s="361">
        <f>R155+R156</f>
        <v>0</v>
      </c>
      <c r="S157" s="296"/>
      <c r="T157" s="273"/>
    </row>
    <row r="158" spans="1:21" x14ac:dyDescent="0.3">
      <c r="A158" s="258"/>
      <c r="B158" s="394"/>
      <c r="C158" s="394"/>
      <c r="D158" s="394"/>
      <c r="E158" s="394"/>
      <c r="F158" s="394"/>
      <c r="G158" s="394"/>
      <c r="H158" s="394"/>
      <c r="I158" s="394"/>
      <c r="J158" s="394"/>
      <c r="K158" s="394"/>
      <c r="L158" s="394"/>
      <c r="M158" s="394"/>
      <c r="N158" s="394"/>
      <c r="O158" s="394"/>
      <c r="P158" s="394"/>
      <c r="Q158" s="394"/>
      <c r="R158" s="395"/>
      <c r="S158" s="261"/>
      <c r="T158" s="256"/>
    </row>
    <row r="159" spans="1:21" x14ac:dyDescent="0.3">
      <c r="A159" s="258"/>
      <c r="B159" s="392" t="s">
        <v>210</v>
      </c>
      <c r="C159" s="394"/>
      <c r="D159" s="394"/>
      <c r="E159" s="394"/>
      <c r="F159" s="394"/>
      <c r="G159" s="394"/>
      <c r="H159" s="394"/>
      <c r="I159" s="394"/>
      <c r="J159" s="394"/>
      <c r="K159" s="394"/>
      <c r="L159" s="394"/>
      <c r="M159" s="394"/>
      <c r="N159" s="394"/>
      <c r="O159" s="394"/>
      <c r="P159" s="394"/>
      <c r="Q159" s="394"/>
      <c r="R159" s="395"/>
      <c r="S159" s="261"/>
      <c r="T159" s="256"/>
    </row>
    <row r="160" spans="1:21" s="274" customFormat="1" x14ac:dyDescent="0.3">
      <c r="A160" s="396"/>
      <c r="B160" s="397" t="s">
        <v>279</v>
      </c>
      <c r="C160" s="397"/>
      <c r="D160" s="397"/>
      <c r="E160" s="397"/>
      <c r="F160" s="397"/>
      <c r="G160" s="397"/>
      <c r="H160" s="397"/>
      <c r="I160" s="397"/>
      <c r="J160" s="397"/>
      <c r="K160" s="397"/>
      <c r="L160" s="397"/>
      <c r="M160" s="397"/>
      <c r="N160" s="397"/>
      <c r="O160" s="397"/>
      <c r="P160" s="397"/>
      <c r="Q160" s="397"/>
      <c r="R160" s="398">
        <v>0</v>
      </c>
      <c r="S160" s="399"/>
      <c r="T160" s="273"/>
    </row>
    <row r="161" spans="1:252" s="274" customFormat="1" x14ac:dyDescent="0.3">
      <c r="A161" s="396"/>
      <c r="B161" s="397" t="s">
        <v>212</v>
      </c>
      <c r="C161" s="397"/>
      <c r="D161" s="397"/>
      <c r="E161" s="397"/>
      <c r="F161" s="397"/>
      <c r="G161" s="397"/>
      <c r="H161" s="397"/>
      <c r="I161" s="397"/>
      <c r="J161" s="397"/>
      <c r="K161" s="397"/>
      <c r="L161" s="397"/>
      <c r="M161" s="397"/>
      <c r="N161" s="397"/>
      <c r="O161" s="397"/>
      <c r="P161" s="397"/>
      <c r="Q161" s="397"/>
      <c r="R161" s="398">
        <f>P86</f>
        <v>0</v>
      </c>
      <c r="S161" s="399"/>
      <c r="T161" s="273"/>
    </row>
    <row r="162" spans="1:252" s="274" customFormat="1" x14ac:dyDescent="0.3">
      <c r="A162" s="396"/>
      <c r="B162" s="397" t="s">
        <v>213</v>
      </c>
      <c r="C162" s="397"/>
      <c r="D162" s="397"/>
      <c r="E162" s="397"/>
      <c r="F162" s="397"/>
      <c r="G162" s="397"/>
      <c r="H162" s="397"/>
      <c r="I162" s="397"/>
      <c r="J162" s="397"/>
      <c r="K162" s="397"/>
      <c r="L162" s="397"/>
      <c r="M162" s="397"/>
      <c r="N162" s="397"/>
      <c r="O162" s="397"/>
      <c r="P162" s="397"/>
      <c r="Q162" s="397"/>
      <c r="R162" s="398">
        <v>0</v>
      </c>
      <c r="S162" s="399"/>
      <c r="T162" s="273"/>
    </row>
    <row r="163" spans="1:252" s="274" customFormat="1" x14ac:dyDescent="0.3">
      <c r="A163" s="396"/>
      <c r="B163" s="397" t="s">
        <v>214</v>
      </c>
      <c r="C163" s="397"/>
      <c r="D163" s="397"/>
      <c r="E163" s="397"/>
      <c r="F163" s="397"/>
      <c r="G163" s="397"/>
      <c r="H163" s="397"/>
      <c r="I163" s="397"/>
      <c r="J163" s="397"/>
      <c r="K163" s="397"/>
      <c r="L163" s="397"/>
      <c r="M163" s="397"/>
      <c r="N163" s="397"/>
      <c r="O163" s="397"/>
      <c r="P163" s="397"/>
      <c r="Q163" s="397"/>
      <c r="R163" s="398">
        <f>R160+R161+R162</f>
        <v>0</v>
      </c>
      <c r="S163" s="399"/>
      <c r="T163" s="273"/>
    </row>
    <row r="164" spans="1:252" x14ac:dyDescent="0.3">
      <c r="A164" s="258"/>
      <c r="B164" s="362"/>
      <c r="C164" s="362"/>
      <c r="D164" s="362"/>
      <c r="E164" s="362"/>
      <c r="F164" s="362"/>
      <c r="G164" s="362"/>
      <c r="H164" s="362"/>
      <c r="I164" s="362"/>
      <c r="J164" s="362"/>
      <c r="K164" s="362"/>
      <c r="L164" s="362"/>
      <c r="M164" s="362"/>
      <c r="N164" s="362"/>
      <c r="O164" s="362"/>
      <c r="P164" s="362"/>
      <c r="Q164" s="362"/>
      <c r="R164" s="393"/>
      <c r="S164" s="261"/>
      <c r="T164" s="256"/>
    </row>
    <row r="165" spans="1:252" x14ac:dyDescent="0.3">
      <c r="A165" s="258"/>
      <c r="B165" s="392" t="s">
        <v>39</v>
      </c>
      <c r="C165" s="260"/>
      <c r="D165" s="260"/>
      <c r="E165" s="260"/>
      <c r="F165" s="260"/>
      <c r="G165" s="260"/>
      <c r="H165" s="260"/>
      <c r="I165" s="260"/>
      <c r="J165" s="260"/>
      <c r="K165" s="260"/>
      <c r="L165" s="260"/>
      <c r="M165" s="260"/>
      <c r="N165" s="260"/>
      <c r="O165" s="260"/>
      <c r="P165" s="260"/>
      <c r="Q165" s="260"/>
      <c r="R165" s="400"/>
      <c r="S165" s="261"/>
      <c r="T165" s="256"/>
    </row>
    <row r="166" spans="1:252" s="274" customFormat="1" x14ac:dyDescent="0.3">
      <c r="A166" s="300"/>
      <c r="B166" s="293" t="s">
        <v>40</v>
      </c>
      <c r="C166" s="293"/>
      <c r="D166" s="293"/>
      <c r="E166" s="293"/>
      <c r="F166" s="293"/>
      <c r="G166" s="293"/>
      <c r="H166" s="293"/>
      <c r="I166" s="293"/>
      <c r="J166" s="293"/>
      <c r="K166" s="293"/>
      <c r="L166" s="293"/>
      <c r="M166" s="293"/>
      <c r="N166" s="293"/>
      <c r="O166" s="293"/>
      <c r="P166" s="293"/>
      <c r="Q166" s="293"/>
      <c r="R166" s="361">
        <v>0</v>
      </c>
      <c r="S166" s="296"/>
      <c r="T166" s="273"/>
    </row>
    <row r="167" spans="1:252" s="274" customFormat="1" x14ac:dyDescent="0.3">
      <c r="A167" s="300"/>
      <c r="B167" s="293" t="s">
        <v>41</v>
      </c>
      <c r="C167" s="293"/>
      <c r="D167" s="293"/>
      <c r="E167" s="293"/>
      <c r="F167" s="293"/>
      <c r="G167" s="293"/>
      <c r="H167" s="293"/>
      <c r="I167" s="293"/>
      <c r="J167" s="293"/>
      <c r="K167" s="293"/>
      <c r="L167" s="293"/>
      <c r="M167" s="293"/>
      <c r="N167" s="293"/>
      <c r="O167" s="293"/>
      <c r="P167" s="293"/>
      <c r="Q167" s="293"/>
      <c r="R167" s="361">
        <v>0</v>
      </c>
      <c r="S167" s="296"/>
      <c r="T167" s="273"/>
    </row>
    <row r="168" spans="1:252" s="274" customFormat="1" x14ac:dyDescent="0.3">
      <c r="A168" s="300"/>
      <c r="B168" s="293" t="s">
        <v>42</v>
      </c>
      <c r="C168" s="293"/>
      <c r="D168" s="293"/>
      <c r="E168" s="293"/>
      <c r="F168" s="293"/>
      <c r="G168" s="293"/>
      <c r="H168" s="293"/>
      <c r="I168" s="293"/>
      <c r="J168" s="293"/>
      <c r="K168" s="293"/>
      <c r="L168" s="293"/>
      <c r="M168" s="293"/>
      <c r="N168" s="293"/>
      <c r="O168" s="293"/>
      <c r="P168" s="293"/>
      <c r="Q168" s="293"/>
      <c r="R168" s="361">
        <f>R167+R166</f>
        <v>0</v>
      </c>
      <c r="S168" s="296"/>
      <c r="T168" s="273"/>
    </row>
    <row r="169" spans="1:252" s="274" customFormat="1" x14ac:dyDescent="0.3">
      <c r="A169" s="300"/>
      <c r="B169" s="293" t="s">
        <v>173</v>
      </c>
      <c r="C169" s="293"/>
      <c r="D169" s="293"/>
      <c r="E169" s="293"/>
      <c r="F169" s="293"/>
      <c r="G169" s="293"/>
      <c r="H169" s="293"/>
      <c r="I169" s="293"/>
      <c r="J169" s="293"/>
      <c r="K169" s="293"/>
      <c r="L169" s="293"/>
      <c r="M169" s="293"/>
      <c r="N169" s="293"/>
      <c r="O169" s="293"/>
      <c r="P169" s="293"/>
      <c r="Q169" s="293"/>
      <c r="R169" s="361">
        <f>R112</f>
        <v>0</v>
      </c>
      <c r="S169" s="296"/>
      <c r="T169" s="273"/>
    </row>
    <row r="170" spans="1:252" s="274" customFormat="1" x14ac:dyDescent="0.3">
      <c r="A170" s="300"/>
      <c r="B170" s="293" t="s">
        <v>43</v>
      </c>
      <c r="C170" s="293"/>
      <c r="D170" s="293"/>
      <c r="E170" s="293"/>
      <c r="F170" s="293"/>
      <c r="G170" s="293"/>
      <c r="H170" s="293"/>
      <c r="I170" s="293"/>
      <c r="J170" s="293"/>
      <c r="K170" s="293"/>
      <c r="L170" s="293"/>
      <c r="M170" s="293"/>
      <c r="N170" s="293"/>
      <c r="O170" s="293"/>
      <c r="P170" s="293"/>
      <c r="Q170" s="293"/>
      <c r="R170" s="361">
        <f>R168+R169</f>
        <v>0</v>
      </c>
      <c r="S170" s="296"/>
      <c r="T170" s="273"/>
    </row>
    <row r="171" spans="1:252" s="274" customFormat="1" x14ac:dyDescent="0.3">
      <c r="A171" s="300"/>
      <c r="B171" s="293" t="s">
        <v>150</v>
      </c>
      <c r="C171" s="293"/>
      <c r="D171" s="293"/>
      <c r="E171" s="293"/>
      <c r="F171" s="293"/>
      <c r="G171" s="293"/>
      <c r="H171" s="293"/>
      <c r="I171" s="293"/>
      <c r="J171" s="293"/>
      <c r="K171" s="293"/>
      <c r="L171" s="293"/>
      <c r="M171" s="293"/>
      <c r="N171" s="293"/>
      <c r="O171" s="293"/>
      <c r="P171" s="293"/>
      <c r="Q171" s="293"/>
      <c r="R171" s="361">
        <f>-R100</f>
        <v>0</v>
      </c>
      <c r="S171" s="296"/>
      <c r="T171" s="273"/>
    </row>
    <row r="172" spans="1:252" ht="16.2" thickBot="1" x14ac:dyDescent="0.35">
      <c r="A172" s="258"/>
      <c r="B172" s="362"/>
      <c r="C172" s="362"/>
      <c r="D172" s="362"/>
      <c r="E172" s="362"/>
      <c r="F172" s="362"/>
      <c r="G172" s="362"/>
      <c r="H172" s="362"/>
      <c r="I172" s="362"/>
      <c r="J172" s="362"/>
      <c r="K172" s="362"/>
      <c r="L172" s="362"/>
      <c r="M172" s="362"/>
      <c r="N172" s="362"/>
      <c r="O172" s="362"/>
      <c r="P172" s="362"/>
      <c r="Q172" s="362"/>
      <c r="R172" s="393"/>
      <c r="S172" s="261"/>
      <c r="T172" s="256"/>
    </row>
    <row r="173" spans="1:252" x14ac:dyDescent="0.3">
      <c r="A173" s="252"/>
      <c r="B173" s="254"/>
      <c r="C173" s="254"/>
      <c r="D173" s="254"/>
      <c r="E173" s="254"/>
      <c r="F173" s="254"/>
      <c r="G173" s="254"/>
      <c r="H173" s="254"/>
      <c r="I173" s="254"/>
      <c r="J173" s="254"/>
      <c r="K173" s="254"/>
      <c r="L173" s="254"/>
      <c r="M173" s="254"/>
      <c r="N173" s="254"/>
      <c r="O173" s="254"/>
      <c r="P173" s="254"/>
      <c r="Q173" s="254"/>
      <c r="R173" s="401"/>
      <c r="S173" s="255"/>
      <c r="T173" s="256"/>
    </row>
    <row r="174" spans="1:252" s="403" customFormat="1" x14ac:dyDescent="0.3">
      <c r="A174" s="258"/>
      <c r="B174" s="392" t="s">
        <v>203</v>
      </c>
      <c r="C174" s="362"/>
      <c r="D174" s="362"/>
      <c r="E174" s="362"/>
      <c r="F174" s="362"/>
      <c r="G174" s="362"/>
      <c r="H174" s="362"/>
      <c r="I174" s="362"/>
      <c r="J174" s="362"/>
      <c r="K174" s="362"/>
      <c r="L174" s="362"/>
      <c r="M174" s="362"/>
      <c r="N174" s="362"/>
      <c r="O174" s="362"/>
      <c r="P174" s="362"/>
      <c r="Q174" s="362"/>
      <c r="R174" s="402"/>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4" customFormat="1" x14ac:dyDescent="0.3">
      <c r="A175" s="300"/>
      <c r="B175" s="293" t="s">
        <v>141</v>
      </c>
      <c r="C175" s="293"/>
      <c r="D175" s="293"/>
      <c r="E175" s="293"/>
      <c r="F175" s="293"/>
      <c r="G175" s="293"/>
      <c r="H175" s="293"/>
      <c r="I175" s="293"/>
      <c r="J175" s="293"/>
      <c r="K175" s="293"/>
      <c r="L175" s="293"/>
      <c r="M175" s="293"/>
      <c r="N175" s="293"/>
      <c r="O175" s="293"/>
      <c r="P175" s="293"/>
      <c r="Q175" s="293"/>
      <c r="R175" s="361">
        <f>+'Dec 19'!R176</f>
        <v>248</v>
      </c>
      <c r="S175" s="296"/>
      <c r="T175" s="273"/>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c r="IE175" s="274"/>
      <c r="IF175" s="274"/>
      <c r="IG175" s="274"/>
      <c r="IH175" s="274"/>
      <c r="II175" s="274"/>
      <c r="IJ175" s="274"/>
      <c r="IK175" s="274"/>
      <c r="IL175" s="274"/>
      <c r="IM175" s="274"/>
      <c r="IN175" s="274"/>
      <c r="IO175" s="274"/>
      <c r="IP175" s="274"/>
      <c r="IQ175" s="274"/>
      <c r="IR175" s="274"/>
    </row>
    <row r="176" spans="1:252" s="404" customFormat="1" x14ac:dyDescent="0.3">
      <c r="A176" s="300"/>
      <c r="B176" s="293" t="s">
        <v>282</v>
      </c>
      <c r="C176" s="293"/>
      <c r="D176" s="293"/>
      <c r="E176" s="293"/>
      <c r="F176" s="293"/>
      <c r="G176" s="293"/>
      <c r="H176" s="293"/>
      <c r="I176" s="293"/>
      <c r="J176" s="293"/>
      <c r="K176" s="293"/>
      <c r="L176" s="293"/>
      <c r="M176" s="293"/>
      <c r="N176" s="293"/>
      <c r="O176" s="293"/>
      <c r="P176" s="293"/>
      <c r="Q176" s="293"/>
      <c r="R176" s="361">
        <v>0</v>
      </c>
      <c r="S176" s="296"/>
      <c r="T176" s="273"/>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c r="IE176" s="274"/>
      <c r="IF176" s="274"/>
      <c r="IG176" s="274"/>
      <c r="IH176" s="274"/>
      <c r="II176" s="274"/>
      <c r="IJ176" s="274"/>
      <c r="IK176" s="274"/>
      <c r="IL176" s="274"/>
      <c r="IM176" s="274"/>
      <c r="IN176" s="274"/>
      <c r="IO176" s="274"/>
      <c r="IP176" s="274"/>
      <c r="IQ176" s="274"/>
      <c r="IR176" s="274"/>
    </row>
    <row r="177" spans="1:252" s="404" customFormat="1" x14ac:dyDescent="0.3">
      <c r="A177" s="300"/>
      <c r="B177" s="293" t="s">
        <v>144</v>
      </c>
      <c r="C177" s="293"/>
      <c r="D177" s="293"/>
      <c r="E177" s="293"/>
      <c r="F177" s="293"/>
      <c r="G177" s="293"/>
      <c r="H177" s="293"/>
      <c r="I177" s="293"/>
      <c r="J177" s="293"/>
      <c r="K177" s="293"/>
      <c r="L177" s="293"/>
      <c r="M177" s="293"/>
      <c r="N177" s="293"/>
      <c r="O177" s="293"/>
      <c r="P177" s="293"/>
      <c r="Q177" s="293"/>
      <c r="R177" s="361">
        <f>+R92</f>
        <v>248</v>
      </c>
      <c r="S177" s="296"/>
      <c r="T177" s="273"/>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c r="AZ177" s="274"/>
      <c r="BA177" s="274"/>
      <c r="BB177" s="274"/>
      <c r="BC177" s="274"/>
      <c r="BD177" s="274"/>
      <c r="BE177" s="274"/>
      <c r="BF177" s="274"/>
      <c r="BG177" s="274"/>
      <c r="BH177" s="274"/>
      <c r="BI177" s="274"/>
      <c r="BJ177" s="274"/>
      <c r="BK177" s="274"/>
      <c r="BL177" s="274"/>
      <c r="BM177" s="274"/>
      <c r="BN177" s="274"/>
      <c r="BO177" s="274"/>
      <c r="BP177" s="274"/>
      <c r="BQ177" s="274"/>
      <c r="BR177" s="274"/>
      <c r="BS177" s="274"/>
      <c r="BT177" s="274"/>
      <c r="BU177" s="274"/>
      <c r="BV177" s="274"/>
      <c r="BW177" s="274"/>
      <c r="BX177" s="274"/>
      <c r="BY177" s="274"/>
      <c r="BZ177" s="274"/>
      <c r="CA177" s="274"/>
      <c r="CB177" s="274"/>
      <c r="CC177" s="274"/>
      <c r="CD177" s="274"/>
      <c r="CE177" s="274"/>
      <c r="CF177" s="274"/>
      <c r="CG177" s="274"/>
      <c r="CH177" s="274"/>
      <c r="CI177" s="274"/>
      <c r="CJ177" s="274"/>
      <c r="CK177" s="274"/>
      <c r="CL177" s="274"/>
      <c r="CM177" s="274"/>
      <c r="CN177" s="274"/>
      <c r="CO177" s="274"/>
      <c r="CP177" s="274"/>
      <c r="CQ177" s="274"/>
      <c r="CR177" s="274"/>
      <c r="CS177" s="274"/>
      <c r="CT177" s="274"/>
      <c r="CU177" s="274"/>
      <c r="CV177" s="274"/>
      <c r="CW177" s="274"/>
      <c r="CX177" s="274"/>
      <c r="CY177" s="274"/>
      <c r="CZ177" s="274"/>
      <c r="DA177" s="274"/>
      <c r="DB177" s="274"/>
      <c r="DC177" s="274"/>
      <c r="DD177" s="274"/>
      <c r="DE177" s="274"/>
      <c r="DF177" s="274"/>
      <c r="DG177" s="274"/>
      <c r="DH177" s="274"/>
      <c r="DI177" s="274"/>
      <c r="DJ177" s="274"/>
      <c r="DK177" s="274"/>
      <c r="DL177" s="274"/>
      <c r="DM177" s="274"/>
      <c r="DN177" s="274"/>
      <c r="DO177" s="274"/>
      <c r="DP177" s="274"/>
      <c r="DQ177" s="274"/>
      <c r="DR177" s="274"/>
      <c r="DS177" s="274"/>
      <c r="DT177" s="274"/>
      <c r="DU177" s="274"/>
      <c r="DV177" s="274"/>
      <c r="DW177" s="274"/>
      <c r="DX177" s="274"/>
      <c r="DY177" s="274"/>
      <c r="DZ177" s="274"/>
      <c r="EA177" s="274"/>
      <c r="EB177" s="274"/>
      <c r="EC177" s="274"/>
      <c r="ED177" s="274"/>
      <c r="EE177" s="274"/>
      <c r="EF177" s="274"/>
      <c r="EG177" s="274"/>
      <c r="EH177" s="274"/>
      <c r="EI177" s="274"/>
      <c r="EJ177" s="274"/>
      <c r="EK177" s="274"/>
      <c r="EL177" s="274"/>
      <c r="EM177" s="274"/>
      <c r="EN177" s="274"/>
      <c r="EO177" s="274"/>
      <c r="EP177" s="274"/>
      <c r="EQ177" s="274"/>
      <c r="ER177" s="274"/>
      <c r="ES177" s="274"/>
      <c r="ET177" s="274"/>
      <c r="EU177" s="274"/>
      <c r="EV177" s="274"/>
      <c r="EW177" s="274"/>
      <c r="EX177" s="274"/>
      <c r="EY177" s="274"/>
      <c r="EZ177" s="274"/>
      <c r="FA177" s="274"/>
      <c r="FB177" s="274"/>
      <c r="FC177" s="274"/>
      <c r="FD177" s="274"/>
      <c r="FE177" s="274"/>
      <c r="FF177" s="274"/>
      <c r="FG177" s="274"/>
      <c r="FH177" s="274"/>
      <c r="FI177" s="274"/>
      <c r="FJ177" s="274"/>
      <c r="FK177" s="274"/>
      <c r="FL177" s="274"/>
      <c r="FM177" s="274"/>
      <c r="FN177" s="274"/>
      <c r="FO177" s="274"/>
      <c r="FP177" s="274"/>
      <c r="FQ177" s="274"/>
      <c r="FR177" s="274"/>
      <c r="FS177" s="274"/>
      <c r="FT177" s="274"/>
      <c r="FU177" s="274"/>
      <c r="FV177" s="274"/>
      <c r="FW177" s="274"/>
      <c r="FX177" s="274"/>
      <c r="FY177" s="274"/>
      <c r="FZ177" s="274"/>
      <c r="GA177" s="274"/>
      <c r="GB177" s="274"/>
      <c r="GC177" s="274"/>
      <c r="GD177" s="274"/>
      <c r="GE177" s="274"/>
      <c r="GF177" s="274"/>
      <c r="GG177" s="274"/>
      <c r="GH177" s="274"/>
      <c r="GI177" s="274"/>
      <c r="GJ177" s="274"/>
      <c r="GK177" s="274"/>
      <c r="GL177" s="274"/>
      <c r="GM177" s="274"/>
      <c r="GN177" s="274"/>
      <c r="GO177" s="274"/>
      <c r="GP177" s="274"/>
      <c r="GQ177" s="274"/>
      <c r="GR177" s="274"/>
      <c r="GS177" s="274"/>
      <c r="GT177" s="274"/>
      <c r="GU177" s="274"/>
      <c r="GV177" s="274"/>
      <c r="GW177" s="274"/>
      <c r="GX177" s="274"/>
      <c r="GY177" s="274"/>
      <c r="GZ177" s="274"/>
      <c r="HA177" s="274"/>
      <c r="HB177" s="274"/>
      <c r="HC177" s="274"/>
      <c r="HD177" s="274"/>
      <c r="HE177" s="274"/>
      <c r="HF177" s="274"/>
      <c r="HG177" s="274"/>
      <c r="HH177" s="274"/>
      <c r="HI177" s="274"/>
      <c r="HJ177" s="274"/>
      <c r="HK177" s="274"/>
      <c r="HL177" s="274"/>
      <c r="HM177" s="274"/>
      <c r="HN177" s="274"/>
      <c r="HO177" s="274"/>
      <c r="HP177" s="274"/>
      <c r="HQ177" s="274"/>
      <c r="HR177" s="274"/>
      <c r="HS177" s="274"/>
      <c r="HT177" s="274"/>
      <c r="HU177" s="274"/>
      <c r="HV177" s="274"/>
      <c r="HW177" s="274"/>
      <c r="HX177" s="274"/>
      <c r="HY177" s="274"/>
      <c r="HZ177" s="274"/>
      <c r="IA177" s="274"/>
      <c r="IB177" s="274"/>
      <c r="IC177" s="274"/>
      <c r="ID177" s="274"/>
      <c r="IE177" s="274"/>
      <c r="IF177" s="274"/>
      <c r="IG177" s="274"/>
      <c r="IH177" s="274"/>
      <c r="II177" s="274"/>
      <c r="IJ177" s="274"/>
      <c r="IK177" s="274"/>
      <c r="IL177" s="274"/>
      <c r="IM177" s="274"/>
      <c r="IN177" s="274"/>
      <c r="IO177" s="274"/>
      <c r="IP177" s="274"/>
      <c r="IQ177" s="274"/>
      <c r="IR177" s="274"/>
    </row>
    <row r="178" spans="1:252" s="404" customFormat="1" x14ac:dyDescent="0.3">
      <c r="A178" s="300"/>
      <c r="B178" s="293" t="s">
        <v>142</v>
      </c>
      <c r="C178" s="293"/>
      <c r="D178" s="293"/>
      <c r="E178" s="293"/>
      <c r="F178" s="293"/>
      <c r="G178" s="293"/>
      <c r="H178" s="293"/>
      <c r="I178" s="293"/>
      <c r="J178" s="293"/>
      <c r="K178" s="293"/>
      <c r="L178" s="293"/>
      <c r="M178" s="293"/>
      <c r="N178" s="293"/>
      <c r="O178" s="293"/>
      <c r="P178" s="293"/>
      <c r="Q178" s="293"/>
      <c r="R178" s="361">
        <f>+R175+R176-R177</f>
        <v>0</v>
      </c>
      <c r="S178" s="296"/>
      <c r="T178" s="273"/>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c r="AZ178" s="274"/>
      <c r="BA178" s="274"/>
      <c r="BB178" s="274"/>
      <c r="BC178" s="274"/>
      <c r="BD178" s="274"/>
      <c r="BE178" s="274"/>
      <c r="BF178" s="274"/>
      <c r="BG178" s="274"/>
      <c r="BH178" s="274"/>
      <c r="BI178" s="274"/>
      <c r="BJ178" s="274"/>
      <c r="BK178" s="274"/>
      <c r="BL178" s="274"/>
      <c r="BM178" s="274"/>
      <c r="BN178" s="274"/>
      <c r="BO178" s="274"/>
      <c r="BP178" s="274"/>
      <c r="BQ178" s="274"/>
      <c r="BR178" s="274"/>
      <c r="BS178" s="274"/>
      <c r="BT178" s="274"/>
      <c r="BU178" s="274"/>
      <c r="BV178" s="274"/>
      <c r="BW178" s="274"/>
      <c r="BX178" s="274"/>
      <c r="BY178" s="274"/>
      <c r="BZ178" s="274"/>
      <c r="CA178" s="274"/>
      <c r="CB178" s="274"/>
      <c r="CC178" s="274"/>
      <c r="CD178" s="274"/>
      <c r="CE178" s="274"/>
      <c r="CF178" s="274"/>
      <c r="CG178" s="274"/>
      <c r="CH178" s="274"/>
      <c r="CI178" s="274"/>
      <c r="CJ178" s="274"/>
      <c r="CK178" s="274"/>
      <c r="CL178" s="274"/>
      <c r="CM178" s="274"/>
      <c r="CN178" s="274"/>
      <c r="CO178" s="274"/>
      <c r="CP178" s="274"/>
      <c r="CQ178" s="274"/>
      <c r="CR178" s="274"/>
      <c r="CS178" s="274"/>
      <c r="CT178" s="274"/>
      <c r="CU178" s="274"/>
      <c r="CV178" s="274"/>
      <c r="CW178" s="274"/>
      <c r="CX178" s="274"/>
      <c r="CY178" s="274"/>
      <c r="CZ178" s="274"/>
      <c r="DA178" s="274"/>
      <c r="DB178" s="274"/>
      <c r="DC178" s="274"/>
      <c r="DD178" s="274"/>
      <c r="DE178" s="274"/>
      <c r="DF178" s="274"/>
      <c r="DG178" s="274"/>
      <c r="DH178" s="274"/>
      <c r="DI178" s="274"/>
      <c r="DJ178" s="274"/>
      <c r="DK178" s="274"/>
      <c r="DL178" s="274"/>
      <c r="DM178" s="274"/>
      <c r="DN178" s="274"/>
      <c r="DO178" s="274"/>
      <c r="DP178" s="274"/>
      <c r="DQ178" s="274"/>
      <c r="DR178" s="274"/>
      <c r="DS178" s="274"/>
      <c r="DT178" s="274"/>
      <c r="DU178" s="274"/>
      <c r="DV178" s="274"/>
      <c r="DW178" s="274"/>
      <c r="DX178" s="274"/>
      <c r="DY178" s="274"/>
      <c r="DZ178" s="274"/>
      <c r="EA178" s="274"/>
      <c r="EB178" s="274"/>
      <c r="EC178" s="274"/>
      <c r="ED178" s="274"/>
      <c r="EE178" s="274"/>
      <c r="EF178" s="274"/>
      <c r="EG178" s="274"/>
      <c r="EH178" s="274"/>
      <c r="EI178" s="274"/>
      <c r="EJ178" s="274"/>
      <c r="EK178" s="274"/>
      <c r="EL178" s="274"/>
      <c r="EM178" s="274"/>
      <c r="EN178" s="274"/>
      <c r="EO178" s="274"/>
      <c r="EP178" s="274"/>
      <c r="EQ178" s="274"/>
      <c r="ER178" s="274"/>
      <c r="ES178" s="274"/>
      <c r="ET178" s="274"/>
      <c r="EU178" s="274"/>
      <c r="EV178" s="274"/>
      <c r="EW178" s="274"/>
      <c r="EX178" s="274"/>
      <c r="EY178" s="274"/>
      <c r="EZ178" s="274"/>
      <c r="FA178" s="274"/>
      <c r="FB178" s="274"/>
      <c r="FC178" s="274"/>
      <c r="FD178" s="274"/>
      <c r="FE178" s="274"/>
      <c r="FF178" s="274"/>
      <c r="FG178" s="274"/>
      <c r="FH178" s="274"/>
      <c r="FI178" s="274"/>
      <c r="FJ178" s="274"/>
      <c r="FK178" s="274"/>
      <c r="FL178" s="274"/>
      <c r="FM178" s="274"/>
      <c r="FN178" s="274"/>
      <c r="FO178" s="274"/>
      <c r="FP178" s="274"/>
      <c r="FQ178" s="274"/>
      <c r="FR178" s="274"/>
      <c r="FS178" s="274"/>
      <c r="FT178" s="274"/>
      <c r="FU178" s="274"/>
      <c r="FV178" s="274"/>
      <c r="FW178" s="274"/>
      <c r="FX178" s="274"/>
      <c r="FY178" s="274"/>
      <c r="FZ178" s="274"/>
      <c r="GA178" s="274"/>
      <c r="GB178" s="274"/>
      <c r="GC178" s="274"/>
      <c r="GD178" s="274"/>
      <c r="GE178" s="274"/>
      <c r="GF178" s="274"/>
      <c r="GG178" s="274"/>
      <c r="GH178" s="274"/>
      <c r="GI178" s="274"/>
      <c r="GJ178" s="274"/>
      <c r="GK178" s="274"/>
      <c r="GL178" s="274"/>
      <c r="GM178" s="274"/>
      <c r="GN178" s="274"/>
      <c r="GO178" s="274"/>
      <c r="GP178" s="274"/>
      <c r="GQ178" s="274"/>
      <c r="GR178" s="274"/>
      <c r="GS178" s="274"/>
      <c r="GT178" s="274"/>
      <c r="GU178" s="274"/>
      <c r="GV178" s="274"/>
      <c r="GW178" s="274"/>
      <c r="GX178" s="274"/>
      <c r="GY178" s="274"/>
      <c r="GZ178" s="274"/>
      <c r="HA178" s="274"/>
      <c r="HB178" s="274"/>
      <c r="HC178" s="274"/>
      <c r="HD178" s="274"/>
      <c r="HE178" s="274"/>
      <c r="HF178" s="274"/>
      <c r="HG178" s="274"/>
      <c r="HH178" s="274"/>
      <c r="HI178" s="274"/>
      <c r="HJ178" s="274"/>
      <c r="HK178" s="274"/>
      <c r="HL178" s="274"/>
      <c r="HM178" s="274"/>
      <c r="HN178" s="274"/>
      <c r="HO178" s="274"/>
      <c r="HP178" s="274"/>
      <c r="HQ178" s="274"/>
      <c r="HR178" s="274"/>
      <c r="HS178" s="274"/>
      <c r="HT178" s="274"/>
      <c r="HU178" s="274"/>
      <c r="HV178" s="274"/>
      <c r="HW178" s="274"/>
      <c r="HX178" s="274"/>
      <c r="HY178" s="274"/>
      <c r="HZ178" s="274"/>
      <c r="IA178" s="274"/>
      <c r="IB178" s="274"/>
      <c r="IC178" s="274"/>
      <c r="ID178" s="274"/>
      <c r="IE178" s="274"/>
      <c r="IF178" s="274"/>
      <c r="IG178" s="274"/>
      <c r="IH178" s="274"/>
      <c r="II178" s="274"/>
      <c r="IJ178" s="274"/>
      <c r="IK178" s="274"/>
      <c r="IL178" s="274"/>
      <c r="IM178" s="274"/>
      <c r="IN178" s="274"/>
      <c r="IO178" s="274"/>
      <c r="IP178" s="274"/>
      <c r="IQ178" s="274"/>
      <c r="IR178" s="274"/>
    </row>
    <row r="179" spans="1:252" s="406" customFormat="1" ht="16.2" thickBot="1" x14ac:dyDescent="0.35">
      <c r="A179" s="405"/>
      <c r="B179" s="362"/>
      <c r="C179" s="362"/>
      <c r="D179" s="362"/>
      <c r="E179" s="362"/>
      <c r="F179" s="362"/>
      <c r="G179" s="362"/>
      <c r="H179" s="362"/>
      <c r="I179" s="362"/>
      <c r="J179" s="362"/>
      <c r="K179" s="362"/>
      <c r="L179" s="362"/>
      <c r="M179" s="362"/>
      <c r="N179" s="362"/>
      <c r="O179" s="362"/>
      <c r="P179" s="362"/>
      <c r="Q179" s="362"/>
      <c r="R179" s="393"/>
      <c r="S179" s="261"/>
      <c r="T179" s="256"/>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c r="CP179" s="257"/>
      <c r="CQ179" s="257"/>
      <c r="CR179" s="257"/>
      <c r="CS179" s="257"/>
      <c r="CT179" s="257"/>
      <c r="CU179" s="257"/>
      <c r="CV179" s="257"/>
      <c r="CW179" s="257"/>
      <c r="CX179" s="257"/>
      <c r="CY179" s="257"/>
      <c r="CZ179" s="257"/>
      <c r="DA179" s="257"/>
      <c r="DB179" s="257"/>
      <c r="DC179" s="257"/>
      <c r="DD179" s="257"/>
      <c r="DE179" s="257"/>
      <c r="DF179" s="257"/>
      <c r="DG179" s="257"/>
      <c r="DH179" s="257"/>
      <c r="DI179" s="257"/>
      <c r="DJ179" s="257"/>
      <c r="DK179" s="257"/>
      <c r="DL179" s="257"/>
      <c r="DM179" s="257"/>
      <c r="DN179" s="257"/>
      <c r="DO179" s="257"/>
      <c r="DP179" s="257"/>
      <c r="DQ179" s="257"/>
      <c r="DR179" s="257"/>
      <c r="DS179" s="257"/>
      <c r="DT179" s="257"/>
      <c r="DU179" s="257"/>
      <c r="DV179" s="257"/>
      <c r="DW179" s="257"/>
      <c r="DX179" s="257"/>
      <c r="DY179" s="257"/>
      <c r="DZ179" s="257"/>
      <c r="EA179" s="257"/>
      <c r="EB179" s="257"/>
      <c r="EC179" s="257"/>
      <c r="ED179" s="257"/>
      <c r="EE179" s="257"/>
      <c r="EF179" s="257"/>
      <c r="EG179" s="257"/>
      <c r="EH179" s="257"/>
      <c r="EI179" s="257"/>
      <c r="EJ179" s="257"/>
      <c r="EK179" s="257"/>
      <c r="EL179" s="257"/>
      <c r="EM179" s="257"/>
      <c r="EN179" s="257"/>
      <c r="EO179" s="257"/>
      <c r="EP179" s="257"/>
      <c r="EQ179" s="257"/>
      <c r="ER179" s="257"/>
      <c r="ES179" s="257"/>
      <c r="ET179" s="257"/>
      <c r="EU179" s="257"/>
      <c r="EV179" s="257"/>
      <c r="EW179" s="257"/>
      <c r="EX179" s="257"/>
      <c r="EY179" s="257"/>
      <c r="EZ179" s="257"/>
      <c r="FA179" s="257"/>
      <c r="FB179" s="257"/>
      <c r="FC179" s="257"/>
      <c r="FD179" s="257"/>
      <c r="FE179" s="257"/>
      <c r="FF179" s="257"/>
      <c r="FG179" s="257"/>
      <c r="FH179" s="257"/>
      <c r="FI179" s="257"/>
      <c r="FJ179" s="257"/>
      <c r="FK179" s="257"/>
      <c r="FL179" s="257"/>
      <c r="FM179" s="257"/>
      <c r="FN179" s="257"/>
      <c r="FO179" s="257"/>
      <c r="FP179" s="257"/>
      <c r="FQ179" s="257"/>
      <c r="FR179" s="257"/>
      <c r="FS179" s="257"/>
      <c r="FT179" s="257"/>
      <c r="FU179" s="257"/>
      <c r="FV179" s="257"/>
      <c r="FW179" s="257"/>
      <c r="FX179" s="257"/>
      <c r="FY179" s="257"/>
      <c r="FZ179" s="257"/>
      <c r="GA179" s="257"/>
      <c r="GB179" s="257"/>
      <c r="GC179" s="257"/>
      <c r="GD179" s="257"/>
      <c r="GE179" s="257"/>
      <c r="GF179" s="257"/>
      <c r="GG179" s="257"/>
      <c r="GH179" s="257"/>
      <c r="GI179" s="257"/>
      <c r="GJ179" s="257"/>
      <c r="GK179" s="257"/>
      <c r="GL179" s="257"/>
      <c r="GM179" s="257"/>
      <c r="GN179" s="257"/>
      <c r="GO179" s="257"/>
      <c r="GP179" s="257"/>
      <c r="GQ179" s="257"/>
      <c r="GR179" s="257"/>
      <c r="GS179" s="257"/>
      <c r="GT179" s="257"/>
      <c r="GU179" s="257"/>
      <c r="GV179" s="257"/>
      <c r="GW179" s="257"/>
      <c r="GX179" s="257"/>
      <c r="GY179" s="257"/>
      <c r="GZ179" s="257"/>
      <c r="HA179" s="257"/>
      <c r="HB179" s="257"/>
      <c r="HC179" s="257"/>
      <c r="HD179" s="257"/>
      <c r="HE179" s="257"/>
      <c r="HF179" s="257"/>
      <c r="HG179" s="257"/>
      <c r="HH179" s="257"/>
      <c r="HI179" s="257"/>
      <c r="HJ179" s="257"/>
      <c r="HK179" s="257"/>
      <c r="HL179" s="257"/>
      <c r="HM179" s="257"/>
      <c r="HN179" s="257"/>
      <c r="HO179" s="257"/>
      <c r="HP179" s="257"/>
      <c r="HQ179" s="257"/>
      <c r="HR179" s="257"/>
      <c r="HS179" s="257"/>
      <c r="HT179" s="257"/>
      <c r="HU179" s="257"/>
      <c r="HV179" s="257"/>
      <c r="HW179" s="257"/>
      <c r="HX179" s="257"/>
      <c r="HY179" s="257"/>
      <c r="HZ179" s="257"/>
      <c r="IA179" s="257"/>
      <c r="IB179" s="257"/>
      <c r="IC179" s="257"/>
      <c r="ID179" s="257"/>
      <c r="IE179" s="257"/>
      <c r="IF179" s="257"/>
      <c r="IG179" s="257"/>
      <c r="IH179" s="257"/>
      <c r="II179" s="257"/>
      <c r="IJ179" s="257"/>
      <c r="IK179" s="257"/>
      <c r="IL179" s="257"/>
      <c r="IM179" s="257"/>
      <c r="IN179" s="257"/>
      <c r="IO179" s="257"/>
      <c r="IP179" s="257"/>
      <c r="IQ179" s="257"/>
      <c r="IR179" s="257"/>
    </row>
    <row r="180" spans="1:252" s="407" customFormat="1" x14ac:dyDescent="0.3">
      <c r="A180" s="252"/>
      <c r="B180" s="254"/>
      <c r="C180" s="254"/>
      <c r="D180" s="254"/>
      <c r="E180" s="254"/>
      <c r="F180" s="254"/>
      <c r="G180" s="254"/>
      <c r="H180" s="254"/>
      <c r="I180" s="254"/>
      <c r="J180" s="254"/>
      <c r="K180" s="254"/>
      <c r="L180" s="254"/>
      <c r="M180" s="254"/>
      <c r="N180" s="254"/>
      <c r="O180" s="254"/>
      <c r="P180" s="254"/>
      <c r="Q180" s="254"/>
      <c r="R180" s="401"/>
      <c r="S180" s="255"/>
      <c r="T180" s="256"/>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c r="CP180" s="257"/>
      <c r="CQ180" s="257"/>
      <c r="CR180" s="257"/>
      <c r="CS180" s="257"/>
      <c r="CT180" s="257"/>
      <c r="CU180" s="257"/>
      <c r="CV180" s="257"/>
      <c r="CW180" s="257"/>
      <c r="CX180" s="257"/>
      <c r="CY180" s="257"/>
      <c r="CZ180" s="257"/>
      <c r="DA180" s="257"/>
      <c r="DB180" s="257"/>
      <c r="DC180" s="257"/>
      <c r="DD180" s="257"/>
      <c r="DE180" s="257"/>
      <c r="DF180" s="257"/>
      <c r="DG180" s="257"/>
      <c r="DH180" s="257"/>
      <c r="DI180" s="257"/>
      <c r="DJ180" s="257"/>
      <c r="DK180" s="257"/>
      <c r="DL180" s="257"/>
      <c r="DM180" s="257"/>
      <c r="DN180" s="257"/>
      <c r="DO180" s="257"/>
      <c r="DP180" s="257"/>
      <c r="DQ180" s="257"/>
      <c r="DR180" s="257"/>
      <c r="DS180" s="257"/>
      <c r="DT180" s="257"/>
      <c r="DU180" s="257"/>
      <c r="DV180" s="257"/>
      <c r="DW180" s="257"/>
      <c r="DX180" s="257"/>
      <c r="DY180" s="257"/>
      <c r="DZ180" s="257"/>
      <c r="EA180" s="257"/>
      <c r="EB180" s="257"/>
      <c r="EC180" s="257"/>
      <c r="ED180" s="257"/>
      <c r="EE180" s="257"/>
      <c r="EF180" s="257"/>
      <c r="EG180" s="257"/>
      <c r="EH180" s="257"/>
      <c r="EI180" s="257"/>
      <c r="EJ180" s="257"/>
      <c r="EK180" s="257"/>
      <c r="EL180" s="257"/>
      <c r="EM180" s="257"/>
      <c r="EN180" s="257"/>
      <c r="EO180" s="257"/>
      <c r="EP180" s="257"/>
      <c r="EQ180" s="257"/>
      <c r="ER180" s="257"/>
      <c r="ES180" s="257"/>
      <c r="ET180" s="257"/>
      <c r="EU180" s="257"/>
      <c r="EV180" s="257"/>
      <c r="EW180" s="257"/>
      <c r="EX180" s="257"/>
      <c r="EY180" s="257"/>
      <c r="EZ180" s="257"/>
      <c r="FA180" s="257"/>
      <c r="FB180" s="257"/>
      <c r="FC180" s="257"/>
      <c r="FD180" s="257"/>
      <c r="FE180" s="257"/>
      <c r="FF180" s="257"/>
      <c r="FG180" s="257"/>
      <c r="FH180" s="257"/>
      <c r="FI180" s="257"/>
      <c r="FJ180" s="257"/>
      <c r="FK180" s="257"/>
      <c r="FL180" s="257"/>
      <c r="FM180" s="257"/>
      <c r="FN180" s="257"/>
      <c r="FO180" s="257"/>
      <c r="FP180" s="257"/>
      <c r="FQ180" s="257"/>
      <c r="FR180" s="257"/>
      <c r="FS180" s="257"/>
      <c r="FT180" s="257"/>
      <c r="FU180" s="257"/>
      <c r="FV180" s="257"/>
      <c r="FW180" s="257"/>
      <c r="FX180" s="257"/>
      <c r="FY180" s="257"/>
      <c r="FZ180" s="257"/>
      <c r="GA180" s="257"/>
      <c r="GB180" s="257"/>
      <c r="GC180" s="257"/>
      <c r="GD180" s="257"/>
      <c r="GE180" s="257"/>
      <c r="GF180" s="257"/>
      <c r="GG180" s="257"/>
      <c r="GH180" s="257"/>
      <c r="GI180" s="257"/>
      <c r="GJ180" s="257"/>
      <c r="GK180" s="257"/>
      <c r="GL180" s="257"/>
      <c r="GM180" s="257"/>
      <c r="GN180" s="257"/>
      <c r="GO180" s="257"/>
      <c r="GP180" s="257"/>
      <c r="GQ180" s="257"/>
      <c r="GR180" s="257"/>
      <c r="GS180" s="257"/>
      <c r="GT180" s="257"/>
      <c r="GU180" s="257"/>
      <c r="GV180" s="257"/>
      <c r="GW180" s="257"/>
      <c r="GX180" s="257"/>
      <c r="GY180" s="257"/>
      <c r="GZ180" s="257"/>
      <c r="HA180" s="257"/>
      <c r="HB180" s="257"/>
      <c r="HC180" s="257"/>
      <c r="HD180" s="257"/>
      <c r="HE180" s="257"/>
      <c r="HF180" s="257"/>
      <c r="HG180" s="257"/>
      <c r="HH180" s="257"/>
      <c r="HI180" s="257"/>
      <c r="HJ180" s="257"/>
      <c r="HK180" s="257"/>
      <c r="HL180" s="257"/>
      <c r="HM180" s="257"/>
      <c r="HN180" s="257"/>
      <c r="HO180" s="257"/>
      <c r="HP180" s="257"/>
      <c r="HQ180" s="257"/>
      <c r="HR180" s="257"/>
      <c r="HS180" s="257"/>
      <c r="HT180" s="257"/>
      <c r="HU180" s="257"/>
      <c r="HV180" s="257"/>
      <c r="HW180" s="257"/>
      <c r="HX180" s="257"/>
      <c r="HY180" s="257"/>
      <c r="HZ180" s="257"/>
      <c r="IA180" s="257"/>
      <c r="IB180" s="257"/>
      <c r="IC180" s="257"/>
      <c r="ID180" s="257"/>
      <c r="IE180" s="257"/>
      <c r="IF180" s="257"/>
      <c r="IG180" s="257"/>
      <c r="IH180" s="257"/>
      <c r="II180" s="257"/>
      <c r="IJ180" s="257"/>
      <c r="IK180" s="257"/>
      <c r="IL180" s="257"/>
      <c r="IM180" s="257"/>
      <c r="IN180" s="257"/>
      <c r="IO180" s="257"/>
      <c r="IP180" s="257"/>
      <c r="IQ180" s="257"/>
      <c r="IR180" s="257"/>
    </row>
    <row r="181" spans="1:252" x14ac:dyDescent="0.3">
      <c r="A181" s="258"/>
      <c r="B181" s="392" t="s">
        <v>44</v>
      </c>
      <c r="C181" s="260"/>
      <c r="D181" s="260"/>
      <c r="E181" s="260"/>
      <c r="F181" s="260"/>
      <c r="G181" s="260"/>
      <c r="H181" s="260"/>
      <c r="I181" s="260"/>
      <c r="J181" s="260"/>
      <c r="K181" s="260"/>
      <c r="L181" s="260"/>
      <c r="M181" s="260"/>
      <c r="N181" s="260"/>
      <c r="O181" s="260"/>
      <c r="P181" s="260"/>
      <c r="Q181" s="260"/>
      <c r="R181" s="354"/>
      <c r="S181" s="261"/>
      <c r="T181" s="256"/>
    </row>
    <row r="182" spans="1:252" x14ac:dyDescent="0.3">
      <c r="A182" s="258"/>
      <c r="B182" s="391"/>
      <c r="C182" s="260"/>
      <c r="D182" s="260"/>
      <c r="E182" s="260"/>
      <c r="F182" s="260"/>
      <c r="G182" s="260"/>
      <c r="H182" s="260"/>
      <c r="I182" s="260"/>
      <c r="J182" s="260"/>
      <c r="K182" s="260"/>
      <c r="L182" s="260"/>
      <c r="M182" s="260"/>
      <c r="N182" s="260"/>
      <c r="O182" s="260"/>
      <c r="P182" s="260"/>
      <c r="Q182" s="260"/>
      <c r="R182" s="354"/>
      <c r="S182" s="261"/>
      <c r="T182" s="256"/>
    </row>
    <row r="183" spans="1:252" s="274" customFormat="1" x14ac:dyDescent="0.3">
      <c r="A183" s="300"/>
      <c r="B183" s="293" t="s">
        <v>171</v>
      </c>
      <c r="C183" s="293"/>
      <c r="D183" s="293"/>
      <c r="E183" s="293"/>
      <c r="F183" s="293"/>
      <c r="G183" s="293"/>
      <c r="H183" s="293"/>
      <c r="I183" s="293"/>
      <c r="J183" s="293"/>
      <c r="K183" s="293"/>
      <c r="L183" s="293"/>
      <c r="M183" s="293"/>
      <c r="N183" s="293"/>
      <c r="O183" s="293"/>
      <c r="P183" s="293"/>
      <c r="Q183" s="293"/>
      <c r="R183" s="361">
        <f>+R67</f>
        <v>0</v>
      </c>
      <c r="S183" s="296"/>
      <c r="T183" s="273"/>
    </row>
    <row r="184" spans="1:252" s="274" customFormat="1" x14ac:dyDescent="0.3">
      <c r="A184" s="300"/>
      <c r="B184" s="293" t="s">
        <v>172</v>
      </c>
      <c r="C184" s="293"/>
      <c r="D184" s="293"/>
      <c r="E184" s="293"/>
      <c r="F184" s="293"/>
      <c r="G184" s="293"/>
      <c r="H184" s="293"/>
      <c r="I184" s="293"/>
      <c r="J184" s="293"/>
      <c r="K184" s="293"/>
      <c r="L184" s="293"/>
      <c r="M184" s="293"/>
      <c r="N184" s="293"/>
      <c r="O184" s="293"/>
      <c r="P184" s="293"/>
      <c r="Q184" s="293"/>
      <c r="R184" s="361">
        <f>+R77</f>
        <v>0</v>
      </c>
      <c r="S184" s="296"/>
      <c r="T184" s="273"/>
    </row>
    <row r="185" spans="1:252" s="274" customFormat="1" x14ac:dyDescent="0.3">
      <c r="A185" s="300"/>
      <c r="B185" s="293" t="s">
        <v>215</v>
      </c>
      <c r="C185" s="293"/>
      <c r="D185" s="293"/>
      <c r="E185" s="293"/>
      <c r="F185" s="293"/>
      <c r="G185" s="293"/>
      <c r="H185" s="293"/>
      <c r="I185" s="293"/>
      <c r="J185" s="293"/>
      <c r="K185" s="293"/>
      <c r="L185" s="293"/>
      <c r="M185" s="293"/>
      <c r="N185" s="293"/>
      <c r="O185" s="293"/>
      <c r="P185" s="293"/>
      <c r="Q185" s="293"/>
      <c r="R185" s="361">
        <f>+R78</f>
        <v>0</v>
      </c>
      <c r="S185" s="296"/>
      <c r="T185" s="273"/>
    </row>
    <row r="186" spans="1:252" s="274" customFormat="1" x14ac:dyDescent="0.3">
      <c r="A186" s="300"/>
      <c r="B186" s="293" t="s">
        <v>126</v>
      </c>
      <c r="C186" s="293"/>
      <c r="D186" s="293"/>
      <c r="E186" s="293"/>
      <c r="F186" s="293"/>
      <c r="G186" s="293"/>
      <c r="H186" s="293"/>
      <c r="I186" s="293"/>
      <c r="J186" s="293"/>
      <c r="K186" s="293"/>
      <c r="L186" s="293"/>
      <c r="M186" s="293"/>
      <c r="N186" s="293"/>
      <c r="O186" s="293"/>
      <c r="P186" s="293"/>
      <c r="Q186" s="293"/>
      <c r="R186" s="361">
        <f>+R183+R184+R185</f>
        <v>0</v>
      </c>
      <c r="S186" s="296"/>
      <c r="T186" s="273"/>
    </row>
    <row r="187" spans="1:252" s="274" customFormat="1" x14ac:dyDescent="0.3">
      <c r="A187" s="300"/>
      <c r="B187" s="293" t="s">
        <v>45</v>
      </c>
      <c r="C187" s="293"/>
      <c r="D187" s="293"/>
      <c r="E187" s="293"/>
      <c r="F187" s="293"/>
      <c r="G187" s="293"/>
      <c r="H187" s="293"/>
      <c r="I187" s="293"/>
      <c r="J187" s="293"/>
      <c r="K187" s="293"/>
      <c r="L187" s="293"/>
      <c r="M187" s="293"/>
      <c r="N187" s="293"/>
      <c r="O187" s="293"/>
      <c r="P187" s="293"/>
      <c r="Q187" s="293"/>
      <c r="R187" s="361">
        <f>R80</f>
        <v>0</v>
      </c>
      <c r="S187" s="296"/>
      <c r="T187" s="273"/>
    </row>
    <row r="188" spans="1:252" ht="16.2" thickBot="1" x14ac:dyDescent="0.35">
      <c r="A188" s="258"/>
      <c r="B188" s="362"/>
      <c r="C188" s="362"/>
      <c r="D188" s="362"/>
      <c r="E188" s="362"/>
      <c r="F188" s="362"/>
      <c r="G188" s="362"/>
      <c r="H188" s="362"/>
      <c r="I188" s="362"/>
      <c r="J188" s="362"/>
      <c r="K188" s="362"/>
      <c r="L188" s="362"/>
      <c r="M188" s="362"/>
      <c r="N188" s="362"/>
      <c r="O188" s="362"/>
      <c r="P188" s="362"/>
      <c r="Q188" s="362"/>
      <c r="R188" s="393"/>
      <c r="S188" s="261"/>
      <c r="T188" s="256"/>
    </row>
    <row r="189" spans="1:252" x14ac:dyDescent="0.3">
      <c r="A189" s="252"/>
      <c r="B189" s="254"/>
      <c r="C189" s="254"/>
      <c r="D189" s="254"/>
      <c r="E189" s="254"/>
      <c r="F189" s="254"/>
      <c r="G189" s="254"/>
      <c r="H189" s="254"/>
      <c r="I189" s="254"/>
      <c r="J189" s="254"/>
      <c r="K189" s="254"/>
      <c r="L189" s="254"/>
      <c r="M189" s="254"/>
      <c r="N189" s="254"/>
      <c r="O189" s="254"/>
      <c r="P189" s="254"/>
      <c r="Q189" s="254"/>
      <c r="R189" s="401"/>
      <c r="S189" s="255"/>
      <c r="T189" s="256"/>
    </row>
    <row r="190" spans="1:252" s="324" customFormat="1" x14ac:dyDescent="0.3">
      <c r="A190" s="355"/>
      <c r="B190" s="392" t="s">
        <v>46</v>
      </c>
      <c r="C190" s="408"/>
      <c r="D190" s="409"/>
      <c r="E190" s="409"/>
      <c r="F190" s="409"/>
      <c r="G190" s="409"/>
      <c r="H190" s="409"/>
      <c r="I190" s="409"/>
      <c r="J190" s="409"/>
      <c r="K190" s="409"/>
      <c r="L190" s="409"/>
      <c r="M190" s="409"/>
      <c r="N190" s="409"/>
      <c r="O190" s="409" t="s">
        <v>82</v>
      </c>
      <c r="P190" s="409" t="s">
        <v>170</v>
      </c>
      <c r="Q190" s="263"/>
      <c r="R190" s="410" t="s">
        <v>94</v>
      </c>
      <c r="S190" s="411"/>
      <c r="T190" s="323"/>
    </row>
    <row r="191" spans="1:252" s="274" customFormat="1" x14ac:dyDescent="0.3">
      <c r="A191" s="300"/>
      <c r="B191" s="293" t="s">
        <v>47</v>
      </c>
      <c r="C191" s="293"/>
      <c r="D191" s="293"/>
      <c r="E191" s="293"/>
      <c r="F191" s="293"/>
      <c r="G191" s="293"/>
      <c r="H191" s="293"/>
      <c r="I191" s="293"/>
      <c r="J191" s="293"/>
      <c r="K191" s="293"/>
      <c r="L191" s="293"/>
      <c r="M191" s="293"/>
      <c r="N191" s="293"/>
      <c r="O191" s="361">
        <f>+R31*0.08</f>
        <v>28008.880000000001</v>
      </c>
      <c r="P191" s="332"/>
      <c r="Q191" s="293"/>
      <c r="R191" s="361"/>
      <c r="S191" s="296"/>
      <c r="T191" s="273"/>
    </row>
    <row r="192" spans="1:252" s="274" customFormat="1" x14ac:dyDescent="0.3">
      <c r="A192" s="300"/>
      <c r="B192" s="293" t="s">
        <v>48</v>
      </c>
      <c r="C192" s="293"/>
      <c r="D192" s="293"/>
      <c r="E192" s="293"/>
      <c r="F192" s="293"/>
      <c r="G192" s="293"/>
      <c r="H192" s="293"/>
      <c r="I192" s="293"/>
      <c r="J192" s="293"/>
      <c r="K192" s="293"/>
      <c r="L192" s="293"/>
      <c r="M192" s="293"/>
      <c r="N192" s="293"/>
      <c r="O192" s="361">
        <f>+'Dec 19'!O192</f>
        <v>497</v>
      </c>
      <c r="P192" s="361">
        <f>+'Dec 19'!P192</f>
        <v>727</v>
      </c>
      <c r="Q192" s="293"/>
      <c r="R192" s="361">
        <f>O192+P192</f>
        <v>1224</v>
      </c>
      <c r="S192" s="296"/>
      <c r="T192" s="273"/>
    </row>
    <row r="193" spans="1:20" s="274" customFormat="1" x14ac:dyDescent="0.3">
      <c r="A193" s="300"/>
      <c r="B193" s="293" t="s">
        <v>49</v>
      </c>
      <c r="C193" s="293"/>
      <c r="D193" s="293"/>
      <c r="E193" s="293"/>
      <c r="F193" s="293"/>
      <c r="G193" s="293"/>
      <c r="H193" s="293"/>
      <c r="I193" s="293"/>
      <c r="J193" s="293"/>
      <c r="K193" s="293"/>
      <c r="L193" s="293"/>
      <c r="M193" s="293"/>
      <c r="N193" s="293"/>
      <c r="O193" s="360">
        <v>0</v>
      </c>
      <c r="P193" s="360">
        <v>0</v>
      </c>
      <c r="Q193" s="293"/>
      <c r="R193" s="361">
        <f>O193+P193</f>
        <v>0</v>
      </c>
      <c r="S193" s="296"/>
      <c r="T193" s="273"/>
    </row>
    <row r="194" spans="1:20" s="274" customFormat="1" x14ac:dyDescent="0.3">
      <c r="A194" s="300"/>
      <c r="B194" s="293" t="s">
        <v>50</v>
      </c>
      <c r="C194" s="293"/>
      <c r="D194" s="293"/>
      <c r="E194" s="293"/>
      <c r="F194" s="293"/>
      <c r="G194" s="293"/>
      <c r="H194" s="293"/>
      <c r="I194" s="293"/>
      <c r="J194" s="293"/>
      <c r="K194" s="293"/>
      <c r="L194" s="293"/>
      <c r="M194" s="293"/>
      <c r="N194" s="293"/>
      <c r="O194" s="361">
        <f>O192+O193</f>
        <v>497</v>
      </c>
      <c r="P194" s="361">
        <f>P193+P192</f>
        <v>727</v>
      </c>
      <c r="Q194" s="293"/>
      <c r="R194" s="361">
        <f>O194+P194</f>
        <v>1224</v>
      </c>
      <c r="S194" s="296"/>
      <c r="T194" s="273"/>
    </row>
    <row r="195" spans="1:20" s="274" customFormat="1" x14ac:dyDescent="0.3">
      <c r="A195" s="300"/>
      <c r="B195" s="293" t="s">
        <v>51</v>
      </c>
      <c r="C195" s="293"/>
      <c r="D195" s="293"/>
      <c r="E195" s="293"/>
      <c r="F195" s="293"/>
      <c r="G195" s="293"/>
      <c r="H195" s="293"/>
      <c r="I195" s="293"/>
      <c r="J195" s="293"/>
      <c r="K195" s="293"/>
      <c r="L195" s="293"/>
      <c r="M195" s="293"/>
      <c r="N195" s="293"/>
      <c r="O195" s="361">
        <f>O191-O194-P194</f>
        <v>26784.880000000001</v>
      </c>
      <c r="P195" s="332"/>
      <c r="Q195" s="293"/>
      <c r="R195" s="361"/>
      <c r="S195" s="296"/>
      <c r="T195" s="273"/>
    </row>
    <row r="196" spans="1:20" ht="16.2" thickBot="1" x14ac:dyDescent="0.35">
      <c r="A196" s="258"/>
      <c r="B196" s="362"/>
      <c r="C196" s="362"/>
      <c r="D196" s="362"/>
      <c r="E196" s="362"/>
      <c r="F196" s="362"/>
      <c r="G196" s="362"/>
      <c r="H196" s="362"/>
      <c r="I196" s="362"/>
      <c r="J196" s="362"/>
      <c r="K196" s="362"/>
      <c r="L196" s="362"/>
      <c r="M196" s="362"/>
      <c r="N196" s="362"/>
      <c r="O196" s="362"/>
      <c r="P196" s="362"/>
      <c r="Q196" s="362"/>
      <c r="R196" s="393"/>
      <c r="S196" s="261"/>
      <c r="T196" s="256"/>
    </row>
    <row r="197" spans="1:20" x14ac:dyDescent="0.3">
      <c r="A197" s="252"/>
      <c r="B197" s="254"/>
      <c r="C197" s="254"/>
      <c r="D197" s="254"/>
      <c r="E197" s="254"/>
      <c r="F197" s="254"/>
      <c r="G197" s="254"/>
      <c r="H197" s="254"/>
      <c r="I197" s="254"/>
      <c r="J197" s="254"/>
      <c r="K197" s="254"/>
      <c r="L197" s="254"/>
      <c r="M197" s="254"/>
      <c r="N197" s="254"/>
      <c r="O197" s="254"/>
      <c r="P197" s="254"/>
      <c r="Q197" s="254"/>
      <c r="R197" s="401"/>
      <c r="S197" s="255"/>
      <c r="T197" s="256"/>
    </row>
    <row r="198" spans="1:20" x14ac:dyDescent="0.3">
      <c r="A198" s="258"/>
      <c r="B198" s="392" t="s">
        <v>52</v>
      </c>
      <c r="C198" s="260"/>
      <c r="D198" s="260"/>
      <c r="E198" s="260"/>
      <c r="F198" s="260"/>
      <c r="G198" s="260"/>
      <c r="H198" s="260"/>
      <c r="I198" s="260"/>
      <c r="J198" s="260"/>
      <c r="K198" s="260"/>
      <c r="L198" s="260"/>
      <c r="M198" s="260"/>
      <c r="N198" s="260"/>
      <c r="O198" s="260"/>
      <c r="P198" s="260"/>
      <c r="Q198" s="260"/>
      <c r="R198" s="412"/>
      <c r="S198" s="261"/>
      <c r="T198" s="256"/>
    </row>
    <row r="199" spans="1:20" s="274" customFormat="1" x14ac:dyDescent="0.3">
      <c r="A199" s="300"/>
      <c r="B199" s="293" t="s">
        <v>53</v>
      </c>
      <c r="C199" s="293"/>
      <c r="D199" s="293"/>
      <c r="E199" s="293"/>
      <c r="F199" s="293"/>
      <c r="G199" s="293"/>
      <c r="H199" s="293"/>
      <c r="I199" s="293"/>
      <c r="J199" s="293"/>
      <c r="K199" s="293"/>
      <c r="L199" s="293"/>
      <c r="M199" s="293"/>
      <c r="N199" s="293"/>
      <c r="O199" s="293"/>
      <c r="P199" s="293"/>
      <c r="Q199" s="293"/>
      <c r="R199" s="413">
        <v>0</v>
      </c>
      <c r="S199" s="296"/>
      <c r="T199" s="273"/>
    </row>
    <row r="200" spans="1:20" s="274" customFormat="1" x14ac:dyDescent="0.3">
      <c r="A200" s="300"/>
      <c r="B200" s="293" t="s">
        <v>54</v>
      </c>
      <c r="C200" s="293"/>
      <c r="D200" s="293"/>
      <c r="E200" s="293"/>
      <c r="F200" s="293"/>
      <c r="G200" s="293"/>
      <c r="H200" s="293"/>
      <c r="I200" s="293"/>
      <c r="J200" s="293"/>
      <c r="K200" s="293"/>
      <c r="L200" s="293"/>
      <c r="M200" s="293"/>
      <c r="N200" s="293"/>
      <c r="O200" s="293"/>
      <c r="P200" s="293"/>
      <c r="Q200" s="293"/>
      <c r="R200" s="414">
        <v>0</v>
      </c>
      <c r="S200" s="296"/>
      <c r="T200" s="273"/>
    </row>
    <row r="201" spans="1:20" s="274" customFormat="1" x14ac:dyDescent="0.3">
      <c r="A201" s="300"/>
      <c r="B201" s="293" t="s">
        <v>182</v>
      </c>
      <c r="C201" s="293"/>
      <c r="D201" s="293"/>
      <c r="E201" s="293"/>
      <c r="F201" s="293"/>
      <c r="G201" s="293"/>
      <c r="H201" s="293"/>
      <c r="I201" s="293"/>
      <c r="J201" s="293"/>
      <c r="K201" s="293"/>
      <c r="L201" s="293"/>
      <c r="M201" s="293"/>
      <c r="N201" s="293"/>
      <c r="O201" s="293"/>
      <c r="P201" s="293"/>
      <c r="Q201" s="293"/>
      <c r="R201" s="413">
        <v>0</v>
      </c>
      <c r="S201" s="296"/>
      <c r="T201" s="273"/>
    </row>
    <row r="202" spans="1:20" s="274" customFormat="1" x14ac:dyDescent="0.3">
      <c r="A202" s="300"/>
      <c r="B202" s="293" t="s">
        <v>183</v>
      </c>
      <c r="C202" s="293"/>
      <c r="D202" s="293"/>
      <c r="E202" s="293"/>
      <c r="F202" s="293"/>
      <c r="G202" s="293"/>
      <c r="H202" s="293"/>
      <c r="I202" s="293"/>
      <c r="J202" s="293"/>
      <c r="K202" s="293"/>
      <c r="L202" s="293"/>
      <c r="M202" s="293"/>
      <c r="N202" s="293"/>
      <c r="O202" s="293"/>
      <c r="P202" s="293"/>
      <c r="Q202" s="293"/>
      <c r="R202" s="414">
        <v>0</v>
      </c>
      <c r="S202" s="296"/>
      <c r="T202" s="273"/>
    </row>
    <row r="203" spans="1:20" s="274" customFormat="1" x14ac:dyDescent="0.3">
      <c r="A203" s="300"/>
      <c r="B203" s="293" t="s">
        <v>184</v>
      </c>
      <c r="C203" s="293"/>
      <c r="D203" s="293"/>
      <c r="E203" s="293"/>
      <c r="F203" s="293"/>
      <c r="G203" s="293"/>
      <c r="H203" s="293"/>
      <c r="I203" s="293"/>
      <c r="J203" s="293"/>
      <c r="K203" s="293"/>
      <c r="L203" s="293"/>
      <c r="M203" s="293"/>
      <c r="N203" s="293"/>
      <c r="O203" s="293"/>
      <c r="P203" s="293"/>
      <c r="Q203" s="293"/>
      <c r="R203" s="413">
        <v>0</v>
      </c>
      <c r="S203" s="296"/>
      <c r="T203" s="273"/>
    </row>
    <row r="204" spans="1:20" s="274" customFormat="1" x14ac:dyDescent="0.3">
      <c r="A204" s="300"/>
      <c r="B204" s="293" t="s">
        <v>185</v>
      </c>
      <c r="C204" s="293"/>
      <c r="D204" s="293"/>
      <c r="E204" s="293"/>
      <c r="F204" s="293"/>
      <c r="G204" s="293"/>
      <c r="H204" s="293"/>
      <c r="I204" s="293"/>
      <c r="J204" s="293"/>
      <c r="K204" s="293"/>
      <c r="L204" s="293"/>
      <c r="M204" s="293"/>
      <c r="N204" s="293"/>
      <c r="O204" s="293"/>
      <c r="P204" s="293"/>
      <c r="Q204" s="293"/>
      <c r="R204" s="414">
        <v>0</v>
      </c>
      <c r="S204" s="296"/>
      <c r="T204" s="273"/>
    </row>
    <row r="205" spans="1:20" s="274" customFormat="1" x14ac:dyDescent="0.3">
      <c r="A205" s="300"/>
      <c r="B205" s="293" t="s">
        <v>272</v>
      </c>
      <c r="C205" s="293"/>
      <c r="D205" s="293"/>
      <c r="E205" s="293"/>
      <c r="F205" s="293"/>
      <c r="G205" s="293"/>
      <c r="H205" s="293"/>
      <c r="I205" s="293"/>
      <c r="J205" s="293"/>
      <c r="K205" s="293"/>
      <c r="L205" s="293"/>
      <c r="M205" s="293"/>
      <c r="N205" s="293"/>
      <c r="O205" s="293"/>
      <c r="P205" s="293"/>
      <c r="Q205" s="293"/>
      <c r="R205" s="413">
        <v>0</v>
      </c>
      <c r="S205" s="296"/>
      <c r="T205" s="273"/>
    </row>
    <row r="206" spans="1:20" s="274" customFormat="1" x14ac:dyDescent="0.3">
      <c r="A206" s="300"/>
      <c r="B206" s="293" t="s">
        <v>273</v>
      </c>
      <c r="C206" s="293"/>
      <c r="D206" s="293"/>
      <c r="E206" s="293"/>
      <c r="F206" s="293"/>
      <c r="G206" s="293"/>
      <c r="H206" s="293"/>
      <c r="I206" s="293"/>
      <c r="J206" s="293"/>
      <c r="K206" s="293"/>
      <c r="L206" s="293"/>
      <c r="M206" s="293"/>
      <c r="N206" s="293"/>
      <c r="O206" s="293"/>
      <c r="P206" s="293"/>
      <c r="Q206" s="293"/>
      <c r="R206" s="414">
        <v>0</v>
      </c>
      <c r="S206" s="296"/>
      <c r="T206" s="273"/>
    </row>
    <row r="207" spans="1:20" s="274" customFormat="1" x14ac:dyDescent="0.3">
      <c r="A207" s="300"/>
      <c r="B207" s="293"/>
      <c r="C207" s="293"/>
      <c r="D207" s="293"/>
      <c r="E207" s="293"/>
      <c r="F207" s="293"/>
      <c r="G207" s="293"/>
      <c r="H207" s="293"/>
      <c r="I207" s="293"/>
      <c r="J207" s="293"/>
      <c r="K207" s="293"/>
      <c r="L207" s="293"/>
      <c r="M207" s="293"/>
      <c r="N207" s="293"/>
      <c r="O207" s="293"/>
      <c r="P207" s="293"/>
      <c r="Q207" s="293"/>
      <c r="R207" s="293"/>
      <c r="S207" s="296"/>
      <c r="T207" s="273"/>
    </row>
    <row r="208" spans="1:20" s="274" customFormat="1" x14ac:dyDescent="0.3">
      <c r="A208" s="269"/>
      <c r="B208" s="290"/>
      <c r="C208" s="290"/>
      <c r="D208" s="290"/>
      <c r="E208" s="290"/>
      <c r="F208" s="290"/>
      <c r="G208" s="290"/>
      <c r="H208" s="290"/>
      <c r="I208" s="290"/>
      <c r="J208" s="290"/>
      <c r="K208" s="290"/>
      <c r="L208" s="290"/>
      <c r="M208" s="290"/>
      <c r="N208" s="290"/>
      <c r="O208" s="290"/>
      <c r="P208" s="290"/>
      <c r="Q208" s="290"/>
      <c r="R208" s="290"/>
      <c r="S208" s="272"/>
      <c r="T208" s="273"/>
    </row>
    <row r="209" spans="1:20" s="274" customFormat="1" x14ac:dyDescent="0.3">
      <c r="A209" s="269"/>
      <c r="B209" s="271"/>
      <c r="C209" s="271"/>
      <c r="D209" s="271"/>
      <c r="E209" s="271"/>
      <c r="F209" s="271"/>
      <c r="G209" s="271"/>
      <c r="H209" s="271"/>
      <c r="I209" s="271"/>
      <c r="J209" s="271"/>
      <c r="K209" s="271"/>
      <c r="L209" s="271"/>
      <c r="M209" s="271"/>
      <c r="N209" s="271"/>
      <c r="O209" s="271"/>
      <c r="P209" s="271"/>
      <c r="Q209" s="271"/>
      <c r="R209" s="271"/>
      <c r="S209" s="272"/>
      <c r="T209" s="273"/>
    </row>
    <row r="210" spans="1:20" s="274" customFormat="1" ht="18.600000000000001" thickBot="1" x14ac:dyDescent="0.4">
      <c r="A210" s="346"/>
      <c r="B210" s="347" t="str">
        <f>B136</f>
        <v>PM24 INVESTOR REPORT QUARTER ENDING MARCH 2020</v>
      </c>
      <c r="C210" s="348"/>
      <c r="D210" s="348"/>
      <c r="E210" s="348"/>
      <c r="F210" s="348"/>
      <c r="G210" s="348"/>
      <c r="H210" s="348"/>
      <c r="I210" s="348"/>
      <c r="J210" s="348"/>
      <c r="K210" s="348"/>
      <c r="L210" s="348"/>
      <c r="M210" s="348"/>
      <c r="N210" s="348"/>
      <c r="O210" s="348"/>
      <c r="P210" s="348"/>
      <c r="Q210" s="348"/>
      <c r="R210" s="348"/>
      <c r="S210" s="350"/>
      <c r="T210" s="273"/>
    </row>
    <row r="211" spans="1:20" x14ac:dyDescent="0.3">
      <c r="A211" s="386"/>
      <c r="B211" s="387" t="s">
        <v>55</v>
      </c>
      <c r="C211" s="415"/>
      <c r="D211" s="416"/>
      <c r="E211" s="416"/>
      <c r="F211" s="416"/>
      <c r="G211" s="416"/>
      <c r="H211" s="416"/>
      <c r="I211" s="416"/>
      <c r="J211" s="416"/>
      <c r="K211" s="416"/>
      <c r="L211" s="416"/>
      <c r="M211" s="416"/>
      <c r="N211" s="416"/>
      <c r="O211" s="416"/>
      <c r="P211" s="416">
        <v>43921</v>
      </c>
      <c r="Q211" s="388"/>
      <c r="R211" s="388"/>
      <c r="S211" s="390"/>
      <c r="T211" s="256"/>
    </row>
    <row r="212" spans="1:20" x14ac:dyDescent="0.3">
      <c r="A212" s="417"/>
      <c r="B212" s="418"/>
      <c r="C212" s="419"/>
      <c r="D212" s="420"/>
      <c r="E212" s="420"/>
      <c r="F212" s="420"/>
      <c r="G212" s="420"/>
      <c r="H212" s="420"/>
      <c r="I212" s="420"/>
      <c r="J212" s="420"/>
      <c r="K212" s="420"/>
      <c r="L212" s="420"/>
      <c r="M212" s="420"/>
      <c r="N212" s="420"/>
      <c r="O212" s="420"/>
      <c r="P212" s="420"/>
      <c r="Q212" s="260"/>
      <c r="R212" s="260"/>
      <c r="S212" s="261"/>
      <c r="T212" s="256"/>
    </row>
    <row r="213" spans="1:20" s="274" customFormat="1" x14ac:dyDescent="0.3">
      <c r="A213" s="300"/>
      <c r="B213" s="293" t="s">
        <v>56</v>
      </c>
      <c r="C213" s="421"/>
      <c r="D213" s="336"/>
      <c r="E213" s="336"/>
      <c r="F213" s="336"/>
      <c r="G213" s="336"/>
      <c r="H213" s="336"/>
      <c r="I213" s="336"/>
      <c r="J213" s="336"/>
      <c r="K213" s="336"/>
      <c r="L213" s="336"/>
      <c r="M213" s="336"/>
      <c r="N213" s="336"/>
      <c r="O213" s="336"/>
      <c r="P213" s="328">
        <v>3.8129999999999997E-2</v>
      </c>
      <c r="Q213" s="293"/>
      <c r="R213" s="293"/>
      <c r="S213" s="296"/>
      <c r="T213" s="273"/>
    </row>
    <row r="214" spans="1:20" s="274" customFormat="1" x14ac:dyDescent="0.3">
      <c r="A214" s="300"/>
      <c r="B214" s="293" t="s">
        <v>158</v>
      </c>
      <c r="C214" s="421"/>
      <c r="D214" s="336"/>
      <c r="E214" s="336"/>
      <c r="F214" s="336"/>
      <c r="G214" s="336"/>
      <c r="H214" s="336"/>
      <c r="I214" s="336"/>
      <c r="J214" s="336"/>
      <c r="K214" s="336"/>
      <c r="L214" s="336"/>
      <c r="M214" s="336"/>
      <c r="N214" s="336"/>
      <c r="O214" s="336"/>
      <c r="P214" s="328">
        <v>2.4610284713705084E-2</v>
      </c>
      <c r="Q214" s="293"/>
      <c r="R214" s="293"/>
      <c r="S214" s="296"/>
      <c r="T214" s="273"/>
    </row>
    <row r="215" spans="1:20" s="274" customFormat="1" x14ac:dyDescent="0.3">
      <c r="A215" s="300"/>
      <c r="B215" s="293" t="s">
        <v>57</v>
      </c>
      <c r="C215" s="421"/>
      <c r="D215" s="336"/>
      <c r="E215" s="336"/>
      <c r="F215" s="336"/>
      <c r="G215" s="336"/>
      <c r="H215" s="336"/>
      <c r="I215" s="336"/>
      <c r="J215" s="336"/>
      <c r="K215" s="336"/>
      <c r="L215" s="336"/>
      <c r="M215" s="336"/>
      <c r="N215" s="336"/>
      <c r="O215" s="336"/>
      <c r="P215" s="328">
        <f>P213-P214</f>
        <v>1.3519715286294913E-2</v>
      </c>
      <c r="Q215" s="293"/>
      <c r="R215" s="293"/>
      <c r="S215" s="296"/>
      <c r="T215" s="273"/>
    </row>
    <row r="216" spans="1:20" s="274" customFormat="1" x14ac:dyDescent="0.3">
      <c r="A216" s="300"/>
      <c r="B216" s="293" t="s">
        <v>161</v>
      </c>
      <c r="C216" s="421"/>
      <c r="D216" s="336"/>
      <c r="E216" s="336"/>
      <c r="F216" s="336"/>
      <c r="G216" s="336"/>
      <c r="H216" s="336"/>
      <c r="I216" s="336"/>
      <c r="J216" s="336"/>
      <c r="K216" s="336"/>
      <c r="L216" s="336"/>
      <c r="M216" s="336"/>
      <c r="N216" s="336"/>
      <c r="O216" s="336"/>
      <c r="P216" s="328">
        <v>4.725E-2</v>
      </c>
      <c r="Q216" s="293"/>
      <c r="R216" s="293"/>
      <c r="S216" s="296"/>
      <c r="T216" s="273"/>
    </row>
    <row r="217" spans="1:20" s="274" customFormat="1" x14ac:dyDescent="0.3">
      <c r="A217" s="300"/>
      <c r="B217" s="293" t="s">
        <v>58</v>
      </c>
      <c r="C217" s="421"/>
      <c r="D217" s="336"/>
      <c r="E217" s="336"/>
      <c r="F217" s="336"/>
      <c r="G217" s="336"/>
      <c r="H217" s="336"/>
      <c r="I217" s="336"/>
      <c r="J217" s="336"/>
      <c r="K217" s="336"/>
      <c r="L217" s="336"/>
      <c r="M217" s="336"/>
      <c r="N217" s="336"/>
      <c r="O217" s="336"/>
      <c r="P217" s="328">
        <v>0</v>
      </c>
      <c r="Q217" s="293"/>
      <c r="R217" s="293"/>
      <c r="S217" s="296"/>
      <c r="T217" s="273"/>
    </row>
    <row r="218" spans="1:20" s="274" customFormat="1" x14ac:dyDescent="0.3">
      <c r="A218" s="300"/>
      <c r="B218" s="293" t="s">
        <v>159</v>
      </c>
      <c r="C218" s="421"/>
      <c r="D218" s="336"/>
      <c r="E218" s="336"/>
      <c r="F218" s="336"/>
      <c r="G218" s="336"/>
      <c r="H218" s="336"/>
      <c r="I218" s="336"/>
      <c r="J218" s="336"/>
      <c r="K218" s="336"/>
      <c r="L218" s="336"/>
      <c r="M218" s="336"/>
      <c r="N218" s="336"/>
      <c r="O218" s="336"/>
      <c r="P218" s="328">
        <v>0</v>
      </c>
      <c r="Q218" s="293"/>
      <c r="R218" s="293"/>
      <c r="S218" s="296"/>
      <c r="T218" s="273"/>
    </row>
    <row r="219" spans="1:20" s="274" customFormat="1" x14ac:dyDescent="0.3">
      <c r="A219" s="300"/>
      <c r="B219" s="293" t="s">
        <v>59</v>
      </c>
      <c r="C219" s="421"/>
      <c r="D219" s="336"/>
      <c r="E219" s="336"/>
      <c r="F219" s="336"/>
      <c r="G219" s="336"/>
      <c r="H219" s="336"/>
      <c r="I219" s="336"/>
      <c r="J219" s="336"/>
      <c r="K219" s="336"/>
      <c r="L219" s="336"/>
      <c r="M219" s="336"/>
      <c r="N219" s="336"/>
      <c r="O219" s="336"/>
      <c r="P219" s="328">
        <f>P217-P218</f>
        <v>0</v>
      </c>
      <c r="Q219" s="293"/>
      <c r="R219" s="293"/>
      <c r="S219" s="296"/>
      <c r="T219" s="273"/>
    </row>
    <row r="220" spans="1:20" s="274" customFormat="1" x14ac:dyDescent="0.3">
      <c r="A220" s="300"/>
      <c r="B220" s="293" t="s">
        <v>139</v>
      </c>
      <c r="C220" s="421"/>
      <c r="D220" s="336"/>
      <c r="E220" s="336"/>
      <c r="F220" s="336"/>
      <c r="G220" s="336"/>
      <c r="H220" s="336"/>
      <c r="I220" s="336"/>
      <c r="J220" s="336"/>
      <c r="K220" s="336"/>
      <c r="L220" s="336"/>
      <c r="M220" s="336"/>
      <c r="N220" s="336"/>
      <c r="O220" s="336"/>
      <c r="P220" s="328">
        <v>0</v>
      </c>
      <c r="Q220" s="293"/>
      <c r="R220" s="293"/>
      <c r="S220" s="296"/>
      <c r="T220" s="273"/>
    </row>
    <row r="221" spans="1:20" s="274" customFormat="1" x14ac:dyDescent="0.3">
      <c r="A221" s="300"/>
      <c r="B221" s="293" t="s">
        <v>132</v>
      </c>
      <c r="C221" s="421"/>
      <c r="D221" s="336"/>
      <c r="E221" s="336"/>
      <c r="F221" s="336"/>
      <c r="G221" s="336"/>
      <c r="H221" s="336"/>
      <c r="I221" s="336"/>
      <c r="J221" s="336"/>
      <c r="K221" s="336"/>
      <c r="L221" s="336"/>
      <c r="M221" s="336"/>
      <c r="N221" s="336"/>
      <c r="O221" s="336"/>
      <c r="P221" s="422">
        <v>52427</v>
      </c>
      <c r="Q221" s="293"/>
      <c r="R221" s="293"/>
      <c r="S221" s="296"/>
      <c r="T221" s="273"/>
    </row>
    <row r="222" spans="1:20" s="274" customFormat="1" x14ac:dyDescent="0.3">
      <c r="A222" s="300"/>
      <c r="B222" s="293" t="s">
        <v>186</v>
      </c>
      <c r="C222" s="421"/>
      <c r="D222" s="336"/>
      <c r="E222" s="336"/>
      <c r="F222" s="336"/>
      <c r="G222" s="336"/>
      <c r="H222" s="336"/>
      <c r="I222" s="336"/>
      <c r="J222" s="336"/>
      <c r="K222" s="336"/>
      <c r="L222" s="336"/>
      <c r="M222" s="336"/>
      <c r="N222" s="336"/>
      <c r="O222" s="336"/>
      <c r="P222" s="422">
        <v>52427</v>
      </c>
      <c r="Q222" s="293"/>
      <c r="R222" s="293"/>
      <c r="S222" s="296"/>
      <c r="T222" s="273"/>
    </row>
    <row r="223" spans="1:20" s="274" customFormat="1" x14ac:dyDescent="0.3">
      <c r="A223" s="300"/>
      <c r="B223" s="293" t="s">
        <v>187</v>
      </c>
      <c r="C223" s="421"/>
      <c r="D223" s="336"/>
      <c r="E223" s="336"/>
      <c r="F223" s="336"/>
      <c r="G223" s="336"/>
      <c r="H223" s="336"/>
      <c r="I223" s="336"/>
      <c r="J223" s="336"/>
      <c r="K223" s="336"/>
      <c r="L223" s="336"/>
      <c r="M223" s="336"/>
      <c r="N223" s="336"/>
      <c r="O223" s="336"/>
      <c r="P223" s="422">
        <v>52427</v>
      </c>
      <c r="Q223" s="293"/>
      <c r="R223" s="293"/>
      <c r="S223" s="296"/>
      <c r="T223" s="273"/>
    </row>
    <row r="224" spans="1:20" s="274" customFormat="1" x14ac:dyDescent="0.3">
      <c r="A224" s="300"/>
      <c r="B224" s="293" t="s">
        <v>274</v>
      </c>
      <c r="C224" s="421"/>
      <c r="D224" s="336"/>
      <c r="E224" s="336"/>
      <c r="F224" s="336"/>
      <c r="G224" s="336"/>
      <c r="H224" s="336"/>
      <c r="I224" s="336"/>
      <c r="J224" s="336"/>
      <c r="K224" s="336"/>
      <c r="L224" s="336"/>
      <c r="M224" s="336"/>
      <c r="N224" s="336"/>
      <c r="O224" s="336"/>
      <c r="P224" s="422">
        <v>52427</v>
      </c>
      <c r="Q224" s="293"/>
      <c r="R224" s="293"/>
      <c r="S224" s="296"/>
      <c r="T224" s="273"/>
    </row>
    <row r="225" spans="1:20" s="274" customFormat="1" x14ac:dyDescent="0.3">
      <c r="A225" s="300"/>
      <c r="B225" s="293" t="s">
        <v>60</v>
      </c>
      <c r="C225" s="421"/>
      <c r="D225" s="336"/>
      <c r="E225" s="336"/>
      <c r="F225" s="336"/>
      <c r="G225" s="336"/>
      <c r="H225" s="336"/>
      <c r="I225" s="336"/>
      <c r="J225" s="336"/>
      <c r="K225" s="336"/>
      <c r="L225" s="336"/>
      <c r="M225" s="336"/>
      <c r="N225" s="336"/>
      <c r="O225" s="336"/>
      <c r="P225" s="334">
        <v>20.96</v>
      </c>
      <c r="Q225" s="293" t="s">
        <v>90</v>
      </c>
      <c r="R225" s="293"/>
      <c r="S225" s="296"/>
      <c r="T225" s="273"/>
    </row>
    <row r="226" spans="1:20" s="274" customFormat="1" x14ac:dyDescent="0.3">
      <c r="A226" s="300"/>
      <c r="B226" s="293" t="s">
        <v>61</v>
      </c>
      <c r="C226" s="421"/>
      <c r="D226" s="336"/>
      <c r="E226" s="336"/>
      <c r="F226" s="336"/>
      <c r="G226" s="336"/>
      <c r="H226" s="336"/>
      <c r="I226" s="336"/>
      <c r="J226" s="336"/>
      <c r="K226" s="336"/>
      <c r="L226" s="336"/>
      <c r="M226" s="336"/>
      <c r="N226" s="336"/>
      <c r="O226" s="336"/>
      <c r="P226" s="334">
        <v>0</v>
      </c>
      <c r="Q226" s="293" t="s">
        <v>90</v>
      </c>
      <c r="R226" s="293"/>
      <c r="S226" s="296"/>
      <c r="T226" s="273"/>
    </row>
    <row r="227" spans="1:20" s="274" customFormat="1" x14ac:dyDescent="0.3">
      <c r="A227" s="300"/>
      <c r="B227" s="293" t="s">
        <v>62</v>
      </c>
      <c r="C227" s="421"/>
      <c r="D227" s="336"/>
      <c r="E227" s="336"/>
      <c r="F227" s="336"/>
      <c r="G227" s="336"/>
      <c r="H227" s="336"/>
      <c r="I227" s="336"/>
      <c r="J227" s="336"/>
      <c r="K227" s="336"/>
      <c r="L227" s="336"/>
      <c r="M227" s="336"/>
      <c r="N227" s="336"/>
      <c r="O227" s="336"/>
      <c r="P227" s="328">
        <f>(+J64+L64+P64)/(H64+H77)</f>
        <v>1</v>
      </c>
      <c r="Q227" s="293"/>
      <c r="R227" s="293"/>
      <c r="S227" s="296"/>
      <c r="T227" s="273"/>
    </row>
    <row r="228" spans="1:20" s="274" customFormat="1" x14ac:dyDescent="0.3">
      <c r="A228" s="300"/>
      <c r="B228" s="293" t="s">
        <v>63</v>
      </c>
      <c r="C228" s="421"/>
      <c r="D228" s="336"/>
      <c r="E228" s="336"/>
      <c r="F228" s="336"/>
      <c r="G228" s="336"/>
      <c r="H228" s="336"/>
      <c r="I228" s="336"/>
      <c r="J228" s="336"/>
      <c r="K228" s="336"/>
      <c r="L228" s="336"/>
      <c r="M228" s="336"/>
      <c r="N228" s="336"/>
      <c r="O228" s="336"/>
      <c r="P228" s="328">
        <v>1</v>
      </c>
      <c r="Q228" s="293"/>
      <c r="R228" s="293"/>
      <c r="S228" s="296"/>
      <c r="T228" s="273"/>
    </row>
    <row r="229" spans="1:20" x14ac:dyDescent="0.3">
      <c r="A229" s="417"/>
      <c r="B229" s="423"/>
      <c r="C229" s="423"/>
      <c r="D229" s="362"/>
      <c r="E229" s="362"/>
      <c r="F229" s="362"/>
      <c r="G229" s="362"/>
      <c r="H229" s="362"/>
      <c r="I229" s="362"/>
      <c r="J229" s="362"/>
      <c r="K229" s="362"/>
      <c r="L229" s="362"/>
      <c r="M229" s="362"/>
      <c r="N229" s="362"/>
      <c r="O229" s="362"/>
      <c r="P229" s="393"/>
      <c r="Q229" s="362"/>
      <c r="R229" s="424"/>
      <c r="S229" s="261"/>
      <c r="T229" s="256"/>
    </row>
    <row r="230" spans="1:20" x14ac:dyDescent="0.3">
      <c r="A230" s="425"/>
      <c r="B230" s="368" t="s">
        <v>64</v>
      </c>
      <c r="C230" s="369"/>
      <c r="D230" s="369"/>
      <c r="E230" s="369"/>
      <c r="F230" s="369"/>
      <c r="G230" s="369"/>
      <c r="H230" s="369"/>
      <c r="I230" s="369"/>
      <c r="J230" s="369"/>
      <c r="K230" s="369"/>
      <c r="L230" s="369"/>
      <c r="M230" s="369"/>
      <c r="N230" s="369"/>
      <c r="O230" s="369" t="s">
        <v>83</v>
      </c>
      <c r="P230" s="426" t="s">
        <v>88</v>
      </c>
      <c r="Q230" s="286"/>
      <c r="R230" s="286"/>
      <c r="S230" s="289"/>
      <c r="T230" s="256"/>
    </row>
    <row r="231" spans="1:20" s="274" customFormat="1" x14ac:dyDescent="0.3">
      <c r="A231" s="427"/>
      <c r="B231" s="290" t="s">
        <v>65</v>
      </c>
      <c r="C231" s="372"/>
      <c r="D231" s="428"/>
      <c r="E231" s="428"/>
      <c r="F231" s="428"/>
      <c r="G231" s="428"/>
      <c r="H231" s="428"/>
      <c r="I231" s="428"/>
      <c r="J231" s="428"/>
      <c r="K231" s="428"/>
      <c r="L231" s="428"/>
      <c r="M231" s="428"/>
      <c r="N231" s="428"/>
      <c r="O231" s="428">
        <v>0</v>
      </c>
      <c r="P231" s="429">
        <v>0</v>
      </c>
      <c r="Q231" s="290"/>
      <c r="R231" s="430"/>
      <c r="S231" s="431"/>
      <c r="T231" s="273"/>
    </row>
    <row r="232" spans="1:20" s="274" customFormat="1" x14ac:dyDescent="0.3">
      <c r="A232" s="432"/>
      <c r="B232" s="293" t="s">
        <v>113</v>
      </c>
      <c r="C232" s="360"/>
      <c r="D232" s="301"/>
      <c r="E232" s="301"/>
      <c r="F232" s="301"/>
      <c r="G232" s="301"/>
      <c r="H232" s="301"/>
      <c r="I232" s="301"/>
      <c r="J232" s="301"/>
      <c r="K232" s="301"/>
      <c r="L232" s="301"/>
      <c r="M232" s="301"/>
      <c r="N232" s="301"/>
      <c r="O232" s="433">
        <f>+N284</f>
        <v>0</v>
      </c>
      <c r="P232" s="434">
        <f>+P284</f>
        <v>0</v>
      </c>
      <c r="Q232" s="293"/>
      <c r="R232" s="435"/>
      <c r="S232" s="436"/>
      <c r="T232" s="273"/>
    </row>
    <row r="233" spans="1:20" s="274" customFormat="1" x14ac:dyDescent="0.3">
      <c r="A233" s="432"/>
      <c r="B233" s="293" t="s">
        <v>66</v>
      </c>
      <c r="C233" s="360"/>
      <c r="D233" s="301"/>
      <c r="E233" s="301"/>
      <c r="F233" s="301"/>
      <c r="G233" s="301"/>
      <c r="H233" s="301"/>
      <c r="I233" s="301"/>
      <c r="J233" s="301"/>
      <c r="K233" s="301"/>
      <c r="L233" s="301"/>
      <c r="M233" s="301"/>
      <c r="N233" s="301"/>
      <c r="O233" s="433">
        <f>+N296</f>
        <v>0</v>
      </c>
      <c r="P233" s="434">
        <f>+P296</f>
        <v>0</v>
      </c>
      <c r="Q233" s="293"/>
      <c r="R233" s="435"/>
      <c r="S233" s="436"/>
      <c r="T233" s="273"/>
    </row>
    <row r="234" spans="1:20" x14ac:dyDescent="0.3">
      <c r="A234" s="437"/>
      <c r="B234" s="438" t="s">
        <v>277</v>
      </c>
      <c r="C234" s="439"/>
      <c r="D234" s="316"/>
      <c r="E234" s="316"/>
      <c r="F234" s="316"/>
      <c r="G234" s="316"/>
      <c r="H234" s="316"/>
      <c r="I234" s="316"/>
      <c r="J234" s="316"/>
      <c r="K234" s="316"/>
      <c r="L234" s="316"/>
      <c r="M234" s="316"/>
      <c r="N234" s="316"/>
      <c r="O234" s="379"/>
      <c r="P234" s="434">
        <f>+P64</f>
        <v>1481</v>
      </c>
      <c r="Q234" s="316"/>
      <c r="R234" s="440"/>
      <c r="S234" s="441"/>
      <c r="T234" s="256"/>
    </row>
    <row r="235" spans="1:20" x14ac:dyDescent="0.3">
      <c r="A235" s="437"/>
      <c r="B235" s="438" t="s">
        <v>140</v>
      </c>
      <c r="C235" s="439"/>
      <c r="D235" s="316"/>
      <c r="E235" s="316"/>
      <c r="F235" s="316"/>
      <c r="G235" s="316"/>
      <c r="H235" s="316"/>
      <c r="I235" s="316"/>
      <c r="J235" s="316"/>
      <c r="K235" s="316"/>
      <c r="L235" s="316"/>
      <c r="M235" s="316"/>
      <c r="N235" s="316"/>
      <c r="O235" s="379"/>
      <c r="P235" s="434">
        <f>-J77</f>
        <v>0</v>
      </c>
      <c r="Q235" s="316"/>
      <c r="R235" s="440"/>
      <c r="S235" s="441"/>
      <c r="T235" s="256"/>
    </row>
    <row r="236" spans="1:20" x14ac:dyDescent="0.3">
      <c r="A236" s="442"/>
      <c r="B236" s="438" t="s">
        <v>67</v>
      </c>
      <c r="C236" s="443"/>
      <c r="D236" s="316"/>
      <c r="E236" s="316"/>
      <c r="F236" s="316"/>
      <c r="G236" s="316"/>
      <c r="H236" s="316"/>
      <c r="I236" s="316"/>
      <c r="J236" s="316"/>
      <c r="K236" s="316"/>
      <c r="L236" s="316"/>
      <c r="M236" s="316"/>
      <c r="N236" s="316"/>
      <c r="O236" s="379"/>
      <c r="P236" s="444"/>
      <c r="Q236" s="316"/>
      <c r="R236" s="440"/>
      <c r="S236" s="445"/>
      <c r="T236" s="256"/>
    </row>
    <row r="237" spans="1:20" s="274" customFormat="1" x14ac:dyDescent="0.3">
      <c r="A237" s="446"/>
      <c r="B237" s="293" t="s">
        <v>68</v>
      </c>
      <c r="C237" s="293"/>
      <c r="D237" s="293"/>
      <c r="E237" s="293"/>
      <c r="F237" s="293"/>
      <c r="G237" s="293"/>
      <c r="H237" s="293"/>
      <c r="I237" s="293"/>
      <c r="J237" s="293"/>
      <c r="K237" s="293"/>
      <c r="L237" s="293"/>
      <c r="M237" s="293"/>
      <c r="N237" s="293"/>
      <c r="O237" s="301"/>
      <c r="P237" s="434">
        <f>R167</f>
        <v>0</v>
      </c>
      <c r="Q237" s="293"/>
      <c r="R237" s="435"/>
      <c r="S237" s="447"/>
      <c r="T237" s="273"/>
    </row>
    <row r="238" spans="1:20" s="274" customFormat="1" x14ac:dyDescent="0.3">
      <c r="A238" s="432"/>
      <c r="B238" s="293" t="s">
        <v>69</v>
      </c>
      <c r="C238" s="360"/>
      <c r="D238" s="293"/>
      <c r="E238" s="293"/>
      <c r="F238" s="293"/>
      <c r="G238" s="293"/>
      <c r="H238" s="293"/>
      <c r="I238" s="293"/>
      <c r="J238" s="293"/>
      <c r="K238" s="293"/>
      <c r="L238" s="293"/>
      <c r="M238" s="293"/>
      <c r="N238" s="293"/>
      <c r="O238" s="301"/>
      <c r="P238" s="434">
        <f>'Dec 19'!P236+P237</f>
        <v>0</v>
      </c>
      <c r="Q238" s="293"/>
      <c r="R238" s="435"/>
      <c r="S238" s="447"/>
      <c r="T238" s="273"/>
    </row>
    <row r="239" spans="1:20" x14ac:dyDescent="0.3">
      <c r="A239" s="442"/>
      <c r="B239" s="438" t="s">
        <v>151</v>
      </c>
      <c r="C239" s="443"/>
      <c r="D239" s="316"/>
      <c r="E239" s="316"/>
      <c r="F239" s="316"/>
      <c r="G239" s="316"/>
      <c r="H239" s="316"/>
      <c r="I239" s="316"/>
      <c r="J239" s="316"/>
      <c r="K239" s="316"/>
      <c r="L239" s="316"/>
      <c r="M239" s="316"/>
      <c r="N239" s="316"/>
      <c r="O239" s="448"/>
      <c r="P239" s="444"/>
      <c r="Q239" s="316"/>
      <c r="R239" s="440"/>
      <c r="S239" s="445"/>
      <c r="T239" s="256"/>
    </row>
    <row r="240" spans="1:20" s="274" customFormat="1" x14ac:dyDescent="0.3">
      <c r="A240" s="446"/>
      <c r="B240" s="293" t="s">
        <v>160</v>
      </c>
      <c r="C240" s="293"/>
      <c r="D240" s="293"/>
      <c r="E240" s="293"/>
      <c r="F240" s="293"/>
      <c r="G240" s="293"/>
      <c r="H240" s="293"/>
      <c r="I240" s="293"/>
      <c r="J240" s="293"/>
      <c r="K240" s="293"/>
      <c r="L240" s="293"/>
      <c r="M240" s="293"/>
      <c r="N240" s="293"/>
      <c r="O240" s="301">
        <v>0</v>
      </c>
      <c r="P240" s="434">
        <v>0</v>
      </c>
      <c r="Q240" s="293"/>
      <c r="R240" s="435"/>
      <c r="S240" s="447"/>
      <c r="T240" s="273"/>
    </row>
    <row r="241" spans="1:20" s="274" customFormat="1" x14ac:dyDescent="0.3">
      <c r="A241" s="432"/>
      <c r="B241" s="293" t="s">
        <v>70</v>
      </c>
      <c r="C241" s="332"/>
      <c r="D241" s="293"/>
      <c r="E241" s="293"/>
      <c r="F241" s="293"/>
      <c r="G241" s="293"/>
      <c r="H241" s="293"/>
      <c r="I241" s="293"/>
      <c r="J241" s="293"/>
      <c r="K241" s="293"/>
      <c r="L241" s="293"/>
      <c r="M241" s="293"/>
      <c r="N241" s="293"/>
      <c r="O241" s="293"/>
      <c r="P241" s="449">
        <v>0</v>
      </c>
      <c r="Q241" s="293"/>
      <c r="R241" s="435"/>
      <c r="S241" s="447"/>
      <c r="T241" s="273"/>
    </row>
    <row r="242" spans="1:20" s="274" customFormat="1" x14ac:dyDescent="0.3">
      <c r="A242" s="432"/>
      <c r="B242" s="293" t="s">
        <v>71</v>
      </c>
      <c r="C242" s="332"/>
      <c r="D242" s="293"/>
      <c r="E242" s="293"/>
      <c r="F242" s="293"/>
      <c r="G242" s="293"/>
      <c r="H242" s="293"/>
      <c r="I242" s="293"/>
      <c r="J242" s="293"/>
      <c r="K242" s="293"/>
      <c r="L242" s="293"/>
      <c r="M242" s="293"/>
      <c r="N242" s="293"/>
      <c r="O242" s="293"/>
      <c r="P242" s="449">
        <v>0</v>
      </c>
      <c r="Q242" s="293"/>
      <c r="R242" s="435"/>
      <c r="S242" s="447"/>
      <c r="T242" s="273"/>
    </row>
    <row r="243" spans="1:20" x14ac:dyDescent="0.3">
      <c r="A243" s="437"/>
      <c r="B243" s="438" t="s">
        <v>136</v>
      </c>
      <c r="C243" s="450"/>
      <c r="D243" s="316"/>
      <c r="E243" s="316"/>
      <c r="F243" s="316"/>
      <c r="G243" s="316"/>
      <c r="H243" s="316"/>
      <c r="I243" s="316"/>
      <c r="J243" s="316"/>
      <c r="K243" s="316"/>
      <c r="L243" s="316"/>
      <c r="M243" s="316"/>
      <c r="N243" s="316"/>
      <c r="O243" s="379"/>
      <c r="P243" s="451"/>
      <c r="Q243" s="316"/>
      <c r="R243" s="440"/>
      <c r="S243" s="445"/>
      <c r="T243" s="256"/>
    </row>
    <row r="244" spans="1:20" s="274" customFormat="1" x14ac:dyDescent="0.3">
      <c r="A244" s="432"/>
      <c r="B244" s="293" t="s">
        <v>160</v>
      </c>
      <c r="C244" s="332"/>
      <c r="D244" s="293"/>
      <c r="E244" s="293"/>
      <c r="F244" s="293"/>
      <c r="G244" s="293"/>
      <c r="H244" s="293"/>
      <c r="I244" s="293"/>
      <c r="J244" s="293"/>
      <c r="K244" s="293"/>
      <c r="L244" s="293"/>
      <c r="M244" s="293"/>
      <c r="N244" s="293"/>
      <c r="O244" s="301">
        <v>0</v>
      </c>
      <c r="P244" s="434">
        <v>0</v>
      </c>
      <c r="Q244" s="293"/>
      <c r="R244" s="435"/>
      <c r="S244" s="447"/>
      <c r="T244" s="273"/>
    </row>
    <row r="245" spans="1:20" s="274" customFormat="1" x14ac:dyDescent="0.3">
      <c r="A245" s="432"/>
      <c r="B245" s="293" t="s">
        <v>137</v>
      </c>
      <c r="C245" s="332"/>
      <c r="D245" s="293"/>
      <c r="E245" s="293"/>
      <c r="F245" s="293"/>
      <c r="G245" s="293"/>
      <c r="H245" s="293"/>
      <c r="I245" s="293"/>
      <c r="J245" s="293"/>
      <c r="K245" s="293"/>
      <c r="L245" s="293"/>
      <c r="M245" s="293"/>
      <c r="N245" s="293"/>
      <c r="O245" s="293"/>
      <c r="P245" s="449">
        <v>0</v>
      </c>
      <c r="Q245" s="293"/>
      <c r="R245" s="435"/>
      <c r="S245" s="447"/>
      <c r="T245" s="273"/>
    </row>
    <row r="246" spans="1:20" x14ac:dyDescent="0.3">
      <c r="A246" s="437"/>
      <c r="B246" s="443"/>
      <c r="C246" s="450"/>
      <c r="D246" s="316"/>
      <c r="E246" s="316"/>
      <c r="F246" s="316"/>
      <c r="G246" s="316"/>
      <c r="H246" s="316"/>
      <c r="I246" s="316"/>
      <c r="J246" s="316"/>
      <c r="K246" s="316"/>
      <c r="L246" s="316"/>
      <c r="M246" s="316"/>
      <c r="N246" s="316"/>
      <c r="O246" s="379"/>
      <c r="P246" s="451"/>
      <c r="Q246" s="316"/>
      <c r="R246" s="440"/>
      <c r="S246" s="445"/>
      <c r="T246" s="256"/>
    </row>
    <row r="247" spans="1:20" x14ac:dyDescent="0.3">
      <c r="A247" s="437"/>
      <c r="B247" s="443"/>
      <c r="C247" s="450"/>
      <c r="D247" s="316"/>
      <c r="E247" s="316"/>
      <c r="F247" s="316"/>
      <c r="G247" s="316"/>
      <c r="H247" s="316"/>
      <c r="I247" s="316"/>
      <c r="J247" s="316"/>
      <c r="K247" s="316"/>
      <c r="L247" s="316"/>
      <c r="M247" s="316"/>
      <c r="N247" s="316"/>
      <c r="O247" s="316"/>
      <c r="P247" s="452"/>
      <c r="Q247" s="316"/>
      <c r="R247" s="440"/>
      <c r="S247" s="445"/>
      <c r="T247" s="256"/>
    </row>
    <row r="248" spans="1:20" ht="18" x14ac:dyDescent="0.35">
      <c r="A248" s="437"/>
      <c r="B248" s="453" t="s">
        <v>129</v>
      </c>
      <c r="C248" s="450"/>
      <c r="D248" s="316"/>
      <c r="E248" s="316"/>
      <c r="F248" s="316"/>
      <c r="G248" s="316"/>
      <c r="H248" s="316"/>
      <c r="I248" s="316"/>
      <c r="J248" s="316"/>
      <c r="K248" s="316"/>
      <c r="L248" s="454"/>
      <c r="M248" s="316"/>
      <c r="N248" s="455" t="s">
        <v>285</v>
      </c>
      <c r="O248" s="454"/>
      <c r="P248" s="452"/>
      <c r="Q248" s="316"/>
      <c r="R248" s="440"/>
      <c r="S248" s="445"/>
      <c r="T248" s="256"/>
    </row>
    <row r="249" spans="1:20" ht="18" x14ac:dyDescent="0.35">
      <c r="A249" s="456"/>
      <c r="B249" s="457"/>
      <c r="C249" s="458"/>
      <c r="D249" s="362"/>
      <c r="E249" s="362"/>
      <c r="F249" s="362"/>
      <c r="G249" s="362"/>
      <c r="H249" s="362"/>
      <c r="I249" s="362"/>
      <c r="J249" s="362"/>
      <c r="K249" s="362"/>
      <c r="L249" s="459"/>
      <c r="M249" s="362"/>
      <c r="N249" s="362"/>
      <c r="O249" s="362"/>
      <c r="P249" s="460"/>
      <c r="Q249" s="362"/>
      <c r="R249" s="424"/>
      <c r="S249" s="461"/>
      <c r="T249" s="256"/>
    </row>
    <row r="250" spans="1:20" x14ac:dyDescent="0.3">
      <c r="A250" s="285"/>
      <c r="B250" s="368" t="s">
        <v>152</v>
      </c>
      <c r="C250" s="369"/>
      <c r="D250" s="369"/>
      <c r="E250" s="369"/>
      <c r="F250" s="369"/>
      <c r="G250" s="369"/>
      <c r="H250" s="369"/>
      <c r="I250" s="369"/>
      <c r="J250" s="369"/>
      <c r="K250" s="369"/>
      <c r="L250" s="369"/>
      <c r="M250" s="369"/>
      <c r="N250" s="426" t="s">
        <v>83</v>
      </c>
      <c r="O250" s="369" t="s">
        <v>84</v>
      </c>
      <c r="P250" s="426" t="s">
        <v>89</v>
      </c>
      <c r="Q250" s="369" t="s">
        <v>84</v>
      </c>
      <c r="R250" s="286"/>
      <c r="S250" s="462"/>
      <c r="T250" s="256"/>
    </row>
    <row r="251" spans="1:20" s="274" customFormat="1" x14ac:dyDescent="0.3">
      <c r="A251" s="269"/>
      <c r="B251" s="372" t="s">
        <v>72</v>
      </c>
      <c r="C251" s="463"/>
      <c r="D251" s="463"/>
      <c r="E251" s="463"/>
      <c r="F251" s="463"/>
      <c r="G251" s="463"/>
      <c r="H251" s="463"/>
      <c r="I251" s="463"/>
      <c r="J251" s="463"/>
      <c r="K251" s="463"/>
      <c r="L251" s="463"/>
      <c r="M251" s="463"/>
      <c r="N251" s="372">
        <f>+N263+N275+N287</f>
        <v>0</v>
      </c>
      <c r="O251" s="464">
        <v>0</v>
      </c>
      <c r="P251" s="373">
        <f>+P263+P275+P287</f>
        <v>0</v>
      </c>
      <c r="Q251" s="464">
        <v>0</v>
      </c>
      <c r="R251" s="430"/>
      <c r="S251" s="465"/>
      <c r="T251" s="273"/>
    </row>
    <row r="252" spans="1:20" s="274" customFormat="1" x14ac:dyDescent="0.3">
      <c r="A252" s="300"/>
      <c r="B252" s="360" t="s">
        <v>73</v>
      </c>
      <c r="C252" s="466"/>
      <c r="D252" s="466"/>
      <c r="E252" s="466"/>
      <c r="F252" s="466"/>
      <c r="G252" s="466"/>
      <c r="H252" s="466"/>
      <c r="I252" s="466"/>
      <c r="J252" s="466"/>
      <c r="K252" s="466"/>
      <c r="L252" s="466"/>
      <c r="M252" s="466"/>
      <c r="N252" s="467">
        <f t="shared" ref="N252:N257" si="5">+N264+N276+N288</f>
        <v>0</v>
      </c>
      <c r="O252" s="468">
        <v>0</v>
      </c>
      <c r="P252" s="469">
        <f t="shared" ref="P252:P258" si="6">+P264+P276+P288</f>
        <v>0</v>
      </c>
      <c r="Q252" s="470">
        <v>0</v>
      </c>
      <c r="R252" s="435"/>
      <c r="S252" s="447"/>
      <c r="T252" s="273"/>
    </row>
    <row r="253" spans="1:20" s="274" customFormat="1" x14ac:dyDescent="0.3">
      <c r="A253" s="300"/>
      <c r="B253" s="360" t="s">
        <v>74</v>
      </c>
      <c r="C253" s="466"/>
      <c r="D253" s="466"/>
      <c r="E253" s="466"/>
      <c r="F253" s="466"/>
      <c r="G253" s="466"/>
      <c r="H253" s="466"/>
      <c r="I253" s="466"/>
      <c r="J253" s="466"/>
      <c r="K253" s="466"/>
      <c r="L253" s="466"/>
      <c r="M253" s="466"/>
      <c r="N253" s="471">
        <f t="shared" si="5"/>
        <v>0</v>
      </c>
      <c r="O253" s="472">
        <v>0</v>
      </c>
      <c r="P253" s="398">
        <f t="shared" si="6"/>
        <v>0</v>
      </c>
      <c r="Q253" s="470">
        <v>0</v>
      </c>
      <c r="R253" s="435"/>
      <c r="S253" s="447"/>
      <c r="T253" s="273"/>
    </row>
    <row r="254" spans="1:20" s="274" customFormat="1" x14ac:dyDescent="0.3">
      <c r="A254" s="300"/>
      <c r="B254" s="360" t="s">
        <v>119</v>
      </c>
      <c r="C254" s="466"/>
      <c r="D254" s="466"/>
      <c r="E254" s="466"/>
      <c r="F254" s="466"/>
      <c r="G254" s="466"/>
      <c r="H254" s="466"/>
      <c r="I254" s="466"/>
      <c r="J254" s="466"/>
      <c r="K254" s="466"/>
      <c r="L254" s="466"/>
      <c r="M254" s="466"/>
      <c r="N254" s="471">
        <f t="shared" si="5"/>
        <v>0</v>
      </c>
      <c r="O254" s="472">
        <v>0</v>
      </c>
      <c r="P254" s="398">
        <f t="shared" si="6"/>
        <v>0</v>
      </c>
      <c r="Q254" s="470">
        <v>0</v>
      </c>
      <c r="R254" s="435"/>
      <c r="S254" s="447"/>
      <c r="T254" s="273"/>
    </row>
    <row r="255" spans="1:20" s="274" customFormat="1" x14ac:dyDescent="0.3">
      <c r="A255" s="300"/>
      <c r="B255" s="360" t="s">
        <v>120</v>
      </c>
      <c r="C255" s="466"/>
      <c r="D255" s="466"/>
      <c r="E255" s="466"/>
      <c r="F255" s="466"/>
      <c r="G255" s="466"/>
      <c r="H255" s="466"/>
      <c r="I255" s="466"/>
      <c r="J255" s="466"/>
      <c r="K255" s="466"/>
      <c r="L255" s="466"/>
      <c r="M255" s="466"/>
      <c r="N255" s="471">
        <f t="shared" si="5"/>
        <v>0</v>
      </c>
      <c r="O255" s="472">
        <v>0</v>
      </c>
      <c r="P255" s="398">
        <f t="shared" si="6"/>
        <v>0</v>
      </c>
      <c r="Q255" s="470">
        <v>0</v>
      </c>
      <c r="R255" s="435"/>
      <c r="S255" s="447"/>
      <c r="T255" s="273"/>
    </row>
    <row r="256" spans="1:20" s="274" customFormat="1" x14ac:dyDescent="0.3">
      <c r="A256" s="300"/>
      <c r="B256" s="360" t="s">
        <v>121</v>
      </c>
      <c r="C256" s="466"/>
      <c r="D256" s="466"/>
      <c r="E256" s="466"/>
      <c r="F256" s="466"/>
      <c r="G256" s="466"/>
      <c r="H256" s="466"/>
      <c r="I256" s="466"/>
      <c r="J256" s="466"/>
      <c r="K256" s="466"/>
      <c r="L256" s="466"/>
      <c r="M256" s="466"/>
      <c r="N256" s="471">
        <f t="shared" si="5"/>
        <v>0</v>
      </c>
      <c r="O256" s="472">
        <v>0</v>
      </c>
      <c r="P256" s="398">
        <f t="shared" si="6"/>
        <v>0</v>
      </c>
      <c r="Q256" s="470">
        <v>0</v>
      </c>
      <c r="R256" s="435"/>
      <c r="S256" s="447"/>
      <c r="T256" s="273"/>
    </row>
    <row r="257" spans="1:21" s="274" customFormat="1" x14ac:dyDescent="0.3">
      <c r="A257" s="300"/>
      <c r="B257" s="360" t="s">
        <v>122</v>
      </c>
      <c r="C257" s="466"/>
      <c r="D257" s="466"/>
      <c r="E257" s="466"/>
      <c r="F257" s="466"/>
      <c r="G257" s="466"/>
      <c r="H257" s="466"/>
      <c r="I257" s="466"/>
      <c r="J257" s="466"/>
      <c r="K257" s="466"/>
      <c r="L257" s="466"/>
      <c r="M257" s="466"/>
      <c r="N257" s="473">
        <f t="shared" si="5"/>
        <v>0</v>
      </c>
      <c r="O257" s="474">
        <v>0</v>
      </c>
      <c r="P257" s="475">
        <f t="shared" si="6"/>
        <v>0</v>
      </c>
      <c r="Q257" s="470">
        <v>0</v>
      </c>
      <c r="R257" s="435"/>
      <c r="S257" s="447"/>
      <c r="T257" s="273"/>
    </row>
    <row r="258" spans="1:21" s="274" customFormat="1" x14ac:dyDescent="0.3">
      <c r="A258" s="300"/>
      <c r="B258" s="360" t="s">
        <v>123</v>
      </c>
      <c r="C258" s="466"/>
      <c r="D258" s="466"/>
      <c r="E258" s="466"/>
      <c r="F258" s="466"/>
      <c r="G258" s="466"/>
      <c r="H258" s="466"/>
      <c r="I258" s="466"/>
      <c r="J258" s="466"/>
      <c r="K258" s="466"/>
      <c r="L258" s="466"/>
      <c r="M258" s="466"/>
      <c r="N258" s="372">
        <f>+N270+N282+N294</f>
        <v>0</v>
      </c>
      <c r="O258" s="470">
        <v>0</v>
      </c>
      <c r="P258" s="373">
        <f t="shared" si="6"/>
        <v>0</v>
      </c>
      <c r="Q258" s="470">
        <v>0</v>
      </c>
      <c r="R258" s="435"/>
      <c r="S258" s="447"/>
      <c r="T258" s="273"/>
    </row>
    <row r="259" spans="1:21" s="274" customFormat="1" x14ac:dyDescent="0.3">
      <c r="A259" s="300"/>
      <c r="B259" s="360"/>
      <c r="C259" s="466"/>
      <c r="D259" s="466"/>
      <c r="E259" s="466"/>
      <c r="F259" s="466"/>
      <c r="G259" s="466"/>
      <c r="H259" s="466"/>
      <c r="I259" s="466"/>
      <c r="J259" s="466"/>
      <c r="K259" s="466"/>
      <c r="L259" s="466"/>
      <c r="M259" s="466"/>
      <c r="N259" s="360"/>
      <c r="O259" s="470"/>
      <c r="P259" s="361"/>
      <c r="Q259" s="470"/>
      <c r="R259" s="435"/>
      <c r="S259" s="447"/>
      <c r="T259" s="273"/>
    </row>
    <row r="260" spans="1:21" s="274" customFormat="1" x14ac:dyDescent="0.3">
      <c r="A260" s="300"/>
      <c r="B260" s="293" t="s">
        <v>94</v>
      </c>
      <c r="C260" s="293"/>
      <c r="D260" s="476"/>
      <c r="E260" s="476"/>
      <c r="F260" s="476"/>
      <c r="G260" s="476"/>
      <c r="H260" s="476"/>
      <c r="I260" s="476"/>
      <c r="J260" s="476"/>
      <c r="K260" s="476"/>
      <c r="L260" s="476"/>
      <c r="M260" s="476"/>
      <c r="N260" s="360">
        <f>SUM(N251:N259)</f>
        <v>0</v>
      </c>
      <c r="O260" s="470">
        <f>SUM(O251:O259)</f>
        <v>0</v>
      </c>
      <c r="P260" s="361">
        <f>SUM(P251:P259)</f>
        <v>0</v>
      </c>
      <c r="Q260" s="470">
        <f>SUM(Q251:Q259)</f>
        <v>0</v>
      </c>
      <c r="R260" s="293"/>
      <c r="S260" s="296"/>
      <c r="T260" s="273"/>
    </row>
    <row r="261" spans="1:21" x14ac:dyDescent="0.3">
      <c r="A261" s="258"/>
      <c r="B261" s="423"/>
      <c r="C261" s="458"/>
      <c r="D261" s="362"/>
      <c r="E261" s="362"/>
      <c r="F261" s="362"/>
      <c r="G261" s="362"/>
      <c r="H261" s="362"/>
      <c r="I261" s="362"/>
      <c r="J261" s="362"/>
      <c r="K261" s="362"/>
      <c r="L261" s="362"/>
      <c r="M261" s="362"/>
      <c r="N261" s="362"/>
      <c r="O261" s="362"/>
      <c r="P261" s="460"/>
      <c r="Q261" s="362"/>
      <c r="R261" s="362"/>
      <c r="S261" s="261"/>
      <c r="T261" s="256"/>
    </row>
    <row r="262" spans="1:21" x14ac:dyDescent="0.3">
      <c r="A262" s="285"/>
      <c r="B262" s="368" t="s">
        <v>124</v>
      </c>
      <c r="C262" s="369"/>
      <c r="D262" s="369"/>
      <c r="E262" s="369"/>
      <c r="F262" s="369"/>
      <c r="G262" s="369"/>
      <c r="H262" s="369"/>
      <c r="I262" s="369"/>
      <c r="J262" s="369"/>
      <c r="K262" s="369"/>
      <c r="L262" s="369"/>
      <c r="M262" s="369"/>
      <c r="N262" s="426" t="s">
        <v>83</v>
      </c>
      <c r="O262" s="369" t="s">
        <v>84</v>
      </c>
      <c r="P262" s="426" t="s">
        <v>89</v>
      </c>
      <c r="Q262" s="369" t="s">
        <v>84</v>
      </c>
      <c r="R262" s="286"/>
      <c r="S262" s="462"/>
      <c r="T262" s="256"/>
    </row>
    <row r="263" spans="1:21" s="274" customFormat="1" x14ac:dyDescent="0.3">
      <c r="A263" s="269"/>
      <c r="B263" s="372" t="s">
        <v>72</v>
      </c>
      <c r="C263" s="463"/>
      <c r="D263" s="463"/>
      <c r="E263" s="463"/>
      <c r="F263" s="463"/>
      <c r="G263" s="463"/>
      <c r="H263" s="463"/>
      <c r="I263" s="463"/>
      <c r="J263" s="463"/>
      <c r="K263" s="463"/>
      <c r="L263" s="463"/>
      <c r="M263" s="463"/>
      <c r="N263" s="372">
        <v>0</v>
      </c>
      <c r="O263" s="464">
        <v>0</v>
      </c>
      <c r="P263" s="373">
        <v>0</v>
      </c>
      <c r="Q263" s="464">
        <v>0</v>
      </c>
      <c r="R263" s="430"/>
      <c r="S263" s="465"/>
      <c r="T263" s="273"/>
    </row>
    <row r="264" spans="1:21" s="274" customFormat="1" x14ac:dyDescent="0.3">
      <c r="A264" s="300"/>
      <c r="B264" s="360" t="s">
        <v>73</v>
      </c>
      <c r="C264" s="466"/>
      <c r="D264" s="466"/>
      <c r="E264" s="466"/>
      <c r="F264" s="466"/>
      <c r="G264" s="466"/>
      <c r="H264" s="466"/>
      <c r="I264" s="466"/>
      <c r="J264" s="466"/>
      <c r="K264" s="466"/>
      <c r="L264" s="466"/>
      <c r="M264" s="466"/>
      <c r="N264" s="360">
        <v>0</v>
      </c>
      <c r="O264" s="470">
        <v>0</v>
      </c>
      <c r="P264" s="361">
        <v>0</v>
      </c>
      <c r="Q264" s="470">
        <v>0</v>
      </c>
      <c r="R264" s="435"/>
      <c r="S264" s="447"/>
      <c r="T264" s="273"/>
      <c r="U264" s="382"/>
    </row>
    <row r="265" spans="1:21" s="274" customFormat="1" x14ac:dyDescent="0.3">
      <c r="A265" s="300"/>
      <c r="B265" s="360" t="s">
        <v>74</v>
      </c>
      <c r="C265" s="466"/>
      <c r="D265" s="466"/>
      <c r="E265" s="466"/>
      <c r="F265" s="466"/>
      <c r="G265" s="466"/>
      <c r="H265" s="466"/>
      <c r="I265" s="466"/>
      <c r="J265" s="466"/>
      <c r="K265" s="466"/>
      <c r="L265" s="466"/>
      <c r="M265" s="466"/>
      <c r="N265" s="360">
        <v>0</v>
      </c>
      <c r="O265" s="470">
        <v>0</v>
      </c>
      <c r="P265" s="361">
        <v>0</v>
      </c>
      <c r="Q265" s="470">
        <v>0</v>
      </c>
      <c r="R265" s="435"/>
      <c r="S265" s="447"/>
      <c r="T265" s="273"/>
    </row>
    <row r="266" spans="1:21" s="274" customFormat="1" x14ac:dyDescent="0.3">
      <c r="A266" s="300"/>
      <c r="B266" s="360" t="s">
        <v>119</v>
      </c>
      <c r="C266" s="466"/>
      <c r="D266" s="466"/>
      <c r="E266" s="466"/>
      <c r="F266" s="466"/>
      <c r="G266" s="466"/>
      <c r="H266" s="466"/>
      <c r="I266" s="466"/>
      <c r="J266" s="466"/>
      <c r="K266" s="466"/>
      <c r="L266" s="466"/>
      <c r="M266" s="466"/>
      <c r="N266" s="360">
        <v>0</v>
      </c>
      <c r="O266" s="470">
        <v>0</v>
      </c>
      <c r="P266" s="361">
        <v>0</v>
      </c>
      <c r="Q266" s="470">
        <v>0</v>
      </c>
      <c r="R266" s="435"/>
      <c r="S266" s="447"/>
      <c r="T266" s="273"/>
      <c r="U266" s="382"/>
    </row>
    <row r="267" spans="1:21" s="274" customFormat="1" x14ac:dyDescent="0.3">
      <c r="A267" s="300"/>
      <c r="B267" s="360" t="s">
        <v>120</v>
      </c>
      <c r="C267" s="466"/>
      <c r="D267" s="466"/>
      <c r="E267" s="466"/>
      <c r="F267" s="466"/>
      <c r="G267" s="466"/>
      <c r="H267" s="466"/>
      <c r="I267" s="466"/>
      <c r="J267" s="466"/>
      <c r="K267" s="466"/>
      <c r="L267" s="466"/>
      <c r="M267" s="466"/>
      <c r="N267" s="360">
        <v>0</v>
      </c>
      <c r="O267" s="470">
        <v>0</v>
      </c>
      <c r="P267" s="361">
        <v>0</v>
      </c>
      <c r="Q267" s="470">
        <v>0</v>
      </c>
      <c r="R267" s="435"/>
      <c r="S267" s="447"/>
      <c r="T267" s="273"/>
    </row>
    <row r="268" spans="1:21" s="274" customFormat="1" x14ac:dyDescent="0.3">
      <c r="A268" s="300"/>
      <c r="B268" s="360" t="s">
        <v>121</v>
      </c>
      <c r="C268" s="466"/>
      <c r="D268" s="466"/>
      <c r="E268" s="466"/>
      <c r="F268" s="466"/>
      <c r="G268" s="466"/>
      <c r="H268" s="466"/>
      <c r="I268" s="466"/>
      <c r="J268" s="466"/>
      <c r="K268" s="466"/>
      <c r="L268" s="466"/>
      <c r="M268" s="466"/>
      <c r="N268" s="360">
        <v>0</v>
      </c>
      <c r="O268" s="470">
        <v>0</v>
      </c>
      <c r="P268" s="361">
        <v>0</v>
      </c>
      <c r="Q268" s="470">
        <v>0</v>
      </c>
      <c r="R268" s="435"/>
      <c r="S268" s="447"/>
      <c r="T268" s="273"/>
      <c r="U268" s="382"/>
    </row>
    <row r="269" spans="1:21" s="274" customFormat="1" x14ac:dyDescent="0.3">
      <c r="A269" s="300"/>
      <c r="B269" s="360" t="s">
        <v>122</v>
      </c>
      <c r="C269" s="466"/>
      <c r="D269" s="466"/>
      <c r="E269" s="466"/>
      <c r="F269" s="466"/>
      <c r="G269" s="466"/>
      <c r="H269" s="466"/>
      <c r="I269" s="466"/>
      <c r="J269" s="466"/>
      <c r="K269" s="466"/>
      <c r="L269" s="466"/>
      <c r="M269" s="466"/>
      <c r="N269" s="360">
        <v>0</v>
      </c>
      <c r="O269" s="470">
        <v>0</v>
      </c>
      <c r="P269" s="361">
        <v>0</v>
      </c>
      <c r="Q269" s="470">
        <v>0</v>
      </c>
      <c r="R269" s="435"/>
      <c r="S269" s="447"/>
      <c r="T269" s="273"/>
    </row>
    <row r="270" spans="1:21" s="274" customFormat="1" x14ac:dyDescent="0.3">
      <c r="A270" s="300"/>
      <c r="B270" s="360" t="s">
        <v>123</v>
      </c>
      <c r="C270" s="466"/>
      <c r="D270" s="466"/>
      <c r="E270" s="466"/>
      <c r="F270" s="466"/>
      <c r="G270" s="466"/>
      <c r="H270" s="466"/>
      <c r="I270" s="466"/>
      <c r="J270" s="466"/>
      <c r="K270" s="466"/>
      <c r="L270" s="466"/>
      <c r="M270" s="466"/>
      <c r="N270" s="360">
        <v>0</v>
      </c>
      <c r="O270" s="470">
        <v>0</v>
      </c>
      <c r="P270" s="361">
        <v>0</v>
      </c>
      <c r="Q270" s="470">
        <v>0</v>
      </c>
      <c r="R270" s="435"/>
      <c r="S270" s="447"/>
      <c r="T270" s="273"/>
      <c r="U270" s="382"/>
    </row>
    <row r="271" spans="1:21" s="274" customFormat="1" x14ac:dyDescent="0.3">
      <c r="A271" s="300"/>
      <c r="B271" s="360"/>
      <c r="C271" s="466"/>
      <c r="D271" s="466"/>
      <c r="E271" s="466"/>
      <c r="F271" s="466"/>
      <c r="G271" s="466"/>
      <c r="H271" s="466"/>
      <c r="I271" s="466"/>
      <c r="J271" s="466"/>
      <c r="K271" s="466"/>
      <c r="L271" s="466"/>
      <c r="M271" s="466"/>
      <c r="N271" s="360"/>
      <c r="O271" s="470"/>
      <c r="P271" s="361"/>
      <c r="Q271" s="470"/>
      <c r="R271" s="435"/>
      <c r="S271" s="447"/>
      <c r="T271" s="273"/>
    </row>
    <row r="272" spans="1:21" s="274" customFormat="1" x14ac:dyDescent="0.3">
      <c r="A272" s="300"/>
      <c r="B272" s="293" t="s">
        <v>94</v>
      </c>
      <c r="C272" s="293"/>
      <c r="D272" s="476"/>
      <c r="E272" s="476"/>
      <c r="F272" s="476"/>
      <c r="G272" s="476"/>
      <c r="H272" s="476"/>
      <c r="I272" s="476"/>
      <c r="J272" s="476"/>
      <c r="K272" s="476"/>
      <c r="L272" s="476"/>
      <c r="M272" s="476"/>
      <c r="N272" s="360">
        <f>SUM(N263:N271)</f>
        <v>0</v>
      </c>
      <c r="O272" s="470">
        <f>SUM(O263:O271)</f>
        <v>0</v>
      </c>
      <c r="P272" s="361">
        <f>SUM(P263:P271)</f>
        <v>0</v>
      </c>
      <c r="Q272" s="470">
        <f>SUM(Q263:Q271)</f>
        <v>0</v>
      </c>
      <c r="R272" s="293"/>
      <c r="S272" s="296"/>
      <c r="T272" s="273"/>
    </row>
    <row r="273" spans="1:20" x14ac:dyDescent="0.3">
      <c r="A273" s="258"/>
      <c r="B273" s="362"/>
      <c r="C273" s="362"/>
      <c r="D273" s="477"/>
      <c r="E273" s="477"/>
      <c r="F273" s="477"/>
      <c r="G273" s="477"/>
      <c r="H273" s="477"/>
      <c r="I273" s="477"/>
      <c r="J273" s="477"/>
      <c r="K273" s="477"/>
      <c r="L273" s="477"/>
      <c r="M273" s="477"/>
      <c r="N273" s="363"/>
      <c r="O273" s="478"/>
      <c r="P273" s="479"/>
      <c r="Q273" s="478"/>
      <c r="R273" s="362"/>
      <c r="S273" s="261"/>
      <c r="T273" s="256"/>
    </row>
    <row r="274" spans="1:20" x14ac:dyDescent="0.3">
      <c r="A274" s="285"/>
      <c r="B274" s="368" t="s">
        <v>146</v>
      </c>
      <c r="C274" s="369"/>
      <c r="D274" s="369"/>
      <c r="E274" s="369"/>
      <c r="F274" s="369"/>
      <c r="G274" s="369"/>
      <c r="H274" s="369"/>
      <c r="I274" s="369"/>
      <c r="J274" s="369"/>
      <c r="K274" s="369"/>
      <c r="L274" s="369"/>
      <c r="M274" s="369"/>
      <c r="N274" s="426" t="s">
        <v>83</v>
      </c>
      <c r="O274" s="369" t="s">
        <v>84</v>
      </c>
      <c r="P274" s="426" t="s">
        <v>89</v>
      </c>
      <c r="Q274" s="369" t="s">
        <v>84</v>
      </c>
      <c r="R274" s="286"/>
      <c r="S274" s="289"/>
      <c r="T274" s="256"/>
    </row>
    <row r="275" spans="1:20" s="274" customFormat="1" x14ac:dyDescent="0.3">
      <c r="A275" s="269"/>
      <c r="B275" s="372" t="s">
        <v>72</v>
      </c>
      <c r="C275" s="463"/>
      <c r="D275" s="463"/>
      <c r="E275" s="463"/>
      <c r="F275" s="463"/>
      <c r="G275" s="463"/>
      <c r="H275" s="463"/>
      <c r="I275" s="463"/>
      <c r="J275" s="463"/>
      <c r="K275" s="463"/>
      <c r="L275" s="463"/>
      <c r="M275" s="463"/>
      <c r="N275" s="372">
        <v>0</v>
      </c>
      <c r="O275" s="464">
        <v>0</v>
      </c>
      <c r="P275" s="373">
        <v>0</v>
      </c>
      <c r="Q275" s="464">
        <v>0</v>
      </c>
      <c r="R275" s="290"/>
      <c r="S275" s="272"/>
      <c r="T275" s="273"/>
    </row>
    <row r="276" spans="1:20" s="274" customFormat="1" x14ac:dyDescent="0.3">
      <c r="A276" s="300"/>
      <c r="B276" s="360" t="s">
        <v>73</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74</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t="s">
        <v>119</v>
      </c>
      <c r="C278" s="466"/>
      <c r="D278" s="466"/>
      <c r="E278" s="466"/>
      <c r="F278" s="466"/>
      <c r="G278" s="466"/>
      <c r="H278" s="466"/>
      <c r="I278" s="466"/>
      <c r="J278" s="466"/>
      <c r="K278" s="466"/>
      <c r="L278" s="466"/>
      <c r="M278" s="466"/>
      <c r="N278" s="360">
        <v>0</v>
      </c>
      <c r="O278" s="470">
        <v>0</v>
      </c>
      <c r="P278" s="361">
        <v>0</v>
      </c>
      <c r="Q278" s="470">
        <v>0</v>
      </c>
      <c r="R278" s="293"/>
      <c r="S278" s="296"/>
      <c r="T278" s="273"/>
    </row>
    <row r="279" spans="1:20" s="274" customFormat="1" x14ac:dyDescent="0.3">
      <c r="A279" s="300"/>
      <c r="B279" s="360" t="s">
        <v>120</v>
      </c>
      <c r="C279" s="466"/>
      <c r="D279" s="466"/>
      <c r="E279" s="466"/>
      <c r="F279" s="466"/>
      <c r="G279" s="466"/>
      <c r="H279" s="466"/>
      <c r="I279" s="466"/>
      <c r="J279" s="466"/>
      <c r="K279" s="466"/>
      <c r="L279" s="466"/>
      <c r="M279" s="466"/>
      <c r="N279" s="360">
        <v>0</v>
      </c>
      <c r="O279" s="470">
        <v>0</v>
      </c>
      <c r="P279" s="361">
        <v>0</v>
      </c>
      <c r="Q279" s="470">
        <v>0</v>
      </c>
      <c r="R279" s="293"/>
      <c r="S279" s="296"/>
      <c r="T279" s="273"/>
    </row>
    <row r="280" spans="1:20" s="274" customFormat="1" x14ac:dyDescent="0.3">
      <c r="A280" s="300"/>
      <c r="B280" s="360" t="s">
        <v>121</v>
      </c>
      <c r="C280" s="466"/>
      <c r="D280" s="466"/>
      <c r="E280" s="466"/>
      <c r="F280" s="466"/>
      <c r="G280" s="466"/>
      <c r="H280" s="466"/>
      <c r="I280" s="466"/>
      <c r="J280" s="466"/>
      <c r="K280" s="466"/>
      <c r="L280" s="466"/>
      <c r="M280" s="466"/>
      <c r="N280" s="360">
        <v>0</v>
      </c>
      <c r="O280" s="470">
        <v>0</v>
      </c>
      <c r="P280" s="361">
        <v>0</v>
      </c>
      <c r="Q280" s="470">
        <v>0</v>
      </c>
      <c r="R280" s="293"/>
      <c r="S280" s="296"/>
      <c r="T280" s="273"/>
    </row>
    <row r="281" spans="1:20" s="274" customFormat="1" x14ac:dyDescent="0.3">
      <c r="A281" s="300"/>
      <c r="B281" s="360" t="s">
        <v>122</v>
      </c>
      <c r="C281" s="466"/>
      <c r="D281" s="466"/>
      <c r="E281" s="466"/>
      <c r="F281" s="466"/>
      <c r="G281" s="466"/>
      <c r="H281" s="466"/>
      <c r="I281" s="466"/>
      <c r="J281" s="466"/>
      <c r="K281" s="466"/>
      <c r="L281" s="466"/>
      <c r="M281" s="466"/>
      <c r="N281" s="360">
        <v>0</v>
      </c>
      <c r="O281" s="470">
        <v>0</v>
      </c>
      <c r="P281" s="361">
        <v>0</v>
      </c>
      <c r="Q281" s="470">
        <v>0</v>
      </c>
      <c r="R281" s="293"/>
      <c r="S281" s="296"/>
      <c r="T281" s="273"/>
    </row>
    <row r="282" spans="1:20" s="274" customFormat="1" x14ac:dyDescent="0.3">
      <c r="A282" s="300"/>
      <c r="B282" s="360" t="s">
        <v>123</v>
      </c>
      <c r="C282" s="466"/>
      <c r="D282" s="466"/>
      <c r="E282" s="466"/>
      <c r="F282" s="466"/>
      <c r="G282" s="466"/>
      <c r="H282" s="466"/>
      <c r="I282" s="466"/>
      <c r="J282" s="466"/>
      <c r="K282" s="466"/>
      <c r="L282" s="466"/>
      <c r="M282" s="466"/>
      <c r="N282" s="360">
        <v>0</v>
      </c>
      <c r="O282" s="470">
        <v>0</v>
      </c>
      <c r="P282" s="361">
        <v>0</v>
      </c>
      <c r="Q282" s="470">
        <v>0</v>
      </c>
      <c r="R282" s="293"/>
      <c r="S282" s="296"/>
      <c r="T282" s="273"/>
    </row>
    <row r="283" spans="1:20" s="274" customFormat="1" x14ac:dyDescent="0.3">
      <c r="A283" s="300"/>
      <c r="B283" s="360"/>
      <c r="C283" s="466"/>
      <c r="D283" s="466"/>
      <c r="E283" s="466"/>
      <c r="F283" s="466"/>
      <c r="G283" s="466"/>
      <c r="H283" s="466"/>
      <c r="I283" s="466"/>
      <c r="J283" s="466"/>
      <c r="K283" s="466"/>
      <c r="L283" s="466"/>
      <c r="M283" s="466"/>
      <c r="N283" s="360"/>
      <c r="O283" s="470"/>
      <c r="P283" s="361"/>
      <c r="Q283" s="470"/>
      <c r="R283" s="293"/>
      <c r="S283" s="296"/>
      <c r="T283" s="273"/>
    </row>
    <row r="284" spans="1:20" s="274" customFormat="1" x14ac:dyDescent="0.3">
      <c r="A284" s="300"/>
      <c r="B284" s="293" t="s">
        <v>94</v>
      </c>
      <c r="C284" s="293"/>
      <c r="D284" s="476"/>
      <c r="E284" s="476"/>
      <c r="F284" s="476"/>
      <c r="G284" s="476"/>
      <c r="H284" s="476"/>
      <c r="I284" s="476"/>
      <c r="J284" s="476"/>
      <c r="K284" s="476"/>
      <c r="L284" s="476"/>
      <c r="M284" s="476"/>
      <c r="N284" s="360">
        <f>SUM(N275:N283)</f>
        <v>0</v>
      </c>
      <c r="O284" s="470">
        <f>SUM(O275:O283)</f>
        <v>0</v>
      </c>
      <c r="P284" s="361">
        <f>SUM(P275:P283)</f>
        <v>0</v>
      </c>
      <c r="Q284" s="470">
        <f>SUM(Q275:Q283)</f>
        <v>0</v>
      </c>
      <c r="R284" s="293"/>
      <c r="S284" s="296"/>
      <c r="T284" s="273"/>
    </row>
    <row r="285" spans="1:20" x14ac:dyDescent="0.3">
      <c r="A285" s="258"/>
      <c r="B285" s="362"/>
      <c r="C285" s="362"/>
      <c r="D285" s="477"/>
      <c r="E285" s="477"/>
      <c r="F285" s="477"/>
      <c r="G285" s="477"/>
      <c r="H285" s="477"/>
      <c r="I285" s="477"/>
      <c r="J285" s="477"/>
      <c r="K285" s="477"/>
      <c r="L285" s="477"/>
      <c r="M285" s="477"/>
      <c r="N285" s="363"/>
      <c r="O285" s="478"/>
      <c r="P285" s="479"/>
      <c r="Q285" s="478"/>
      <c r="R285" s="362"/>
      <c r="S285" s="261"/>
      <c r="T285" s="256"/>
    </row>
    <row r="286" spans="1:20" x14ac:dyDescent="0.3">
      <c r="A286" s="285"/>
      <c r="B286" s="368" t="s">
        <v>125</v>
      </c>
      <c r="C286" s="286"/>
      <c r="D286" s="480"/>
      <c r="E286" s="480"/>
      <c r="F286" s="480"/>
      <c r="G286" s="480"/>
      <c r="H286" s="480"/>
      <c r="I286" s="480"/>
      <c r="J286" s="480"/>
      <c r="K286" s="480"/>
      <c r="L286" s="480"/>
      <c r="M286" s="480"/>
      <c r="N286" s="426" t="s">
        <v>83</v>
      </c>
      <c r="O286" s="369" t="s">
        <v>84</v>
      </c>
      <c r="P286" s="426" t="s">
        <v>89</v>
      </c>
      <c r="Q286" s="369" t="s">
        <v>84</v>
      </c>
      <c r="R286" s="286"/>
      <c r="S286" s="289"/>
      <c r="T286" s="256"/>
    </row>
    <row r="287" spans="1:20" s="274" customFormat="1" x14ac:dyDescent="0.3">
      <c r="A287" s="269"/>
      <c r="B287" s="372" t="s">
        <v>72</v>
      </c>
      <c r="C287" s="290"/>
      <c r="D287" s="481"/>
      <c r="E287" s="481"/>
      <c r="F287" s="481"/>
      <c r="G287" s="481"/>
      <c r="H287" s="481"/>
      <c r="I287" s="481"/>
      <c r="J287" s="481"/>
      <c r="K287" s="481"/>
      <c r="L287" s="481"/>
      <c r="M287" s="481"/>
      <c r="N287" s="372">
        <v>0</v>
      </c>
      <c r="O287" s="464">
        <v>0</v>
      </c>
      <c r="P287" s="373">
        <v>0</v>
      </c>
      <c r="Q287" s="464">
        <v>0</v>
      </c>
      <c r="R287" s="290"/>
      <c r="S287" s="272"/>
      <c r="T287" s="273"/>
    </row>
    <row r="288" spans="1:20" s="274" customFormat="1" x14ac:dyDescent="0.3">
      <c r="A288" s="300"/>
      <c r="B288" s="360" t="s">
        <v>73</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74</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t="s">
        <v>119</v>
      </c>
      <c r="C290" s="293"/>
      <c r="D290" s="476"/>
      <c r="E290" s="476"/>
      <c r="F290" s="476"/>
      <c r="G290" s="476"/>
      <c r="H290" s="476"/>
      <c r="I290" s="476"/>
      <c r="J290" s="476"/>
      <c r="K290" s="476"/>
      <c r="L290" s="476"/>
      <c r="M290" s="476"/>
      <c r="N290" s="360">
        <v>0</v>
      </c>
      <c r="O290" s="470">
        <v>0</v>
      </c>
      <c r="P290" s="361">
        <v>0</v>
      </c>
      <c r="Q290" s="470">
        <v>0</v>
      </c>
      <c r="R290" s="293"/>
      <c r="S290" s="296"/>
      <c r="T290" s="273"/>
    </row>
    <row r="291" spans="1:20" s="274" customFormat="1" x14ac:dyDescent="0.3">
      <c r="A291" s="300"/>
      <c r="B291" s="360" t="s">
        <v>120</v>
      </c>
      <c r="C291" s="293"/>
      <c r="D291" s="476"/>
      <c r="E291" s="476"/>
      <c r="F291" s="476"/>
      <c r="G291" s="476"/>
      <c r="H291" s="476"/>
      <c r="I291" s="476"/>
      <c r="J291" s="476"/>
      <c r="K291" s="476"/>
      <c r="L291" s="476"/>
      <c r="M291" s="476"/>
      <c r="N291" s="360">
        <v>0</v>
      </c>
      <c r="O291" s="470">
        <v>0</v>
      </c>
      <c r="P291" s="361">
        <v>0</v>
      </c>
      <c r="Q291" s="470">
        <v>0</v>
      </c>
      <c r="R291" s="293"/>
      <c r="S291" s="296"/>
      <c r="T291" s="273"/>
    </row>
    <row r="292" spans="1:20" s="274" customFormat="1" x14ac:dyDescent="0.3">
      <c r="A292" s="300"/>
      <c r="B292" s="360" t="s">
        <v>121</v>
      </c>
      <c r="C292" s="293"/>
      <c r="D292" s="476"/>
      <c r="E292" s="476"/>
      <c r="F292" s="476"/>
      <c r="G292" s="476"/>
      <c r="H292" s="476"/>
      <c r="I292" s="476"/>
      <c r="J292" s="476"/>
      <c r="K292" s="476"/>
      <c r="L292" s="476"/>
      <c r="M292" s="476"/>
      <c r="N292" s="360">
        <v>0</v>
      </c>
      <c r="O292" s="470">
        <v>0</v>
      </c>
      <c r="P292" s="361">
        <v>0</v>
      </c>
      <c r="Q292" s="470">
        <v>0</v>
      </c>
      <c r="R292" s="293"/>
      <c r="S292" s="296"/>
      <c r="T292" s="273"/>
    </row>
    <row r="293" spans="1:20" s="274" customFormat="1" x14ac:dyDescent="0.3">
      <c r="A293" s="300"/>
      <c r="B293" s="360" t="s">
        <v>122</v>
      </c>
      <c r="C293" s="293"/>
      <c r="D293" s="476"/>
      <c r="E293" s="476"/>
      <c r="F293" s="476"/>
      <c r="G293" s="476"/>
      <c r="H293" s="476"/>
      <c r="I293" s="476"/>
      <c r="J293" s="476"/>
      <c r="K293" s="476"/>
      <c r="L293" s="476"/>
      <c r="M293" s="476"/>
      <c r="N293" s="360">
        <v>0</v>
      </c>
      <c r="O293" s="470">
        <v>0</v>
      </c>
      <c r="P293" s="361">
        <v>0</v>
      </c>
      <c r="Q293" s="470">
        <v>0</v>
      </c>
      <c r="R293" s="293"/>
      <c r="S293" s="296"/>
      <c r="T293" s="273"/>
    </row>
    <row r="294" spans="1:20" s="274" customFormat="1" x14ac:dyDescent="0.3">
      <c r="A294" s="300"/>
      <c r="B294" s="360" t="s">
        <v>123</v>
      </c>
      <c r="C294" s="293"/>
      <c r="D294" s="476"/>
      <c r="E294" s="476"/>
      <c r="F294" s="476"/>
      <c r="G294" s="476"/>
      <c r="H294" s="476"/>
      <c r="I294" s="476"/>
      <c r="J294" s="476"/>
      <c r="K294" s="476"/>
      <c r="L294" s="476"/>
      <c r="M294" s="476"/>
      <c r="N294" s="360">
        <v>0</v>
      </c>
      <c r="O294" s="470">
        <v>0</v>
      </c>
      <c r="P294" s="361">
        <v>0</v>
      </c>
      <c r="Q294" s="470">
        <v>0</v>
      </c>
      <c r="R294" s="293"/>
      <c r="S294" s="296"/>
      <c r="T294" s="273"/>
    </row>
    <row r="295" spans="1:20" s="274" customFormat="1" x14ac:dyDescent="0.3">
      <c r="A295" s="300"/>
      <c r="B295" s="360"/>
      <c r="C295" s="293"/>
      <c r="D295" s="476"/>
      <c r="E295" s="476"/>
      <c r="F295" s="476"/>
      <c r="G295" s="476"/>
      <c r="H295" s="476"/>
      <c r="I295" s="476"/>
      <c r="J295" s="476"/>
      <c r="K295" s="476"/>
      <c r="L295" s="476"/>
      <c r="M295" s="476"/>
      <c r="N295" s="360"/>
      <c r="O295" s="470"/>
      <c r="P295" s="361"/>
      <c r="Q295" s="470"/>
      <c r="R295" s="293"/>
      <c r="S295" s="296"/>
      <c r="T295" s="273"/>
    </row>
    <row r="296" spans="1:20" s="274" customFormat="1" x14ac:dyDescent="0.3">
      <c r="A296" s="300"/>
      <c r="B296" s="293" t="s">
        <v>94</v>
      </c>
      <c r="C296" s="293"/>
      <c r="D296" s="476"/>
      <c r="E296" s="476"/>
      <c r="F296" s="476"/>
      <c r="G296" s="476"/>
      <c r="H296" s="476"/>
      <c r="I296" s="476"/>
      <c r="J296" s="476"/>
      <c r="K296" s="476"/>
      <c r="L296" s="476"/>
      <c r="M296" s="476"/>
      <c r="N296" s="360">
        <f>SUM(N287:N294)</f>
        <v>0</v>
      </c>
      <c r="O296" s="470">
        <f>SUM(O287:O294)</f>
        <v>0</v>
      </c>
      <c r="P296" s="361">
        <f>SUM(P287:P294)</f>
        <v>0</v>
      </c>
      <c r="Q296" s="470">
        <f>SUM(Q287:Q294)</f>
        <v>0</v>
      </c>
      <c r="R296" s="293"/>
      <c r="S296" s="296"/>
      <c r="T296" s="273"/>
    </row>
    <row r="297" spans="1:20" s="274" customFormat="1" x14ac:dyDescent="0.3">
      <c r="A297" s="300"/>
      <c r="B297" s="293"/>
      <c r="C297" s="293"/>
      <c r="D297" s="476"/>
      <c r="E297" s="476"/>
      <c r="F297" s="476"/>
      <c r="G297" s="476"/>
      <c r="H297" s="476"/>
      <c r="I297" s="476"/>
      <c r="J297" s="476"/>
      <c r="K297" s="476"/>
      <c r="L297" s="476"/>
      <c r="M297" s="476"/>
      <c r="N297" s="360"/>
      <c r="O297" s="470"/>
      <c r="P297" s="361"/>
      <c r="Q297" s="470"/>
      <c r="R297" s="293"/>
      <c r="S297" s="296"/>
      <c r="T297" s="273"/>
    </row>
    <row r="298" spans="1:20" s="274" customFormat="1" x14ac:dyDescent="0.3">
      <c r="A298" s="300"/>
      <c r="B298" s="297" t="s">
        <v>176</v>
      </c>
      <c r="C298" s="293"/>
      <c r="D298" s="476"/>
      <c r="E298" s="476"/>
      <c r="F298" s="476"/>
      <c r="G298" s="476"/>
      <c r="H298" s="476"/>
      <c r="I298" s="476"/>
      <c r="J298" s="476"/>
      <c r="K298" s="476"/>
      <c r="L298" s="476"/>
      <c r="M298" s="476"/>
      <c r="N298" s="482">
        <f>N296+N284+N272</f>
        <v>0</v>
      </c>
      <c r="O298" s="470"/>
      <c r="P298" s="483">
        <f>+P296+P284+P272</f>
        <v>0</v>
      </c>
      <c r="Q298" s="470"/>
      <c r="R298" s="293"/>
      <c r="S298" s="296"/>
      <c r="T298" s="273"/>
    </row>
    <row r="299" spans="1:20" s="274" customFormat="1" x14ac:dyDescent="0.3">
      <c r="A299" s="300"/>
      <c r="B299" s="297" t="s">
        <v>216</v>
      </c>
      <c r="C299" s="297"/>
      <c r="D299" s="484"/>
      <c r="E299" s="484"/>
      <c r="F299" s="484"/>
      <c r="G299" s="484"/>
      <c r="H299" s="484"/>
      <c r="I299" s="484"/>
      <c r="J299" s="484"/>
      <c r="K299" s="484"/>
      <c r="L299" s="484"/>
      <c r="M299" s="484"/>
      <c r="N299" s="482"/>
      <c r="O299" s="485"/>
      <c r="P299" s="483">
        <f>+R185</f>
        <v>0</v>
      </c>
      <c r="Q299" s="470"/>
      <c r="R299" s="293"/>
      <c r="S299" s="296"/>
      <c r="T299" s="273"/>
    </row>
    <row r="300" spans="1:20" s="274" customFormat="1" x14ac:dyDescent="0.3">
      <c r="A300" s="300"/>
      <c r="B300" s="297" t="s">
        <v>126</v>
      </c>
      <c r="C300" s="297"/>
      <c r="D300" s="484"/>
      <c r="E300" s="484"/>
      <c r="F300" s="484"/>
      <c r="G300" s="484"/>
      <c r="H300" s="484"/>
      <c r="I300" s="484"/>
      <c r="J300" s="484"/>
      <c r="K300" s="484"/>
      <c r="L300" s="484"/>
      <c r="M300" s="484"/>
      <c r="N300" s="482"/>
      <c r="O300" s="485"/>
      <c r="P300" s="483">
        <f>+P298+P299</f>
        <v>0</v>
      </c>
      <c r="Q300" s="470"/>
      <c r="R300" s="293"/>
      <c r="S300" s="296"/>
      <c r="T300" s="273"/>
    </row>
    <row r="301" spans="1:20" s="274" customFormat="1" x14ac:dyDescent="0.3">
      <c r="A301" s="300"/>
      <c r="B301" s="297" t="s">
        <v>175</v>
      </c>
      <c r="C301" s="293"/>
      <c r="D301" s="476"/>
      <c r="E301" s="476"/>
      <c r="F301" s="476"/>
      <c r="G301" s="476"/>
      <c r="H301" s="476"/>
      <c r="I301" s="476"/>
      <c r="J301" s="476"/>
      <c r="K301" s="476"/>
      <c r="L301" s="476"/>
      <c r="M301" s="476"/>
      <c r="N301" s="482"/>
      <c r="O301" s="470"/>
      <c r="P301" s="483">
        <f>+R80</f>
        <v>0</v>
      </c>
      <c r="Q301" s="470"/>
      <c r="R301" s="293"/>
      <c r="S301" s="296"/>
      <c r="T301" s="273"/>
    </row>
    <row r="302" spans="1:20" s="274" customFormat="1" x14ac:dyDescent="0.3">
      <c r="A302" s="300"/>
      <c r="B302" s="297"/>
      <c r="C302" s="293"/>
      <c r="D302" s="476"/>
      <c r="E302" s="476"/>
      <c r="F302" s="476"/>
      <c r="G302" s="476"/>
      <c r="H302" s="476"/>
      <c r="I302" s="476"/>
      <c r="J302" s="476"/>
      <c r="K302" s="476"/>
      <c r="L302" s="476"/>
      <c r="M302" s="476"/>
      <c r="N302" s="482"/>
      <c r="O302" s="470"/>
      <c r="P302" s="483"/>
      <c r="Q302" s="470"/>
      <c r="R302" s="293"/>
      <c r="S302" s="296"/>
      <c r="T302" s="273"/>
    </row>
    <row r="303" spans="1:20" s="274" customFormat="1" x14ac:dyDescent="0.3">
      <c r="A303" s="300"/>
      <c r="B303" s="297" t="s">
        <v>201</v>
      </c>
      <c r="C303" s="293"/>
      <c r="D303" s="476"/>
      <c r="E303" s="476"/>
      <c r="F303" s="476"/>
      <c r="G303" s="476"/>
      <c r="H303" s="476"/>
      <c r="I303" s="476"/>
      <c r="J303" s="476"/>
      <c r="K303" s="476"/>
      <c r="L303" s="476"/>
      <c r="M303" s="476"/>
      <c r="N303" s="482"/>
      <c r="O303" s="470"/>
      <c r="P303" s="486" t="s">
        <v>97</v>
      </c>
      <c r="Q303" s="470"/>
      <c r="R303" s="293"/>
      <c r="S303" s="296"/>
      <c r="T303" s="273"/>
    </row>
    <row r="304" spans="1:20" s="274" customFormat="1" x14ac:dyDescent="0.3">
      <c r="A304" s="269"/>
      <c r="B304" s="271"/>
      <c r="C304" s="271"/>
      <c r="D304" s="487"/>
      <c r="E304" s="487"/>
      <c r="F304" s="487"/>
      <c r="G304" s="487"/>
      <c r="H304" s="487"/>
      <c r="I304" s="487"/>
      <c r="J304" s="487"/>
      <c r="K304" s="487"/>
      <c r="L304" s="487"/>
      <c r="M304" s="487"/>
      <c r="N304" s="487"/>
      <c r="O304" s="487"/>
      <c r="P304" s="488"/>
      <c r="Q304" s="487"/>
      <c r="R304" s="271"/>
      <c r="S304" s="272"/>
      <c r="T304" s="273"/>
    </row>
    <row r="305" spans="1:20" s="274" customFormat="1" x14ac:dyDescent="0.3">
      <c r="A305" s="269"/>
      <c r="B305" s="270" t="s">
        <v>75</v>
      </c>
      <c r="C305" s="271"/>
      <c r="D305" s="489" t="s">
        <v>79</v>
      </c>
      <c r="E305" s="270"/>
      <c r="F305" s="270" t="s">
        <v>80</v>
      </c>
      <c r="G305" s="271"/>
      <c r="H305" s="270"/>
      <c r="I305" s="271"/>
      <c r="J305" s="271"/>
      <c r="K305" s="271"/>
      <c r="L305" s="271"/>
      <c r="M305" s="271"/>
      <c r="N305" s="271"/>
      <c r="O305" s="271"/>
      <c r="P305" s="271"/>
      <c r="Q305" s="271"/>
      <c r="R305" s="271"/>
      <c r="S305" s="272"/>
      <c r="T305" s="273"/>
    </row>
    <row r="306" spans="1:20" s="274" customFormat="1" x14ac:dyDescent="0.3">
      <c r="A306" s="269"/>
      <c r="B306" s="271"/>
      <c r="C306" s="271"/>
      <c r="D306" s="271"/>
      <c r="E306" s="271"/>
      <c r="F306" s="271"/>
      <c r="G306" s="271"/>
      <c r="H306" s="271"/>
      <c r="I306" s="271"/>
      <c r="J306" s="271"/>
      <c r="K306" s="271"/>
      <c r="L306" s="271"/>
      <c r="M306" s="271"/>
      <c r="N306" s="271"/>
      <c r="O306" s="271"/>
      <c r="P306" s="271"/>
      <c r="Q306" s="271"/>
      <c r="R306" s="271"/>
      <c r="S306" s="272"/>
      <c r="T306" s="273"/>
    </row>
    <row r="307" spans="1:20" s="274" customFormat="1" x14ac:dyDescent="0.3">
      <c r="A307" s="269"/>
      <c r="B307" s="270" t="s">
        <v>192</v>
      </c>
      <c r="C307" s="270"/>
      <c r="D307" s="490" t="s">
        <v>147</v>
      </c>
      <c r="E307" s="270"/>
      <c r="F307" s="270" t="s">
        <v>286</v>
      </c>
      <c r="G307" s="270"/>
      <c r="H307" s="270"/>
      <c r="I307" s="271"/>
      <c r="J307" s="271"/>
      <c r="K307" s="271"/>
      <c r="L307" s="271"/>
      <c r="M307" s="271"/>
      <c r="N307" s="271"/>
      <c r="O307" s="271"/>
      <c r="P307" s="271"/>
      <c r="Q307" s="271"/>
      <c r="R307" s="271"/>
      <c r="S307" s="272"/>
      <c r="T307" s="273"/>
    </row>
    <row r="308" spans="1:20" s="274" customFormat="1" x14ac:dyDescent="0.3">
      <c r="A308" s="269"/>
      <c r="B308" s="270" t="s">
        <v>193</v>
      </c>
      <c r="C308" s="270"/>
      <c r="D308" s="490" t="s">
        <v>114</v>
      </c>
      <c r="E308" s="270"/>
      <c r="F308" s="270" t="s">
        <v>287</v>
      </c>
      <c r="G308" s="270"/>
      <c r="H308" s="270"/>
      <c r="I308" s="271"/>
      <c r="J308" s="271"/>
      <c r="K308" s="271"/>
      <c r="L308" s="271"/>
      <c r="M308" s="271"/>
      <c r="N308" s="271"/>
      <c r="O308" s="271"/>
      <c r="P308" s="271"/>
      <c r="Q308" s="271"/>
      <c r="R308" s="271"/>
      <c r="S308" s="272"/>
      <c r="T308" s="273"/>
    </row>
    <row r="309" spans="1:20" x14ac:dyDescent="0.3">
      <c r="A309" s="491"/>
      <c r="B309" s="492"/>
      <c r="C309" s="492"/>
      <c r="D309" s="493"/>
      <c r="E309" s="493"/>
      <c r="F309" s="493"/>
      <c r="G309" s="493"/>
      <c r="H309" s="493"/>
      <c r="I309" s="493"/>
      <c r="J309" s="493"/>
      <c r="K309" s="493"/>
      <c r="L309" s="493"/>
      <c r="M309" s="493"/>
      <c r="N309" s="493"/>
      <c r="O309" s="493"/>
      <c r="P309" s="493"/>
      <c r="Q309" s="493"/>
      <c r="R309" s="493"/>
      <c r="S309" s="494"/>
      <c r="T309" s="256"/>
    </row>
    <row r="310" spans="1:20" x14ac:dyDescent="0.3">
      <c r="A310" s="491"/>
      <c r="B310" s="492"/>
      <c r="C310" s="492"/>
      <c r="D310" s="493"/>
      <c r="E310" s="493"/>
      <c r="F310" s="493"/>
      <c r="G310" s="493"/>
      <c r="H310" s="493"/>
      <c r="I310" s="493"/>
      <c r="J310" s="493"/>
      <c r="K310" s="493"/>
      <c r="L310" s="493"/>
      <c r="M310" s="493"/>
      <c r="N310" s="493"/>
      <c r="O310" s="493"/>
      <c r="P310" s="493"/>
      <c r="Q310" s="493"/>
      <c r="R310" s="493"/>
      <c r="S310" s="494"/>
      <c r="T310" s="256"/>
    </row>
    <row r="311" spans="1:20" ht="18.600000000000001" thickBot="1" x14ac:dyDescent="0.4">
      <c r="A311" s="491"/>
      <c r="B311" s="495" t="str">
        <f>B210</f>
        <v>PM24 INVESTOR REPORT QUARTER ENDING MARCH 2020</v>
      </c>
      <c r="C311" s="492"/>
      <c r="D311" s="493"/>
      <c r="E311" s="493"/>
      <c r="F311" s="493"/>
      <c r="G311" s="493"/>
      <c r="H311" s="493"/>
      <c r="I311" s="493"/>
      <c r="J311" s="493"/>
      <c r="K311" s="493"/>
      <c r="L311" s="493"/>
      <c r="M311" s="493"/>
      <c r="N311" s="493"/>
      <c r="O311" s="493"/>
      <c r="P311" s="493"/>
      <c r="Q311" s="493"/>
      <c r="R311" s="493"/>
      <c r="S311" s="496"/>
      <c r="T311" s="256"/>
    </row>
    <row r="312" spans="1:20" x14ac:dyDescent="0.3">
      <c r="A312" s="497"/>
      <c r="B312" s="497"/>
      <c r="C312" s="497"/>
      <c r="D312" s="497"/>
      <c r="E312" s="497"/>
      <c r="F312" s="497"/>
      <c r="G312" s="497"/>
      <c r="H312" s="497"/>
      <c r="I312" s="497"/>
      <c r="J312" s="497"/>
      <c r="K312" s="497"/>
      <c r="L312" s="497"/>
      <c r="M312" s="497"/>
      <c r="N312" s="497"/>
      <c r="O312" s="497"/>
      <c r="P312" s="497"/>
      <c r="Q312" s="497"/>
      <c r="R312" s="497"/>
      <c r="S312" s="497"/>
    </row>
  </sheetData>
  <hyperlinks>
    <hyperlink ref="N248" r:id="rId1" display="http://www.paragon-group.co.uk" xr:uid="{8D2C8D94-74CC-4EBB-AA48-6E5A3287D3BF}"/>
    <hyperlink ref="K9" r:id="rId2" display="http://www.paragon-group.co.uk" xr:uid="{7906BB29-3960-4C6D-8FA1-C942E5575DE5}"/>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6" max="18" man="1"/>
    <brk id="210"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9CB31"/>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42572</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f>D28*D35</f>
        <v>122589.325</v>
      </c>
      <c r="E29" s="130"/>
      <c r="F29" s="201">
        <f>F28*F35</f>
        <v>204282.85118</v>
      </c>
      <c r="G29" s="201"/>
      <c r="H29" s="201">
        <f>H28*H35</f>
        <v>19300</v>
      </c>
      <c r="I29" s="201"/>
      <c r="J29" s="201">
        <f>J28*J35</f>
        <v>25400</v>
      </c>
      <c r="K29" s="126"/>
      <c r="L29" s="201">
        <f>L28*L35</f>
        <v>8753</v>
      </c>
      <c r="M29" s="126"/>
      <c r="N29" s="130"/>
      <c r="O29" s="126"/>
      <c r="P29" s="126"/>
      <c r="Q29" s="127"/>
      <c r="R29" s="126"/>
      <c r="S29" s="128"/>
      <c r="T29" s="2"/>
    </row>
    <row r="30" spans="1:23" ht="15.6" x14ac:dyDescent="0.3">
      <c r="A30" s="122"/>
      <c r="B30" s="121" t="s">
        <v>107</v>
      </c>
      <c r="C30" s="125"/>
      <c r="D30" s="236">
        <f>D28*D34</f>
        <v>120709.7</v>
      </c>
      <c r="E30" s="202"/>
      <c r="F30" s="202">
        <f t="shared" ref="F30" si="0">F28*F34</f>
        <v>201150.64408</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f>D31*D35</f>
        <v>86653.980626799996</v>
      </c>
      <c r="E32" s="201"/>
      <c r="F32" s="201">
        <f>F31*F35</f>
        <v>204282.85118</v>
      </c>
      <c r="G32" s="201"/>
      <c r="H32" s="201">
        <f>H31*H35</f>
        <v>19300</v>
      </c>
      <c r="I32" s="201"/>
      <c r="J32" s="201">
        <f>J31*J35</f>
        <v>25400</v>
      </c>
      <c r="K32" s="201"/>
      <c r="L32" s="201">
        <f>L31*L35</f>
        <v>8753</v>
      </c>
      <c r="M32" s="126"/>
      <c r="N32" s="133"/>
      <c r="O32" s="126"/>
      <c r="P32" s="126"/>
      <c r="Q32" s="127"/>
      <c r="R32" s="126">
        <f>SUM(D32:L32)</f>
        <v>344389.83180679998</v>
      </c>
      <c r="S32" s="128"/>
      <c r="T32" s="2"/>
    </row>
    <row r="33" spans="1:20" ht="15.6" x14ac:dyDescent="0.3">
      <c r="A33" s="122"/>
      <c r="B33" s="124" t="s">
        <v>223</v>
      </c>
      <c r="C33" s="125"/>
      <c r="D33" s="237">
        <f>D31*D34</f>
        <v>85325.341380800004</v>
      </c>
      <c r="E33" s="237"/>
      <c r="F33" s="237">
        <f t="shared" ref="F33:L33" si="4">F31*F34</f>
        <v>201150.64408</v>
      </c>
      <c r="G33" s="237"/>
      <c r="H33" s="237">
        <f t="shared" si="4"/>
        <v>19300</v>
      </c>
      <c r="I33" s="237"/>
      <c r="J33" s="237">
        <f t="shared" si="4"/>
        <v>25400</v>
      </c>
      <c r="K33" s="237"/>
      <c r="L33" s="237">
        <f t="shared" si="4"/>
        <v>8753</v>
      </c>
      <c r="M33" s="131"/>
      <c r="N33" s="133"/>
      <c r="O33" s="126"/>
      <c r="P33" s="126"/>
      <c r="Q33" s="127"/>
      <c r="R33" s="203">
        <f>SUM(D33:L33)</f>
        <v>339928.9854608</v>
      </c>
      <c r="S33" s="128"/>
      <c r="T33" s="2"/>
    </row>
    <row r="34" spans="1:20" ht="15.6" x14ac:dyDescent="0.3">
      <c r="A34" s="112"/>
      <c r="B34" s="134" t="s">
        <v>103</v>
      </c>
      <c r="C34" s="135"/>
      <c r="D34" s="136">
        <v>0.96567760000000002</v>
      </c>
      <c r="E34" s="136"/>
      <c r="F34" s="136">
        <v>0.96567760000000002</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0.98071459999999999</v>
      </c>
      <c r="E35" s="136"/>
      <c r="F35" s="136">
        <v>0.98071459999999999</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8.5100000000000002E-3</v>
      </c>
      <c r="E37" s="143"/>
      <c r="F37" s="143">
        <v>2.08781E-2</v>
      </c>
      <c r="G37" s="143"/>
      <c r="H37" s="143">
        <v>3.0378100000000002E-2</v>
      </c>
      <c r="I37" s="143"/>
      <c r="J37" s="143">
        <v>3.7878099999999998E-2</v>
      </c>
      <c r="K37" s="143"/>
      <c r="L37" s="143">
        <v>4.1378100000000001E-2</v>
      </c>
      <c r="M37" s="142"/>
      <c r="N37" s="143"/>
      <c r="O37" s="123"/>
      <c r="P37" s="123"/>
      <c r="Q37" s="115"/>
      <c r="R37" s="142"/>
      <c r="S37" s="116"/>
      <c r="T37" s="2"/>
    </row>
    <row r="38" spans="1:20" ht="15.6" x14ac:dyDescent="0.3">
      <c r="A38" s="112"/>
      <c r="B38" s="113" t="s">
        <v>10</v>
      </c>
      <c r="C38" s="144"/>
      <c r="D38" s="143">
        <v>1.056E-2</v>
      </c>
      <c r="E38" s="143"/>
      <c r="F38" s="143">
        <v>2.1717400000000001E-2</v>
      </c>
      <c r="G38" s="143"/>
      <c r="H38" s="143">
        <v>3.1217399999999999E-2</v>
      </c>
      <c r="I38" s="143"/>
      <c r="J38" s="143">
        <v>3.8717399999999999E-2</v>
      </c>
      <c r="K38" s="143"/>
      <c r="L38" s="143">
        <v>4.2217400000000002E-2</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2.33481E-2</v>
      </c>
      <c r="E40" s="143"/>
      <c r="F40" s="143">
        <f>+F37</f>
        <v>2.08781E-2</v>
      </c>
      <c r="G40" s="143"/>
      <c r="H40" s="143">
        <f>+H37</f>
        <v>3.0378100000000002E-2</v>
      </c>
      <c r="I40" s="143"/>
      <c r="J40" s="143">
        <f>+J37</f>
        <v>3.7878099999999998E-2</v>
      </c>
      <c r="K40" s="143"/>
      <c r="L40" s="143">
        <f>+L37</f>
        <v>4.1378100000000001E-2</v>
      </c>
      <c r="M40" s="142"/>
      <c r="N40" s="143"/>
      <c r="O40" s="123"/>
      <c r="P40" s="123"/>
      <c r="Q40" s="115"/>
      <c r="R40" s="142">
        <f>SUMPRODUCT(D40:L40,D32:L32)/R32</f>
        <v>2.3806821289059501E-2</v>
      </c>
      <c r="S40" s="116"/>
      <c r="T40" s="2"/>
    </row>
    <row r="41" spans="1:20" ht="15.6" x14ac:dyDescent="0.3">
      <c r="A41" s="112"/>
      <c r="B41" s="113" t="s">
        <v>228</v>
      </c>
      <c r="C41" s="144"/>
      <c r="D41" s="143">
        <v>2.4187400000000001E-2</v>
      </c>
      <c r="E41" s="143"/>
      <c r="F41" s="143">
        <f>+F38</f>
        <v>2.1717400000000001E-2</v>
      </c>
      <c r="G41" s="143"/>
      <c r="H41" s="143">
        <f>+H38</f>
        <v>3.1217399999999999E-2</v>
      </c>
      <c r="I41" s="143"/>
      <c r="J41" s="143">
        <f>+J38</f>
        <v>3.8717399999999999E-2</v>
      </c>
      <c r="K41" s="143"/>
      <c r="L41" s="143">
        <f>+L38</f>
        <v>4.2217400000000002E-2</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0.18658806571175668</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42566</v>
      </c>
      <c r="S52" s="116"/>
      <c r="T52" s="2"/>
    </row>
    <row r="53" spans="1:21" ht="15.6" x14ac:dyDescent="0.3">
      <c r="A53" s="112"/>
      <c r="B53" s="113" t="s">
        <v>99</v>
      </c>
      <c r="C53" s="113"/>
      <c r="D53" s="150"/>
      <c r="E53" s="150"/>
      <c r="F53" s="150"/>
      <c r="G53" s="150"/>
      <c r="H53" s="150"/>
      <c r="I53" s="150"/>
      <c r="J53" s="150"/>
      <c r="K53" s="150"/>
      <c r="L53" s="150"/>
      <c r="M53" s="150"/>
      <c r="N53" s="113">
        <f>+R53-P53+1</f>
        <v>148</v>
      </c>
      <c r="O53" s="113"/>
      <c r="P53" s="151">
        <v>42327</v>
      </c>
      <c r="Q53" s="152"/>
      <c r="R53" s="151">
        <v>42474</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42475</v>
      </c>
      <c r="Q54" s="152"/>
      <c r="R54" s="151">
        <v>42565</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42552</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275</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342890</v>
      </c>
      <c r="I64" s="155"/>
      <c r="J64" s="156">
        <v>200</v>
      </c>
      <c r="K64" s="155"/>
      <c r="L64" s="155">
        <f>4214+131</f>
        <v>4345</v>
      </c>
      <c r="M64" s="155"/>
      <c r="N64" s="155">
        <f>139+84</f>
        <v>223</v>
      </c>
      <c r="O64" s="155"/>
      <c r="P64" s="155">
        <v>0</v>
      </c>
      <c r="Q64" s="155"/>
      <c r="R64" s="156">
        <f>H64-J64-L64+N64-P64</f>
        <v>338568</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342890</v>
      </c>
      <c r="I67" s="155"/>
      <c r="J67" s="155">
        <f>J64+J65</f>
        <v>200</v>
      </c>
      <c r="K67" s="155"/>
      <c r="L67" s="155">
        <f>SUM(L64:L66)</f>
        <v>4345</v>
      </c>
      <c r="M67" s="155"/>
      <c r="N67" s="155">
        <f>SUM(N64:N66)</f>
        <v>223</v>
      </c>
      <c r="O67" s="155"/>
      <c r="P67" s="155">
        <f>SUM(P64:P66)</f>
        <v>0</v>
      </c>
      <c r="Q67" s="155"/>
      <c r="R67" s="155">
        <f>SUM(R64:R66)</f>
        <v>338568</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1500</v>
      </c>
      <c r="I78" s="155"/>
      <c r="J78" s="155"/>
      <c r="K78" s="155"/>
      <c r="L78" s="155"/>
      <c r="M78" s="155"/>
      <c r="N78" s="155">
        <v>-139</v>
      </c>
      <c r="O78" s="155"/>
      <c r="P78" s="155"/>
      <c r="Q78" s="155"/>
      <c r="R78" s="155">
        <f>+H78+N78</f>
        <v>1361</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344390</v>
      </c>
      <c r="I80" s="155"/>
      <c r="J80" s="155"/>
      <c r="K80" s="155"/>
      <c r="L80" s="155"/>
      <c r="M80" s="155"/>
      <c r="N80" s="155"/>
      <c r="O80" s="155"/>
      <c r="P80" s="155"/>
      <c r="Q80" s="155"/>
      <c r="R80" s="155">
        <f>SUM(R67:R79)</f>
        <v>339929</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42551</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139</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-P85</f>
        <v>-139</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4545</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3560-331</f>
        <v>3229</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93</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21</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258</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726</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4545</v>
      </c>
      <c r="Q97" s="113"/>
      <c r="R97" s="155">
        <f>SUM(R84:R96)</f>
        <v>4327</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4545</v>
      </c>
      <c r="Q100" s="113"/>
      <c r="R100" s="155">
        <f>R97+R98+R99</f>
        <v>4327</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233</v>
      </c>
      <c r="C104" s="113"/>
      <c r="D104" s="135"/>
      <c r="E104" s="135"/>
      <c r="F104" s="135"/>
      <c r="G104" s="135"/>
      <c r="H104" s="135"/>
      <c r="I104" s="135"/>
      <c r="J104" s="135"/>
      <c r="K104" s="135"/>
      <c r="L104" s="135"/>
      <c r="M104" s="135"/>
      <c r="N104" s="135"/>
      <c r="O104" s="135"/>
      <c r="P104" s="113"/>
      <c r="Q104" s="113"/>
      <c r="R104" s="156">
        <f>-128-3-4</f>
        <v>-135</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-440</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-505</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-1063</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-146</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-240</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-1</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-90</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-128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-33-178</f>
        <v>-211</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-1340</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-84</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-1329</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-3132</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-4545</v>
      </c>
      <c r="Q128" s="155"/>
      <c r="R128" s="155">
        <f>SUM(R101:R127)</f>
        <v>-4327</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JUNE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473.60036347999994</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8279.3996365200001</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279</v>
      </c>
      <c r="C155" s="232"/>
      <c r="D155" s="232"/>
      <c r="E155" s="232"/>
      <c r="F155" s="232"/>
      <c r="G155" s="232"/>
      <c r="H155" s="232"/>
      <c r="I155" s="232"/>
      <c r="J155" s="232"/>
      <c r="K155" s="232"/>
      <c r="L155" s="232"/>
      <c r="M155" s="232"/>
      <c r="N155" s="232"/>
      <c r="O155" s="232"/>
      <c r="P155" s="232"/>
      <c r="Q155" s="232"/>
      <c r="R155" s="233">
        <f>+'March 16'!R158</f>
        <v>1500</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f>N78</f>
        <v>-139</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R155+R156</f>
        <v>1361</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+'March 16'!R173</f>
        <v>1203</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242</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258</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945</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338568</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1361</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339929</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339929</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+'March 16'!O189</f>
        <v>0</v>
      </c>
      <c r="P187" s="156">
        <f>+'March 16'!P189</f>
        <v>514</v>
      </c>
      <c r="Q187" s="113"/>
      <c r="R187" s="156">
        <f>O187+P187</f>
        <v>514</v>
      </c>
      <c r="S187" s="116"/>
      <c r="T187" s="2"/>
    </row>
    <row r="188" spans="1:20" ht="15.6" x14ac:dyDescent="0.3">
      <c r="A188" s="112"/>
      <c r="B188" s="113" t="s">
        <v>49</v>
      </c>
      <c r="C188" s="113"/>
      <c r="D188" s="113"/>
      <c r="E188" s="113"/>
      <c r="F188" s="113"/>
      <c r="G188" s="113"/>
      <c r="H188" s="113"/>
      <c r="I188" s="113"/>
      <c r="J188" s="113"/>
      <c r="K188" s="113"/>
      <c r="L188" s="113"/>
      <c r="M188" s="113"/>
      <c r="N188" s="113"/>
      <c r="O188" s="155">
        <v>139</v>
      </c>
      <c r="P188" s="155">
        <v>84</v>
      </c>
      <c r="Q188" s="113"/>
      <c r="R188" s="156">
        <f>O188+P188</f>
        <v>223</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139</v>
      </c>
      <c r="P189" s="156">
        <f>P188+P187</f>
        <v>598</v>
      </c>
      <c r="Q189" s="113"/>
      <c r="R189" s="156">
        <f>O189+P189</f>
        <v>737</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27271.88</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2.3909438775510203</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2.2200000000000002</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14.938356164383562</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13.31</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8.4791666666666661</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7.51</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19.655555555555555</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23.48</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JUNE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42551</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4.5878099999999998E-2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3.8120000000000001E-2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2.3806821289059501E-2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1.43131787109405E-2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1.2564244025668574E-2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20.399999999999999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1.3254979731109102E-2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4.6300000000000001E-2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+'March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2033</v>
      </c>
      <c r="O246" s="81">
        <f>N246/$N$255</f>
        <v>1</v>
      </c>
      <c r="P246" s="82">
        <f>+P258+P270+P282</f>
        <v>338568</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2033</v>
      </c>
      <c r="O255" s="192">
        <f>SUM(O246:O254)</f>
        <v>1</v>
      </c>
      <c r="P255" s="156">
        <f>SUM(P246:P254)</f>
        <v>338568</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2033</v>
      </c>
      <c r="O258" s="81">
        <f>N258/$N$267</f>
        <v>1</v>
      </c>
      <c r="P258" s="82">
        <v>338568</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2033</v>
      </c>
      <c r="O267" s="192">
        <f>SUM(O258:O266)</f>
        <v>1</v>
      </c>
      <c r="P267" s="156">
        <f>SUM(P258:P266)</f>
        <v>338568</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2033</v>
      </c>
      <c r="O293" s="192"/>
      <c r="P293" s="197">
        <f>+P291+P279+P267</f>
        <v>338568</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1361</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339929</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339929</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5.1498991697543135E-2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191</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192</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193</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PM24 INVESTOR REPORT QUARTER ENDING JUNE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100-000000000000}"/>
    <hyperlink ref="K9" r:id="rId2" xr:uid="{00000000-0004-0000-01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D2926"/>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42663</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f>D28*D35</f>
        <v>120709.7</v>
      </c>
      <c r="E29" s="130"/>
      <c r="F29" s="201">
        <f>F28*F35</f>
        <v>201150.64408</v>
      </c>
      <c r="G29" s="201"/>
      <c r="H29" s="201">
        <f>H28*H35</f>
        <v>19300</v>
      </c>
      <c r="I29" s="201"/>
      <c r="J29" s="201">
        <f>J28*J35</f>
        <v>25400</v>
      </c>
      <c r="K29" s="126"/>
      <c r="L29" s="201">
        <f>L28*L35</f>
        <v>8753</v>
      </c>
      <c r="M29" s="126"/>
      <c r="N29" s="130"/>
      <c r="O29" s="126"/>
      <c r="P29" s="126"/>
      <c r="Q29" s="127"/>
      <c r="R29" s="126"/>
      <c r="S29" s="128"/>
      <c r="T29" s="2"/>
    </row>
    <row r="30" spans="1:23" ht="15.6" x14ac:dyDescent="0.3">
      <c r="A30" s="122"/>
      <c r="B30" s="121" t="s">
        <v>107</v>
      </c>
      <c r="C30" s="125"/>
      <c r="D30" s="236">
        <f>D28*D34</f>
        <v>119999.90000000001</v>
      </c>
      <c r="E30" s="202"/>
      <c r="F30" s="202">
        <f t="shared" ref="F30" si="0">F28*F34</f>
        <v>199967.83336000002</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f>D31*D35</f>
        <v>85325.341380800004</v>
      </c>
      <c r="E32" s="201"/>
      <c r="F32" s="201">
        <f>F31*F35</f>
        <v>201150.64408</v>
      </c>
      <c r="G32" s="201"/>
      <c r="H32" s="201">
        <f>H31*H35</f>
        <v>19300</v>
      </c>
      <c r="I32" s="201"/>
      <c r="J32" s="201">
        <f>J31*J35</f>
        <v>25400</v>
      </c>
      <c r="K32" s="201"/>
      <c r="L32" s="201">
        <f>L31*L35</f>
        <v>8753</v>
      </c>
      <c r="M32" s="126"/>
      <c r="N32" s="133"/>
      <c r="O32" s="126"/>
      <c r="P32" s="126"/>
      <c r="Q32" s="127"/>
      <c r="R32" s="126">
        <f>SUM(D32:L32)</f>
        <v>339928.9854608</v>
      </c>
      <c r="S32" s="128"/>
      <c r="T32" s="2"/>
    </row>
    <row r="33" spans="1:20" ht="15.6" x14ac:dyDescent="0.3">
      <c r="A33" s="122"/>
      <c r="B33" s="124" t="s">
        <v>223</v>
      </c>
      <c r="C33" s="125"/>
      <c r="D33" s="237">
        <f>D31*D34</f>
        <v>84823.609313599998</v>
      </c>
      <c r="E33" s="237"/>
      <c r="F33" s="237">
        <f t="shared" ref="F33:L33" si="4">F31*F34</f>
        <v>199967.83336000002</v>
      </c>
      <c r="G33" s="237"/>
      <c r="H33" s="237">
        <f t="shared" si="4"/>
        <v>19300</v>
      </c>
      <c r="I33" s="237"/>
      <c r="J33" s="237">
        <f t="shared" si="4"/>
        <v>25400</v>
      </c>
      <c r="K33" s="237"/>
      <c r="L33" s="237">
        <f t="shared" si="4"/>
        <v>8753</v>
      </c>
      <c r="M33" s="131"/>
      <c r="N33" s="133"/>
      <c r="O33" s="126"/>
      <c r="P33" s="126"/>
      <c r="Q33" s="127"/>
      <c r="R33" s="203">
        <f>SUM(D33:L33)</f>
        <v>338244.44267360005</v>
      </c>
      <c r="S33" s="128"/>
      <c r="T33" s="2"/>
    </row>
    <row r="34" spans="1:20" ht="15.6" x14ac:dyDescent="0.3">
      <c r="A34" s="112"/>
      <c r="B34" s="134" t="s">
        <v>103</v>
      </c>
      <c r="C34" s="135"/>
      <c r="D34" s="136">
        <v>0.95999920000000005</v>
      </c>
      <c r="E34" s="136"/>
      <c r="F34" s="136">
        <v>0.95999920000000005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0.96567760000000002</v>
      </c>
      <c r="E35" s="136"/>
      <c r="F35" s="136">
        <v>0.96567760000000002</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8.0499999999999999E-3</v>
      </c>
      <c r="E37" s="143"/>
      <c r="F37" s="143">
        <v>2.0275000000000001E-2</v>
      </c>
      <c r="G37" s="143"/>
      <c r="H37" s="143">
        <v>2.9774999999999999E-2</v>
      </c>
      <c r="I37" s="143"/>
      <c r="J37" s="143">
        <v>3.7275000000000003E-2</v>
      </c>
      <c r="K37" s="143"/>
      <c r="L37" s="143">
        <v>4.0774999999999999E-2</v>
      </c>
      <c r="M37" s="142"/>
      <c r="N37" s="143"/>
      <c r="O37" s="123"/>
      <c r="P37" s="123"/>
      <c r="Q37" s="115"/>
      <c r="R37" s="142"/>
      <c r="S37" s="116"/>
      <c r="T37" s="2"/>
    </row>
    <row r="38" spans="1:20" ht="15.6" x14ac:dyDescent="0.3">
      <c r="A38" s="112"/>
      <c r="B38" s="113" t="s">
        <v>10</v>
      </c>
      <c r="C38" s="144"/>
      <c r="D38" s="143">
        <v>8.5100000000000002E-3</v>
      </c>
      <c r="E38" s="143"/>
      <c r="F38" s="143">
        <v>2.08781E-2</v>
      </c>
      <c r="G38" s="143"/>
      <c r="H38" s="143">
        <v>3.0378100000000002E-2</v>
      </c>
      <c r="I38" s="143"/>
      <c r="J38" s="143">
        <v>3.7878099999999998E-2</v>
      </c>
      <c r="K38" s="143"/>
      <c r="L38" s="143">
        <v>4.1378100000000001E-2</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2.2745000000000001E-2</v>
      </c>
      <c r="E40" s="143"/>
      <c r="F40" s="143">
        <f>+F37</f>
        <v>2.0275000000000001E-2</v>
      </c>
      <c r="G40" s="143"/>
      <c r="H40" s="143">
        <f>+H37</f>
        <v>2.9774999999999999E-2</v>
      </c>
      <c r="I40" s="143"/>
      <c r="J40" s="143">
        <f>+J37</f>
        <v>3.7275000000000003E-2</v>
      </c>
      <c r="K40" s="143"/>
      <c r="L40" s="143">
        <f>+L37</f>
        <v>4.0774999999999999E-2</v>
      </c>
      <c r="M40" s="142"/>
      <c r="N40" s="143"/>
      <c r="O40" s="123"/>
      <c r="P40" s="123"/>
      <c r="Q40" s="115"/>
      <c r="R40" s="142">
        <f>SUMPRODUCT(D40:L40,D32:L32)/R32</f>
        <v>2.3232500349220767E-2</v>
      </c>
      <c r="S40" s="116"/>
      <c r="T40" s="2"/>
    </row>
    <row r="41" spans="1:20" ht="15.6" x14ac:dyDescent="0.3">
      <c r="A41" s="112"/>
      <c r="B41" s="113" t="s">
        <v>228</v>
      </c>
      <c r="C41" s="144"/>
      <c r="D41" s="143">
        <v>2.33481E-2</v>
      </c>
      <c r="E41" s="143"/>
      <c r="F41" s="143">
        <f>+F38</f>
        <v>2.08781E-2</v>
      </c>
      <c r="G41" s="143"/>
      <c r="H41" s="143">
        <f>+H38</f>
        <v>3.0378100000000002E-2</v>
      </c>
      <c r="I41" s="143"/>
      <c r="J41" s="143">
        <f>+J38</f>
        <v>3.7878099999999998E-2</v>
      </c>
      <c r="K41" s="143"/>
      <c r="L41" s="143">
        <f>+L38</f>
        <v>4.1378100000000001E-2</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0.18769173504016612</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42660</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42475</v>
      </c>
      <c r="Q53" s="152"/>
      <c r="R53" s="151">
        <v>42565</v>
      </c>
      <c r="S53" s="116"/>
      <c r="T53" s="2"/>
    </row>
    <row r="54" spans="1:21" ht="15.6" x14ac:dyDescent="0.3">
      <c r="A54" s="112"/>
      <c r="B54" s="113" t="s">
        <v>100</v>
      </c>
      <c r="C54" s="113"/>
      <c r="D54" s="113"/>
      <c r="E54" s="113"/>
      <c r="F54" s="113"/>
      <c r="G54" s="113"/>
      <c r="H54" s="113"/>
      <c r="I54" s="113"/>
      <c r="J54" s="113"/>
      <c r="K54" s="113"/>
      <c r="L54" s="113"/>
      <c r="M54" s="113"/>
      <c r="N54" s="113">
        <f>+R54-P54+1</f>
        <v>94</v>
      </c>
      <c r="O54" s="113"/>
      <c r="P54" s="151">
        <v>42566</v>
      </c>
      <c r="Q54" s="152"/>
      <c r="R54" s="151">
        <v>42659</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42646</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276</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338568</v>
      </c>
      <c r="I64" s="155"/>
      <c r="J64" s="156">
        <v>203</v>
      </c>
      <c r="K64" s="155"/>
      <c r="L64" s="155">
        <f>1517+20</f>
        <v>1537</v>
      </c>
      <c r="M64" s="155"/>
      <c r="N64" s="155">
        <f>29+55</f>
        <v>84</v>
      </c>
      <c r="O64" s="155"/>
      <c r="P64" s="155">
        <v>0</v>
      </c>
      <c r="Q64" s="155"/>
      <c r="R64" s="156">
        <f>H64-J64-L64+N64-P64</f>
        <v>336912</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338568</v>
      </c>
      <c r="I67" s="155"/>
      <c r="J67" s="155">
        <f>J64+J65</f>
        <v>203</v>
      </c>
      <c r="K67" s="155"/>
      <c r="L67" s="155">
        <f>SUM(L64:L66)</f>
        <v>1537</v>
      </c>
      <c r="M67" s="155"/>
      <c r="N67" s="155">
        <f>SUM(N64:N66)</f>
        <v>84</v>
      </c>
      <c r="O67" s="155"/>
      <c r="P67" s="155">
        <f>SUM(P64:P66)</f>
        <v>0</v>
      </c>
      <c r="Q67" s="155"/>
      <c r="R67" s="155">
        <f>SUM(R64:R66)</f>
        <v>336912</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1361</v>
      </c>
      <c r="I78" s="155"/>
      <c r="J78" s="155"/>
      <c r="K78" s="155"/>
      <c r="L78" s="155"/>
      <c r="M78" s="155"/>
      <c r="N78" s="155">
        <v>-29</v>
      </c>
      <c r="O78" s="155"/>
      <c r="P78" s="155"/>
      <c r="Q78" s="155"/>
      <c r="R78" s="155">
        <f>+H78+N78</f>
        <v>1332</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339929</v>
      </c>
      <c r="I80" s="155"/>
      <c r="J80" s="155"/>
      <c r="K80" s="155"/>
      <c r="L80" s="155"/>
      <c r="M80" s="155"/>
      <c r="N80" s="155"/>
      <c r="O80" s="155"/>
      <c r="P80" s="155"/>
      <c r="Q80" s="155"/>
      <c r="R80" s="155">
        <f>SUM(R67:R79)</f>
        <v>338244</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42643</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29</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-P85</f>
        <v>-29</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1740</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3441-223</f>
        <v>3218</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25</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16</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260</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811</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1740</v>
      </c>
      <c r="Q97" s="113"/>
      <c r="R97" s="155">
        <f>SUM(R84:R96)</f>
        <v>4330</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1740</v>
      </c>
      <c r="Q100" s="113"/>
      <c r="R100" s="155">
        <f>R97+R98+R99</f>
        <v>4330</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233</v>
      </c>
      <c r="C104" s="113"/>
      <c r="D104" s="135"/>
      <c r="E104" s="135"/>
      <c r="F104" s="135"/>
      <c r="G104" s="135"/>
      <c r="H104" s="135"/>
      <c r="I104" s="135"/>
      <c r="J104" s="135"/>
      <c r="K104" s="135"/>
      <c r="L104" s="135"/>
      <c r="M104" s="135"/>
      <c r="N104" s="135"/>
      <c r="O104" s="135"/>
      <c r="P104" s="113"/>
      <c r="Q104" s="113"/>
      <c r="R104" s="156">
        <f>-128-2-4</f>
        <v>-134</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-502</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-500</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-1050</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-148</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-244</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-92</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-128</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-31-178</f>
        <v>-209</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-1295</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-55</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-502</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-1183</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-1740</v>
      </c>
      <c r="Q128" s="155"/>
      <c r="R128" s="155">
        <f>SUM(R101:R127)</f>
        <v>-4330</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SEPTEMBER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515.71393315999921</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8237.2860668400008</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279</v>
      </c>
      <c r="C155" s="232"/>
      <c r="D155" s="232"/>
      <c r="E155" s="232"/>
      <c r="F155" s="232"/>
      <c r="G155" s="232"/>
      <c r="H155" s="232"/>
      <c r="I155" s="232"/>
      <c r="J155" s="232"/>
      <c r="K155" s="232"/>
      <c r="L155" s="232"/>
      <c r="M155" s="232"/>
      <c r="N155" s="232"/>
      <c r="O155" s="232"/>
      <c r="P155" s="232"/>
      <c r="Q155" s="232"/>
      <c r="R155" s="233">
        <f>+'June 16'!R158</f>
        <v>1361</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f>N78</f>
        <v>-29</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R155+R156</f>
        <v>1332</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+'June 16'!R173</f>
        <v>945</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242</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260</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685</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336912</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1332</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338244</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338244</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+'June 16'!O189</f>
        <v>139</v>
      </c>
      <c r="P187" s="156">
        <f>+'June 16'!P189</f>
        <v>598</v>
      </c>
      <c r="Q187" s="113"/>
      <c r="R187" s="156">
        <f>O187+P187</f>
        <v>737</v>
      </c>
      <c r="S187" s="116"/>
      <c r="T187" s="2"/>
    </row>
    <row r="188" spans="1:20" ht="15.6" x14ac:dyDescent="0.3">
      <c r="A188" s="112"/>
      <c r="B188" s="113" t="s">
        <v>49</v>
      </c>
      <c r="C188" s="113"/>
      <c r="D188" s="113"/>
      <c r="E188" s="113"/>
      <c r="F188" s="113"/>
      <c r="G188" s="113"/>
      <c r="H188" s="113"/>
      <c r="I188" s="113"/>
      <c r="J188" s="113"/>
      <c r="K188" s="113"/>
      <c r="L188" s="113"/>
      <c r="M188" s="113"/>
      <c r="N188" s="113"/>
      <c r="O188" s="155">
        <v>29</v>
      </c>
      <c r="P188" s="155">
        <v>55</v>
      </c>
      <c r="Q188" s="113"/>
      <c r="R188" s="156">
        <f>O188+P188</f>
        <v>84</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168</v>
      </c>
      <c r="P189" s="156">
        <f>P188+P187</f>
        <v>653</v>
      </c>
      <c r="Q189" s="113"/>
      <c r="R189" s="156">
        <f>O189+P189</f>
        <v>821</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27187.88</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2.3812903225806452</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2.2599999999999998</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14.466216216216216</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13.63</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8.1680327868852451</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7.69</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18.739130434782609</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17.57</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SEPTEMBER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42643</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4.5275000000000003E-2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3.8100000000000002E-2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2.3232500349220767E-2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1.4867499650779235E-2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1.2737954102180161E-2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20.149999999999999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5.1392925497979729E-3</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3.9100000000000003E-2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'June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2022</v>
      </c>
      <c r="O246" s="81">
        <f>N246/$N$255</f>
        <v>1</v>
      </c>
      <c r="P246" s="82">
        <f>+P258+P270+P282</f>
        <v>336912</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2022</v>
      </c>
      <c r="O255" s="192">
        <f>SUM(O246:O254)</f>
        <v>1</v>
      </c>
      <c r="P255" s="156">
        <f>SUM(P246:P254)</f>
        <v>336912</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2022</v>
      </c>
      <c r="O258" s="81">
        <f>N258/$N$267</f>
        <v>1</v>
      </c>
      <c r="P258" s="82">
        <v>336912</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2022</v>
      </c>
      <c r="O267" s="192">
        <f>SUM(O258:O266)</f>
        <v>1</v>
      </c>
      <c r="P267" s="156">
        <f>SUM(P258:P266)</f>
        <v>336912</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2022</v>
      </c>
      <c r="O293" s="192"/>
      <c r="P293" s="197">
        <f>+P291+P279+P267</f>
        <v>336912</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1332</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338244</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338244</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5.1755469688212978E-2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191</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192</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193</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PM24 INVESTOR REPORT QUARTER ENDING SEPTEMBER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200-000000000000}"/>
    <hyperlink ref="K9" r:id="rId2" xr:uid="{00000000-0004-0000-02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9CB31"/>
  </sheetPr>
  <dimension ref="A1:IR308"/>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42758</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f>D28*D35</f>
        <v>119999.90000000001</v>
      </c>
      <c r="E29" s="130"/>
      <c r="F29" s="201">
        <f>F28*F35</f>
        <v>199967.83336000002</v>
      </c>
      <c r="G29" s="201"/>
      <c r="H29" s="201">
        <f>H28*H35</f>
        <v>19300</v>
      </c>
      <c r="I29" s="201"/>
      <c r="J29" s="201">
        <f>J28*J35</f>
        <v>25400</v>
      </c>
      <c r="K29" s="126"/>
      <c r="L29" s="201">
        <f>L28*L35</f>
        <v>8753</v>
      </c>
      <c r="M29" s="126"/>
      <c r="N29" s="130"/>
      <c r="O29" s="126"/>
      <c r="P29" s="126"/>
      <c r="Q29" s="127"/>
      <c r="R29" s="126"/>
      <c r="S29" s="128"/>
      <c r="T29" s="2"/>
    </row>
    <row r="30" spans="1:23" ht="15.6" x14ac:dyDescent="0.3">
      <c r="A30" s="122"/>
      <c r="B30" s="121" t="s">
        <v>107</v>
      </c>
      <c r="C30" s="125"/>
      <c r="D30" s="236">
        <f>D28*D34</f>
        <v>118264.09999999999</v>
      </c>
      <c r="E30" s="202"/>
      <c r="F30" s="202">
        <f t="shared" ref="F30" si="0">F28*F34</f>
        <v>197075.29624</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f>D31*D35</f>
        <v>84823.609313599998</v>
      </c>
      <c r="E32" s="201"/>
      <c r="F32" s="201">
        <f>F31*F35</f>
        <v>199967.83336000002</v>
      </c>
      <c r="G32" s="201"/>
      <c r="H32" s="201">
        <f>H31*H35</f>
        <v>19300</v>
      </c>
      <c r="I32" s="201"/>
      <c r="J32" s="201">
        <f>J31*J35</f>
        <v>25400</v>
      </c>
      <c r="K32" s="201"/>
      <c r="L32" s="201">
        <f>L31*L35</f>
        <v>8753</v>
      </c>
      <c r="M32" s="126"/>
      <c r="N32" s="133"/>
      <c r="O32" s="126"/>
      <c r="P32" s="126"/>
      <c r="Q32" s="127"/>
      <c r="R32" s="126">
        <f>SUM(D32:L32)</f>
        <v>338244.44267360005</v>
      </c>
      <c r="S32" s="128"/>
      <c r="T32" s="2"/>
    </row>
    <row r="33" spans="1:20" ht="15.6" x14ac:dyDescent="0.3">
      <c r="A33" s="122"/>
      <c r="B33" s="124" t="s">
        <v>223</v>
      </c>
      <c r="C33" s="125"/>
      <c r="D33" s="237">
        <f>D31*D34</f>
        <v>83596.634782399997</v>
      </c>
      <c r="E33" s="237"/>
      <c r="F33" s="237">
        <f t="shared" ref="F33:L33" si="4">F31*F34</f>
        <v>197075.29624</v>
      </c>
      <c r="G33" s="237"/>
      <c r="H33" s="237">
        <f t="shared" si="4"/>
        <v>19300</v>
      </c>
      <c r="I33" s="237"/>
      <c r="J33" s="237">
        <f t="shared" si="4"/>
        <v>25400</v>
      </c>
      <c r="K33" s="237"/>
      <c r="L33" s="237">
        <f t="shared" si="4"/>
        <v>8753</v>
      </c>
      <c r="M33" s="131"/>
      <c r="N33" s="133"/>
      <c r="O33" s="126"/>
      <c r="P33" s="126"/>
      <c r="Q33" s="127"/>
      <c r="R33" s="203">
        <f>SUM(D33:L33)</f>
        <v>334124.93102239998</v>
      </c>
      <c r="S33" s="128"/>
      <c r="T33" s="2"/>
    </row>
    <row r="34" spans="1:20" ht="15.6" x14ac:dyDescent="0.3">
      <c r="A34" s="112"/>
      <c r="B34" s="134" t="s">
        <v>103</v>
      </c>
      <c r="C34" s="135"/>
      <c r="D34" s="136">
        <v>0.94611279999999998</v>
      </c>
      <c r="E34" s="136"/>
      <c r="F34" s="136">
        <v>0.94611279999999998</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0.95999920000000005</v>
      </c>
      <c r="E35" s="136"/>
      <c r="F35" s="136">
        <v>0.95999920000000005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7.8899999999999994E-3</v>
      </c>
      <c r="E37" s="143"/>
      <c r="F37" s="143">
        <v>1.9009999999999999E-2</v>
      </c>
      <c r="G37" s="143"/>
      <c r="H37" s="143">
        <v>2.8510000000000001E-2</v>
      </c>
      <c r="I37" s="143"/>
      <c r="J37" s="143">
        <v>3.601E-2</v>
      </c>
      <c r="K37" s="143"/>
      <c r="L37" s="143">
        <v>3.9510000000000003E-2</v>
      </c>
      <c r="M37" s="142"/>
      <c r="N37" s="143"/>
      <c r="O37" s="123"/>
      <c r="P37" s="123"/>
      <c r="Q37" s="115"/>
      <c r="R37" s="142"/>
      <c r="S37" s="116"/>
      <c r="T37" s="2"/>
    </row>
    <row r="38" spans="1:20" ht="15.6" x14ac:dyDescent="0.3">
      <c r="A38" s="112"/>
      <c r="B38" s="113" t="s">
        <v>10</v>
      </c>
      <c r="C38" s="144"/>
      <c r="D38" s="143">
        <v>8.0499999999999999E-3</v>
      </c>
      <c r="E38" s="143"/>
      <c r="F38" s="143">
        <v>2.0275000000000001E-2</v>
      </c>
      <c r="G38" s="143"/>
      <c r="H38" s="143">
        <v>2.9774999999999999E-2</v>
      </c>
      <c r="I38" s="143"/>
      <c r="J38" s="143">
        <v>3.7275000000000003E-2</v>
      </c>
      <c r="K38" s="143"/>
      <c r="L38" s="143">
        <v>4.0774999999999999E-2</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2.1479999999999999E-2</v>
      </c>
      <c r="E40" s="143"/>
      <c r="F40" s="143">
        <f>+F37</f>
        <v>1.9009999999999999E-2</v>
      </c>
      <c r="G40" s="143"/>
      <c r="H40" s="143">
        <f>+H37</f>
        <v>2.8510000000000001E-2</v>
      </c>
      <c r="I40" s="143"/>
      <c r="J40" s="143">
        <f>+J37</f>
        <v>3.601E-2</v>
      </c>
      <c r="K40" s="143"/>
      <c r="L40" s="143">
        <f>+L37</f>
        <v>3.9510000000000003E-2</v>
      </c>
      <c r="M40" s="142"/>
      <c r="N40" s="143"/>
      <c r="O40" s="123"/>
      <c r="P40" s="123"/>
      <c r="Q40" s="115"/>
      <c r="R40" s="142">
        <f>SUMPRODUCT(D40:L40,D32:L32)/R32</f>
        <v>2.1978565594360795E-2</v>
      </c>
      <c r="S40" s="116"/>
      <c r="T40" s="2"/>
    </row>
    <row r="41" spans="1:20" ht="15.6" x14ac:dyDescent="0.3">
      <c r="A41" s="112"/>
      <c r="B41" s="113" t="s">
        <v>228</v>
      </c>
      <c r="C41" s="144"/>
      <c r="D41" s="143">
        <v>2.2745000000000001E-2</v>
      </c>
      <c r="E41" s="143"/>
      <c r="F41" s="143">
        <f>+F38</f>
        <v>2.0275000000000001E-2</v>
      </c>
      <c r="G41" s="143"/>
      <c r="H41" s="143">
        <f>+H38</f>
        <v>2.9774999999999999E-2</v>
      </c>
      <c r="I41" s="143"/>
      <c r="J41" s="143">
        <f>+J38</f>
        <v>3.7275000000000003E-2</v>
      </c>
      <c r="K41" s="143"/>
      <c r="L41" s="143">
        <f>+L38</f>
        <v>4.0774999999999999E-2</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0.19044654663288721</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42751</v>
      </c>
      <c r="S52" s="116"/>
      <c r="T52" s="2"/>
    </row>
    <row r="53" spans="1:21" ht="15.6" x14ac:dyDescent="0.3">
      <c r="A53" s="112"/>
      <c r="B53" s="113" t="s">
        <v>99</v>
      </c>
      <c r="C53" s="113"/>
      <c r="D53" s="150"/>
      <c r="E53" s="150"/>
      <c r="F53" s="150"/>
      <c r="G53" s="150"/>
      <c r="H53" s="150"/>
      <c r="I53" s="150"/>
      <c r="J53" s="150"/>
      <c r="K53" s="150"/>
      <c r="L53" s="150"/>
      <c r="M53" s="150"/>
      <c r="N53" s="113">
        <f>+R53-P53+1</f>
        <v>94</v>
      </c>
      <c r="O53" s="113"/>
      <c r="P53" s="151">
        <v>42566</v>
      </c>
      <c r="Q53" s="152"/>
      <c r="R53" s="151">
        <v>42659</v>
      </c>
      <c r="S53" s="116"/>
      <c r="T53" s="2"/>
    </row>
    <row r="54" spans="1:21" ht="15.6" x14ac:dyDescent="0.3">
      <c r="A54" s="112"/>
      <c r="B54" s="113" t="s">
        <v>100</v>
      </c>
      <c r="C54" s="113"/>
      <c r="D54" s="113"/>
      <c r="E54" s="113"/>
      <c r="F54" s="113"/>
      <c r="G54" s="113"/>
      <c r="H54" s="113"/>
      <c r="I54" s="113"/>
      <c r="J54" s="113"/>
      <c r="K54" s="113"/>
      <c r="L54" s="113"/>
      <c r="M54" s="113"/>
      <c r="N54" s="113">
        <f>+R54-P54+1</f>
        <v>91</v>
      </c>
      <c r="O54" s="113"/>
      <c r="P54" s="151">
        <v>42660</v>
      </c>
      <c r="Q54" s="152"/>
      <c r="R54" s="151">
        <v>42750</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42738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278</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336912</v>
      </c>
      <c r="I64" s="155"/>
      <c r="J64" s="156">
        <v>205</v>
      </c>
      <c r="K64" s="155"/>
      <c r="L64" s="155">
        <f>3947+7</f>
        <v>3954</v>
      </c>
      <c r="M64" s="155"/>
      <c r="N64" s="155">
        <v>80</v>
      </c>
      <c r="O64" s="155"/>
      <c r="P64" s="155">
        <v>0</v>
      </c>
      <c r="Q64" s="155"/>
      <c r="R64" s="156">
        <f>H64-J64-L64+N64-P64</f>
        <v>332833</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336912</v>
      </c>
      <c r="I67" s="155"/>
      <c r="J67" s="155">
        <f>J64+J65</f>
        <v>205</v>
      </c>
      <c r="K67" s="155"/>
      <c r="L67" s="155">
        <f>SUM(L64:L66)</f>
        <v>3954</v>
      </c>
      <c r="M67" s="155"/>
      <c r="N67" s="155">
        <f>SUM(N64:N66)</f>
        <v>80</v>
      </c>
      <c r="O67" s="155"/>
      <c r="P67" s="155">
        <f>SUM(P64:P66)</f>
        <v>0</v>
      </c>
      <c r="Q67" s="155"/>
      <c r="R67" s="155">
        <f>SUM(R64:R66)</f>
        <v>332833</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1332</v>
      </c>
      <c r="I78" s="155"/>
      <c r="J78" s="155"/>
      <c r="K78" s="155"/>
      <c r="L78" s="155"/>
      <c r="M78" s="155"/>
      <c r="N78" s="155">
        <v>-40</v>
      </c>
      <c r="O78" s="155"/>
      <c r="P78" s="155"/>
      <c r="Q78" s="155"/>
      <c r="R78" s="155">
        <f>+H78+N78</f>
        <v>1292</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338244</v>
      </c>
      <c r="I80" s="155"/>
      <c r="J80" s="155"/>
      <c r="K80" s="155"/>
      <c r="L80" s="155"/>
      <c r="M80" s="155"/>
      <c r="N80" s="155"/>
      <c r="O80" s="155"/>
      <c r="P80" s="155"/>
      <c r="Q80" s="155"/>
      <c r="R80" s="155">
        <f>SUM(R67:R79)</f>
        <v>334125</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42734</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40</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-P85</f>
        <v>-40</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4159</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3396-213</f>
        <v>3183</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108</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13</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257</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721</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4159</v>
      </c>
      <c r="Q97" s="113"/>
      <c r="R97" s="155">
        <f>SUM(R84:R96)</f>
        <v>4282</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4159</v>
      </c>
      <c r="Q100" s="113"/>
      <c r="R100" s="155">
        <f>R97+R98+R99</f>
        <v>4282</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280</v>
      </c>
      <c r="C104" s="113"/>
      <c r="D104" s="135"/>
      <c r="E104" s="135"/>
      <c r="F104" s="135"/>
      <c r="G104" s="135"/>
      <c r="H104" s="135"/>
      <c r="I104" s="135"/>
      <c r="J104" s="135"/>
      <c r="K104" s="135"/>
      <c r="L104" s="135"/>
      <c r="M104" s="135"/>
      <c r="N104" s="135"/>
      <c r="O104" s="135"/>
      <c r="P104" s="113"/>
      <c r="Q104" s="113"/>
      <c r="R104" s="156">
        <f>-128-4-4</f>
        <v>-136</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-584</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-454</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-948</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-137</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-228</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-86</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-127</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-27-178</f>
        <v>-205</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-1349</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-40</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-1227</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-2892</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-4159</v>
      </c>
      <c r="Q128" s="155"/>
      <c r="R128" s="155">
        <f>SUM(R101:R127)</f>
        <v>-4282</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DECEMBER 2016</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618.70172444000036</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8134.2982755599996</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279</v>
      </c>
      <c r="C155" s="232"/>
      <c r="D155" s="232"/>
      <c r="E155" s="232"/>
      <c r="F155" s="232"/>
      <c r="G155" s="232"/>
      <c r="H155" s="232"/>
      <c r="I155" s="232"/>
      <c r="J155" s="232"/>
      <c r="K155" s="232"/>
      <c r="L155" s="232"/>
      <c r="M155" s="232"/>
      <c r="N155" s="232"/>
      <c r="O155" s="232"/>
      <c r="P155" s="232"/>
      <c r="Q155" s="232"/>
      <c r="R155" s="233">
        <f>+'Sept 16'!R158</f>
        <v>1332</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f>N78</f>
        <v>-40</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R155+R156</f>
        <v>1292</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+'Sept 16'!R173</f>
        <v>685</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242</v>
      </c>
      <c r="C171" s="113"/>
      <c r="D171" s="113"/>
      <c r="E171" s="113"/>
      <c r="F171" s="113"/>
      <c r="G171" s="113"/>
      <c r="H171" s="113"/>
      <c r="I171" s="113"/>
      <c r="J171" s="113"/>
      <c r="K171" s="113"/>
      <c r="L171" s="113"/>
      <c r="M171" s="113"/>
      <c r="N171" s="113"/>
      <c r="O171" s="113"/>
      <c r="P171" s="113"/>
      <c r="Q171" s="113"/>
      <c r="R171" s="156">
        <v>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257</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428</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332833</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1292</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334125</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334125</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+'Sept 16'!O189</f>
        <v>168</v>
      </c>
      <c r="P187" s="156">
        <f>+'Sept 16'!P189</f>
        <v>653</v>
      </c>
      <c r="Q187" s="113"/>
      <c r="R187" s="156">
        <f>O187+P187</f>
        <v>821</v>
      </c>
      <c r="S187" s="116"/>
      <c r="T187" s="2"/>
    </row>
    <row r="188" spans="1:20" ht="15.6" x14ac:dyDescent="0.3">
      <c r="A188" s="112"/>
      <c r="B188" s="113" t="s">
        <v>49</v>
      </c>
      <c r="C188" s="113"/>
      <c r="D188" s="113"/>
      <c r="E188" s="113"/>
      <c r="F188" s="113"/>
      <c r="G188" s="113"/>
      <c r="H188" s="113"/>
      <c r="I188" s="113"/>
      <c r="J188" s="113"/>
      <c r="K188" s="113"/>
      <c r="L188" s="113"/>
      <c r="M188" s="113"/>
      <c r="N188" s="113"/>
      <c r="O188" s="155">
        <v>40</v>
      </c>
      <c r="P188" s="155">
        <v>40</v>
      </c>
      <c r="Q188" s="113"/>
      <c r="R188" s="156">
        <f>O188+P188</f>
        <v>80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208</v>
      </c>
      <c r="P189" s="156">
        <f>P188+P187</f>
        <v>693</v>
      </c>
      <c r="Q189" s="113"/>
      <c r="R189" s="156">
        <f>O189+P189</f>
        <v>901</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27107.88</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2.5385164051355207</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2.31</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15.744525547445255</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14.06</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8.8596491228070171</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7.93</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20.546511627906977</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18.18</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DECEMBER 2016</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42734</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4.4010000000000001E-2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3.7920000000000002E-2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2.1978565594360795E-2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1.5941434405639207E-2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1.2659500242428543E-2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19.899999999999999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1.2344469772522201E-2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4.1099999999999998E-2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'Sept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1998</v>
      </c>
      <c r="O246" s="81">
        <f>N246/$N$255</f>
        <v>1</v>
      </c>
      <c r="P246" s="82">
        <f>+P258+P270+P282</f>
        <v>332833</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1998</v>
      </c>
      <c r="O255" s="192">
        <f>SUM(O246:O254)</f>
        <v>1</v>
      </c>
      <c r="P255" s="156">
        <f>SUM(P246:P254)</f>
        <v>332833</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1998</v>
      </c>
      <c r="O258" s="81">
        <f>N258/$N$267</f>
        <v>1</v>
      </c>
      <c r="P258" s="82">
        <v>332833</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1998</v>
      </c>
      <c r="O267" s="192">
        <f>SUM(O258:O266)</f>
        <v>1</v>
      </c>
      <c r="P267" s="156">
        <f>SUM(P258:P266)</f>
        <v>332833</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1998</v>
      </c>
      <c r="O293" s="192"/>
      <c r="P293" s="197">
        <f>+P291+P279+P267</f>
        <v>332833</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1292</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334125</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334125</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5.2393576098714957E-2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191</v>
      </c>
      <c r="C302" s="88"/>
      <c r="D302" s="91" t="s">
        <v>115</v>
      </c>
      <c r="E302" s="88"/>
      <c r="F302" s="88" t="s">
        <v>116</v>
      </c>
      <c r="G302" s="88"/>
      <c r="H302" s="88"/>
      <c r="I302" s="90"/>
      <c r="J302" s="90"/>
      <c r="K302" s="90"/>
      <c r="L302" s="90"/>
      <c r="M302" s="90"/>
      <c r="N302" s="90"/>
      <c r="O302" s="90"/>
      <c r="P302" s="90"/>
      <c r="Q302" s="90"/>
      <c r="R302" s="90"/>
      <c r="S302" s="229"/>
      <c r="T302" s="2"/>
    </row>
    <row r="303" spans="1:20" ht="15.6" x14ac:dyDescent="0.3">
      <c r="A303" s="87"/>
      <c r="B303" s="213" t="s">
        <v>192</v>
      </c>
      <c r="C303" s="88"/>
      <c r="D303" s="91" t="s">
        <v>147</v>
      </c>
      <c r="E303" s="88"/>
      <c r="F303" s="88" t="s">
        <v>148</v>
      </c>
      <c r="G303" s="88"/>
      <c r="H303" s="88"/>
      <c r="I303" s="90"/>
      <c r="J303" s="90"/>
      <c r="K303" s="90"/>
      <c r="L303" s="90"/>
      <c r="M303" s="90"/>
      <c r="N303" s="90"/>
      <c r="O303" s="90"/>
      <c r="P303" s="90"/>
      <c r="Q303" s="90"/>
      <c r="R303" s="90"/>
      <c r="S303" s="229"/>
      <c r="T303" s="2"/>
    </row>
    <row r="304" spans="1:20" ht="15.6" x14ac:dyDescent="0.3">
      <c r="A304" s="87"/>
      <c r="B304" s="213" t="s">
        <v>193</v>
      </c>
      <c r="C304" s="88"/>
      <c r="D304" s="91" t="s">
        <v>114</v>
      </c>
      <c r="E304" s="88"/>
      <c r="F304" s="88" t="s">
        <v>117</v>
      </c>
      <c r="G304" s="88"/>
      <c r="H304" s="88"/>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5.6" x14ac:dyDescent="0.3">
      <c r="A306" s="87"/>
      <c r="B306" s="88"/>
      <c r="C306" s="88"/>
      <c r="D306" s="90"/>
      <c r="E306" s="90"/>
      <c r="F306" s="90"/>
      <c r="G306" s="90"/>
      <c r="H306" s="90"/>
      <c r="I306" s="90"/>
      <c r="J306" s="90"/>
      <c r="K306" s="90"/>
      <c r="L306" s="90"/>
      <c r="M306" s="90"/>
      <c r="N306" s="90"/>
      <c r="O306" s="90"/>
      <c r="P306" s="90"/>
      <c r="Q306" s="90"/>
      <c r="R306" s="90"/>
      <c r="S306" s="229"/>
      <c r="T306" s="2"/>
    </row>
    <row r="307" spans="1:20" ht="18" thickBot="1" x14ac:dyDescent="0.35">
      <c r="A307" s="87"/>
      <c r="B307" s="92" t="str">
        <f>B205</f>
        <v>PM24 INVESTOR REPORT QUARTER ENDING DECEMBER 2016</v>
      </c>
      <c r="C307" s="88"/>
      <c r="D307" s="90"/>
      <c r="E307" s="90"/>
      <c r="F307" s="90"/>
      <c r="G307" s="90"/>
      <c r="H307" s="90"/>
      <c r="I307" s="90"/>
      <c r="J307" s="90"/>
      <c r="K307" s="90"/>
      <c r="L307" s="90"/>
      <c r="M307" s="90"/>
      <c r="N307" s="90"/>
      <c r="O307" s="90"/>
      <c r="P307" s="90"/>
      <c r="Q307" s="90"/>
      <c r="R307" s="90"/>
      <c r="S307" s="99"/>
      <c r="T307" s="2"/>
    </row>
    <row r="308" spans="1:20" x14ac:dyDescent="0.25">
      <c r="A308" s="3"/>
      <c r="B308" s="3"/>
      <c r="C308" s="3"/>
      <c r="D308" s="3"/>
      <c r="E308" s="3"/>
      <c r="F308" s="3"/>
      <c r="G308" s="3"/>
      <c r="H308" s="3"/>
      <c r="I308" s="3"/>
      <c r="J308" s="3"/>
      <c r="K308" s="3"/>
      <c r="L308" s="3"/>
      <c r="M308" s="3"/>
      <c r="N308" s="3"/>
      <c r="O308" s="3"/>
      <c r="P308" s="3"/>
      <c r="Q308" s="3"/>
      <c r="R308" s="3"/>
      <c r="S308" s="3"/>
    </row>
  </sheetData>
  <hyperlinks>
    <hyperlink ref="N243" r:id="rId1" xr:uid="{00000000-0004-0000-0300-000000000000}"/>
    <hyperlink ref="K9" r:id="rId2" xr:uid="{00000000-0004-0000-03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D2926"/>
  </sheetPr>
  <dimension ref="A1:IR307"/>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42845</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f>D28*D35</f>
        <v>118264.09999999999</v>
      </c>
      <c r="E29" s="130"/>
      <c r="F29" s="201">
        <f>F28*F35</f>
        <v>197075.29624</v>
      </c>
      <c r="G29" s="201"/>
      <c r="H29" s="201">
        <f>H28*H35</f>
        <v>19300</v>
      </c>
      <c r="I29" s="201"/>
      <c r="J29" s="201">
        <f>J28*J35</f>
        <v>25400</v>
      </c>
      <c r="K29" s="126"/>
      <c r="L29" s="201">
        <f>L28*L35</f>
        <v>8753</v>
      </c>
      <c r="M29" s="126"/>
      <c r="N29" s="130"/>
      <c r="O29" s="126"/>
      <c r="P29" s="126"/>
      <c r="Q29" s="127"/>
      <c r="R29" s="126"/>
      <c r="S29" s="128"/>
      <c r="T29" s="2"/>
    </row>
    <row r="30" spans="1:23" ht="15.6" x14ac:dyDescent="0.3">
      <c r="A30" s="122"/>
      <c r="B30" s="121" t="s">
        <v>107</v>
      </c>
      <c r="C30" s="125"/>
      <c r="D30" s="236">
        <f>D28*D34</f>
        <v>115998.8125</v>
      </c>
      <c r="E30" s="202"/>
      <c r="F30" s="202">
        <f t="shared" ref="F30" si="0">F28*F34</f>
        <v>193300.42115000001</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f>D31*D35</f>
        <v>83596.634782399997</v>
      </c>
      <c r="E32" s="201"/>
      <c r="F32" s="201">
        <f>F31*F35</f>
        <v>197075.29624</v>
      </c>
      <c r="G32" s="201"/>
      <c r="H32" s="201">
        <f>H31*H35</f>
        <v>19300</v>
      </c>
      <c r="I32" s="201"/>
      <c r="J32" s="201">
        <f>J31*J35</f>
        <v>25400</v>
      </c>
      <c r="K32" s="201"/>
      <c r="L32" s="201">
        <f>L31*L35</f>
        <v>8753</v>
      </c>
      <c r="M32" s="126"/>
      <c r="N32" s="133"/>
      <c r="O32" s="126"/>
      <c r="P32" s="126"/>
      <c r="Q32" s="127"/>
      <c r="R32" s="126">
        <f>SUM(D32:L32)</f>
        <v>334124.93102239998</v>
      </c>
      <c r="S32" s="128"/>
      <c r="T32" s="2"/>
    </row>
    <row r="33" spans="1:20" ht="15.6" x14ac:dyDescent="0.3">
      <c r="A33" s="122"/>
      <c r="B33" s="124" t="s">
        <v>223</v>
      </c>
      <c r="C33" s="125"/>
      <c r="D33" s="237">
        <f>D31*D34</f>
        <v>81995.384599000012</v>
      </c>
      <c r="E33" s="237"/>
      <c r="F33" s="237">
        <f t="shared" ref="F33:L33" si="4">F31*F34</f>
        <v>193300.42115000001</v>
      </c>
      <c r="G33" s="237"/>
      <c r="H33" s="237">
        <f t="shared" si="4"/>
        <v>19300</v>
      </c>
      <c r="I33" s="237"/>
      <c r="J33" s="237">
        <f t="shared" si="4"/>
        <v>25400</v>
      </c>
      <c r="K33" s="237"/>
      <c r="L33" s="237">
        <f t="shared" si="4"/>
        <v>8753</v>
      </c>
      <c r="M33" s="131"/>
      <c r="N33" s="133"/>
      <c r="O33" s="126"/>
      <c r="P33" s="126"/>
      <c r="Q33" s="127"/>
      <c r="R33" s="203">
        <f>SUM(D33:L33)</f>
        <v>328748.80574900005</v>
      </c>
      <c r="S33" s="128"/>
      <c r="T33" s="2"/>
    </row>
    <row r="34" spans="1:20" ht="15.6" x14ac:dyDescent="0.3">
      <c r="A34" s="112"/>
      <c r="B34" s="134" t="s">
        <v>103</v>
      </c>
      <c r="C34" s="135"/>
      <c r="D34" s="136">
        <v>0.92799050000000005</v>
      </c>
      <c r="E34" s="136"/>
      <c r="F34" s="136">
        <v>0.92799050000000005</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0.94611279999999998</v>
      </c>
      <c r="E35" s="136"/>
      <c r="F35" s="136">
        <v>0.94611279999999998</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7.7299999999999999E-3</v>
      </c>
      <c r="E37" s="143"/>
      <c r="F37" s="143">
        <v>1.8566300000000001E-2</v>
      </c>
      <c r="G37" s="143"/>
      <c r="H37" s="143">
        <v>2.8066299999999999E-2</v>
      </c>
      <c r="I37" s="143"/>
      <c r="J37" s="143">
        <v>3.5566300000000002E-2</v>
      </c>
      <c r="K37" s="143"/>
      <c r="L37" s="143">
        <v>3.9066299999999998E-2</v>
      </c>
      <c r="M37" s="142"/>
      <c r="N37" s="143"/>
      <c r="O37" s="123"/>
      <c r="P37" s="123"/>
      <c r="Q37" s="115"/>
      <c r="R37" s="142"/>
      <c r="S37" s="116"/>
      <c r="T37" s="2"/>
    </row>
    <row r="38" spans="1:20" ht="15.6" x14ac:dyDescent="0.3">
      <c r="A38" s="112"/>
      <c r="B38" s="113" t="s">
        <v>10</v>
      </c>
      <c r="C38" s="144"/>
      <c r="D38" s="143">
        <v>7.8899999999999994E-3</v>
      </c>
      <c r="E38" s="143"/>
      <c r="F38" s="143">
        <v>1.9009999999999999E-2</v>
      </c>
      <c r="G38" s="143"/>
      <c r="H38" s="143">
        <v>2.8510000000000001E-2</v>
      </c>
      <c r="I38" s="143"/>
      <c r="J38" s="143">
        <v>3.601E-2</v>
      </c>
      <c r="K38" s="143"/>
      <c r="L38" s="143">
        <v>3.9510000000000003E-2</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2.1036300000000001E-2</v>
      </c>
      <c r="E40" s="143"/>
      <c r="F40" s="143">
        <f>+F37</f>
        <v>1.8566300000000001E-2</v>
      </c>
      <c r="G40" s="143"/>
      <c r="H40" s="143">
        <f>+H37</f>
        <v>2.8066299999999999E-2</v>
      </c>
      <c r="I40" s="143"/>
      <c r="J40" s="143">
        <f>+J37</f>
        <v>3.5566300000000002E-2</v>
      </c>
      <c r="K40" s="143"/>
      <c r="L40" s="143">
        <f>+L37</f>
        <v>3.9066299999999998E-2</v>
      </c>
      <c r="M40" s="142"/>
      <c r="N40" s="143"/>
      <c r="O40" s="123"/>
      <c r="P40" s="123"/>
      <c r="Q40" s="115"/>
      <c r="R40" s="142">
        <f>SUMPRODUCT(D40:L40,D32:L32)/R32</f>
        <v>2.1562395457017589E-2</v>
      </c>
      <c r="S40" s="116"/>
      <c r="T40" s="2"/>
    </row>
    <row r="41" spans="1:20" ht="15.6" x14ac:dyDescent="0.3">
      <c r="A41" s="112"/>
      <c r="B41" s="113" t="s">
        <v>228</v>
      </c>
      <c r="C41" s="144"/>
      <c r="D41" s="143">
        <v>2.1479999999999999E-2</v>
      </c>
      <c r="E41" s="143"/>
      <c r="F41" s="143">
        <f>+F38</f>
        <v>1.9009999999999999E-2</v>
      </c>
      <c r="G41" s="143"/>
      <c r="H41" s="143">
        <f>+H38</f>
        <v>2.8510000000000001E-2</v>
      </c>
      <c r="I41" s="143"/>
      <c r="J41" s="143">
        <f>+J38</f>
        <v>3.601E-2</v>
      </c>
      <c r="K41" s="143"/>
      <c r="L41" s="143">
        <f>+L38</f>
        <v>3.9510000000000003E-2</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0.19416568971899115</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42843</v>
      </c>
      <c r="S52" s="116"/>
      <c r="T52" s="2"/>
    </row>
    <row r="53" spans="1:21" ht="15.6" x14ac:dyDescent="0.3">
      <c r="A53" s="112"/>
      <c r="B53" s="113" t="s">
        <v>99</v>
      </c>
      <c r="C53" s="113"/>
      <c r="D53" s="150"/>
      <c r="E53" s="150"/>
      <c r="F53" s="150"/>
      <c r="G53" s="150"/>
      <c r="H53" s="150"/>
      <c r="I53" s="150"/>
      <c r="J53" s="150"/>
      <c r="K53" s="150"/>
      <c r="L53" s="150"/>
      <c r="M53" s="150"/>
      <c r="N53" s="113">
        <f>+R53-P53+1</f>
        <v>91</v>
      </c>
      <c r="O53" s="113"/>
      <c r="P53" s="151">
        <v>42660</v>
      </c>
      <c r="Q53" s="152"/>
      <c r="R53" s="151">
        <v>42750</v>
      </c>
      <c r="S53" s="116"/>
      <c r="T53" s="2"/>
    </row>
    <row r="54" spans="1:21" ht="15.6" x14ac:dyDescent="0.3">
      <c r="A54" s="112"/>
      <c r="B54" s="113" t="s">
        <v>100</v>
      </c>
      <c r="C54" s="113"/>
      <c r="D54" s="113"/>
      <c r="E54" s="113"/>
      <c r="F54" s="113"/>
      <c r="G54" s="113"/>
      <c r="H54" s="113"/>
      <c r="I54" s="113"/>
      <c r="J54" s="113"/>
      <c r="K54" s="113"/>
      <c r="L54" s="113"/>
      <c r="M54" s="113"/>
      <c r="N54" s="113">
        <f>+R54-P54+1</f>
        <v>92</v>
      </c>
      <c r="O54" s="113"/>
      <c r="P54" s="151">
        <v>42751</v>
      </c>
      <c r="Q54" s="152"/>
      <c r="R54" s="151">
        <v>42842</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42828</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281</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332833</v>
      </c>
      <c r="I64" s="155"/>
      <c r="J64" s="156">
        <v>206</v>
      </c>
      <c r="K64" s="155"/>
      <c r="L64" s="155">
        <v>5176</v>
      </c>
      <c r="M64" s="155"/>
      <c r="N64" s="155">
        <f>84+6</f>
        <v>90</v>
      </c>
      <c r="O64" s="155"/>
      <c r="P64" s="155">
        <v>0</v>
      </c>
      <c r="Q64" s="155"/>
      <c r="R64" s="156">
        <f>H64-J64-L64+N64-P64</f>
        <v>327541</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332833</v>
      </c>
      <c r="I67" s="155"/>
      <c r="J67" s="155">
        <f>J64+J65</f>
        <v>206</v>
      </c>
      <c r="K67" s="155"/>
      <c r="L67" s="155">
        <f>SUM(L64:L66)</f>
        <v>5176</v>
      </c>
      <c r="M67" s="155"/>
      <c r="N67" s="155">
        <f>SUM(N64:N66)</f>
        <v>90</v>
      </c>
      <c r="O67" s="155"/>
      <c r="P67" s="155">
        <f>SUM(P64:P66)</f>
        <v>0</v>
      </c>
      <c r="Q67" s="155"/>
      <c r="R67" s="155">
        <f>SUM(R64:R66)</f>
        <v>327541</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1292</v>
      </c>
      <c r="I78" s="155"/>
      <c r="J78" s="155"/>
      <c r="K78" s="155"/>
      <c r="L78" s="155"/>
      <c r="M78" s="155"/>
      <c r="N78" s="155">
        <v>-84</v>
      </c>
      <c r="O78" s="155"/>
      <c r="P78" s="155"/>
      <c r="Q78" s="155"/>
      <c r="R78" s="155">
        <f>+H78+N78</f>
        <v>1208</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334125</v>
      </c>
      <c r="I80" s="155"/>
      <c r="J80" s="155"/>
      <c r="K80" s="155"/>
      <c r="L80" s="155"/>
      <c r="M80" s="155"/>
      <c r="N80" s="155"/>
      <c r="O80" s="155"/>
      <c r="P80" s="155"/>
      <c r="Q80" s="155"/>
      <c r="R80" s="155">
        <f>SUM(R67:R79)</f>
        <v>328749</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42825</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84</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-P85</f>
        <v>-84</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5382</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3335-205</f>
        <v>3130</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84</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12</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242</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740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5382</v>
      </c>
      <c r="Q97" s="113"/>
      <c r="R97" s="155">
        <f>SUM(R84:R96)</f>
        <v>4208</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5382</v>
      </c>
      <c r="Q100" s="113"/>
      <c r="R100" s="155">
        <f>R97+R98+R99</f>
        <v>4208</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280</v>
      </c>
      <c r="C104" s="113"/>
      <c r="D104" s="135"/>
      <c r="E104" s="135"/>
      <c r="F104" s="135"/>
      <c r="G104" s="135"/>
      <c r="H104" s="135"/>
      <c r="I104" s="135"/>
      <c r="J104" s="135"/>
      <c r="K104" s="135"/>
      <c r="L104" s="135"/>
      <c r="M104" s="135"/>
      <c r="N104" s="135"/>
      <c r="O104" s="135"/>
      <c r="P104" s="113"/>
      <c r="Q104" s="113"/>
      <c r="R104" s="156">
        <f>-123-3-3</f>
        <v>-129</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-622</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-443</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-922</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-137</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-228</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-86</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-123</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-26-178</f>
        <v>-204</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-1286</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-6</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-1601</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-3775</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-5382</v>
      </c>
      <c r="Q128" s="155"/>
      <c r="R128" s="155">
        <f>SUM(R101:R127)</f>
        <v>-4208</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MARCH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753.10485627499838</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7999.8951437250016</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279</v>
      </c>
      <c r="C155" s="232"/>
      <c r="D155" s="232"/>
      <c r="E155" s="232"/>
      <c r="F155" s="232"/>
      <c r="G155" s="232"/>
      <c r="H155" s="232"/>
      <c r="I155" s="232"/>
      <c r="J155" s="232"/>
      <c r="K155" s="232"/>
      <c r="L155" s="232"/>
      <c r="M155" s="232"/>
      <c r="N155" s="232"/>
      <c r="O155" s="232"/>
      <c r="P155" s="232"/>
      <c r="Q155" s="232"/>
      <c r="R155" s="233">
        <f>+'Dec 16'!R158</f>
        <v>1292</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f>N78</f>
        <v>-84</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R155+R156</f>
        <v>1208</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+'Dec 16'!R173</f>
        <v>428</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282</v>
      </c>
      <c r="C171" s="113"/>
      <c r="D171" s="113"/>
      <c r="E171" s="113"/>
      <c r="F171" s="113"/>
      <c r="G171" s="113"/>
      <c r="H171" s="113"/>
      <c r="I171" s="113"/>
      <c r="J171" s="113"/>
      <c r="K171" s="113"/>
      <c r="L171" s="113"/>
      <c r="M171" s="113"/>
      <c r="N171" s="113"/>
      <c r="O171" s="113"/>
      <c r="P171" s="113"/>
      <c r="Q171" s="113"/>
      <c r="R171" s="156">
        <v>18</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242</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204</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327541</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1208</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328749</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328749</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+'Dec 16'!O189</f>
        <v>208</v>
      </c>
      <c r="P187" s="156">
        <f>+'Dec 16'!P189</f>
        <v>693</v>
      </c>
      <c r="Q187" s="113"/>
      <c r="R187" s="156">
        <f>O187+P187</f>
        <v>901</v>
      </c>
      <c r="S187" s="116"/>
      <c r="T187" s="2"/>
    </row>
    <row r="188" spans="1:20" ht="15.6" x14ac:dyDescent="0.3">
      <c r="A188" s="112"/>
      <c r="B188" s="113" t="s">
        <v>49</v>
      </c>
      <c r="C188" s="113"/>
      <c r="D188" s="113"/>
      <c r="E188" s="113"/>
      <c r="F188" s="113"/>
      <c r="G188" s="113"/>
      <c r="H188" s="113"/>
      <c r="I188" s="113"/>
      <c r="J188" s="113"/>
      <c r="K188" s="113"/>
      <c r="L188" s="113"/>
      <c r="M188" s="113"/>
      <c r="N188" s="113"/>
      <c r="O188" s="155">
        <v>84</v>
      </c>
      <c r="P188" s="155">
        <v>6</v>
      </c>
      <c r="Q188" s="113"/>
      <c r="R188" s="156">
        <f>O188+P188</f>
        <v>90</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292</v>
      </c>
      <c r="P189" s="156">
        <f>P188+P187</f>
        <v>699</v>
      </c>
      <c r="Q189" s="113"/>
      <c r="R189" s="156">
        <f>O189+P189</f>
        <v>991</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27017.88</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2.5304029304029303</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2.35</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15.248175182481752</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14.26</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8.5614035087719298</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8.0399999999999991</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19.755813953488371</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18.45</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MARCH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42825</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4.3566300000000002E-2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3.7999999999999999E-2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2.1562395457017589E-2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1.6437604542982411E-2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1.2594089038533483E-2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19.66</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1.6170271577638035E-2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4.5100000000000001E-2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'Dec 16'!P233+P232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1964</v>
      </c>
      <c r="O246" s="81">
        <f>N246/$N$255</f>
        <v>1</v>
      </c>
      <c r="P246" s="82">
        <f>+P258+P270+P282</f>
        <v>327541</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1964</v>
      </c>
      <c r="O255" s="192">
        <f>SUM(O246:O254)</f>
        <v>1</v>
      </c>
      <c r="P255" s="156">
        <f>SUM(P246:P254)</f>
        <v>327541</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1964</v>
      </c>
      <c r="O258" s="81">
        <f>N258/$N$267</f>
        <v>1</v>
      </c>
      <c r="P258" s="82">
        <v>327541</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1964</v>
      </c>
      <c r="O267" s="192">
        <f>SUM(O258:O266)</f>
        <v>1</v>
      </c>
      <c r="P267" s="156">
        <f>SUM(P258:P266)</f>
        <v>327541</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1964</v>
      </c>
      <c r="O293" s="192"/>
      <c r="P293" s="197">
        <f>+P291+P279+P267</f>
        <v>327541</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1208</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328749</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328749</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5.3250383556878514E-2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PM24 INVESTOR REPORT QUARTER ENDING MARCH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xr:uid="{00000000-0004-0000-0400-000000000000}"/>
    <hyperlink ref="K9" r:id="rId2" xr:uid="{00000000-0004-0000-04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9CB31"/>
  </sheetPr>
  <dimension ref="A1:IR307"/>
  <sheetViews>
    <sheetView showGridLines="0" showOutlineSymbols="0" zoomScale="75" zoomScaleNormal="75"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1" t="s">
        <v>243</v>
      </c>
      <c r="C1" s="11"/>
      <c r="D1" s="11"/>
      <c r="E1" s="11"/>
      <c r="F1" s="11"/>
      <c r="G1" s="11"/>
      <c r="H1" s="11"/>
      <c r="I1" s="11"/>
      <c r="J1" s="11"/>
      <c r="K1" s="11"/>
      <c r="L1" s="11"/>
      <c r="M1" s="11"/>
      <c r="N1" s="11"/>
      <c r="O1" s="11"/>
      <c r="P1" s="11"/>
      <c r="Q1" s="11"/>
      <c r="R1" s="11"/>
      <c r="S1" s="216"/>
      <c r="T1" s="2"/>
    </row>
    <row r="2" spans="1:20" ht="15.6" x14ac:dyDescent="0.3">
      <c r="A2" s="12"/>
      <c r="B2" s="13"/>
      <c r="C2" s="14"/>
      <c r="D2" s="14"/>
      <c r="E2" s="14"/>
      <c r="F2" s="14"/>
      <c r="G2" s="14"/>
      <c r="H2" s="14"/>
      <c r="I2" s="14"/>
      <c r="J2" s="14"/>
      <c r="K2" s="14"/>
      <c r="L2" s="14"/>
      <c r="M2" s="14"/>
      <c r="N2" s="14"/>
      <c r="O2" s="14"/>
      <c r="P2" s="14"/>
      <c r="Q2" s="14"/>
      <c r="R2" s="14"/>
      <c r="S2" s="217"/>
      <c r="T2" s="2"/>
    </row>
    <row r="3" spans="1:20" ht="15.6" x14ac:dyDescent="0.3">
      <c r="A3" s="15"/>
      <c r="B3" s="16" t="s">
        <v>244</v>
      </c>
      <c r="C3" s="14"/>
      <c r="D3" s="14"/>
      <c r="E3" s="14"/>
      <c r="F3" s="14"/>
      <c r="G3" s="14"/>
      <c r="H3" s="14"/>
      <c r="I3" s="14"/>
      <c r="J3" s="14"/>
      <c r="K3" s="14"/>
      <c r="L3" s="14"/>
      <c r="M3" s="14"/>
      <c r="N3" s="14"/>
      <c r="O3" s="14"/>
      <c r="P3" s="14"/>
      <c r="Q3" s="14"/>
      <c r="R3" s="14"/>
      <c r="S3" s="217"/>
      <c r="T3" s="2"/>
    </row>
    <row r="4" spans="1:20" ht="15.6" x14ac:dyDescent="0.3">
      <c r="A4" s="12"/>
      <c r="B4" s="13"/>
      <c r="C4" s="14"/>
      <c r="D4" s="14"/>
      <c r="E4" s="14"/>
      <c r="F4" s="14"/>
      <c r="G4" s="14"/>
      <c r="H4" s="14"/>
      <c r="I4" s="14"/>
      <c r="J4" s="14"/>
      <c r="K4" s="14"/>
      <c r="L4" s="14"/>
      <c r="M4" s="14"/>
      <c r="N4" s="14"/>
      <c r="O4" s="14"/>
      <c r="P4" s="14"/>
      <c r="Q4" s="14"/>
      <c r="R4" s="14"/>
      <c r="S4" s="217"/>
      <c r="T4" s="2"/>
    </row>
    <row r="5" spans="1:20" ht="15.6" x14ac:dyDescent="0.3">
      <c r="A5" s="12"/>
      <c r="B5" s="102" t="s">
        <v>109</v>
      </c>
      <c r="C5" s="14"/>
      <c r="D5" s="14"/>
      <c r="E5" s="14"/>
      <c r="F5" s="14"/>
      <c r="G5" s="14"/>
      <c r="H5" s="14"/>
      <c r="I5" s="14"/>
      <c r="J5" s="14"/>
      <c r="K5" s="14"/>
      <c r="L5" s="14"/>
      <c r="M5" s="14"/>
      <c r="N5" s="14"/>
      <c r="O5" s="14"/>
      <c r="P5" s="14"/>
      <c r="Q5" s="14"/>
      <c r="R5" s="14"/>
      <c r="S5" s="217"/>
      <c r="T5" s="2"/>
    </row>
    <row r="6" spans="1:20" ht="15.6" x14ac:dyDescent="0.3">
      <c r="A6" s="12"/>
      <c r="B6" s="102" t="s">
        <v>111</v>
      </c>
      <c r="C6" s="14"/>
      <c r="D6" s="14"/>
      <c r="E6" s="14"/>
      <c r="F6" s="14"/>
      <c r="G6" s="14"/>
      <c r="H6" s="14"/>
      <c r="I6" s="14"/>
      <c r="J6" s="14"/>
      <c r="K6" s="14"/>
      <c r="L6" s="14"/>
      <c r="M6" s="14"/>
      <c r="N6" s="14"/>
      <c r="O6" s="14"/>
      <c r="P6" s="14"/>
      <c r="Q6" s="14"/>
      <c r="R6" s="14"/>
      <c r="S6" s="217"/>
      <c r="T6" s="2"/>
    </row>
    <row r="7" spans="1:20" ht="15.6" x14ac:dyDescent="0.3">
      <c r="A7" s="12"/>
      <c r="B7" s="102" t="s">
        <v>110</v>
      </c>
      <c r="C7" s="14"/>
      <c r="D7" s="14"/>
      <c r="E7" s="14"/>
      <c r="F7" s="14"/>
      <c r="G7" s="14"/>
      <c r="H7" s="14"/>
      <c r="I7" s="14"/>
      <c r="J7" s="14"/>
      <c r="K7" s="14"/>
      <c r="L7" s="14"/>
      <c r="M7" s="14"/>
      <c r="N7" s="14"/>
      <c r="O7" s="14"/>
      <c r="P7" s="14"/>
      <c r="Q7" s="14"/>
      <c r="R7" s="14"/>
      <c r="S7" s="217"/>
      <c r="T7" s="2"/>
    </row>
    <row r="8" spans="1:20" ht="15.6" x14ac:dyDescent="0.3">
      <c r="A8" s="12"/>
      <c r="B8" s="17"/>
      <c r="C8" s="14"/>
      <c r="D8" s="14"/>
      <c r="E8" s="14"/>
      <c r="F8" s="14"/>
      <c r="G8" s="14"/>
      <c r="H8" s="14"/>
      <c r="I8" s="14"/>
      <c r="J8" s="14"/>
      <c r="K8" s="14"/>
      <c r="L8" s="14"/>
      <c r="M8" s="14"/>
      <c r="N8" s="14"/>
      <c r="O8" s="14"/>
      <c r="P8" s="14"/>
      <c r="Q8" s="14"/>
      <c r="R8" s="14"/>
      <c r="S8" s="217"/>
      <c r="T8" s="2"/>
    </row>
    <row r="9" spans="1:20" ht="17.399999999999999" x14ac:dyDescent="0.3">
      <c r="A9" s="12"/>
      <c r="B9" s="18" t="s">
        <v>127</v>
      </c>
      <c r="C9" s="14"/>
      <c r="D9" s="14"/>
      <c r="E9" s="19"/>
      <c r="F9" s="14"/>
      <c r="G9" s="14"/>
      <c r="H9" s="19"/>
      <c r="I9" s="14"/>
      <c r="J9" s="19"/>
      <c r="K9" s="19" t="s">
        <v>128</v>
      </c>
      <c r="L9" s="19"/>
      <c r="M9" s="14"/>
      <c r="N9" s="14"/>
      <c r="O9" s="14"/>
      <c r="P9" s="14"/>
      <c r="Q9" s="14"/>
      <c r="R9" s="14"/>
      <c r="S9" s="217"/>
      <c r="T9" s="2"/>
    </row>
    <row r="10" spans="1:20" ht="15.6" x14ac:dyDescent="0.3">
      <c r="A10" s="12"/>
      <c r="B10" s="17"/>
      <c r="C10" s="20"/>
      <c r="D10" s="14"/>
      <c r="E10" s="14"/>
      <c r="F10" s="14"/>
      <c r="G10" s="14"/>
      <c r="H10" s="14"/>
      <c r="I10" s="14"/>
      <c r="J10" s="14"/>
      <c r="K10" s="14"/>
      <c r="L10" s="14"/>
      <c r="M10" s="14"/>
      <c r="N10" s="14"/>
      <c r="O10" s="14"/>
      <c r="P10" s="14"/>
      <c r="Q10" s="14"/>
      <c r="R10" s="14"/>
      <c r="S10" s="217"/>
      <c r="T10" s="2"/>
    </row>
    <row r="11" spans="1:20" ht="15.6" x14ac:dyDescent="0.3">
      <c r="A11" s="12"/>
      <c r="B11" s="88" t="s">
        <v>0</v>
      </c>
      <c r="C11" s="14"/>
      <c r="D11" s="14"/>
      <c r="E11" s="14"/>
      <c r="F11" s="14"/>
      <c r="G11" s="14"/>
      <c r="H11" s="14"/>
      <c r="I11" s="14"/>
      <c r="J11" s="14"/>
      <c r="K11" s="14"/>
      <c r="L11" s="14"/>
      <c r="M11" s="14"/>
      <c r="N11" s="14"/>
      <c r="O11" s="14"/>
      <c r="P11" s="14"/>
      <c r="Q11" s="14"/>
      <c r="R11" s="14"/>
      <c r="S11" s="217"/>
      <c r="T11" s="2"/>
    </row>
    <row r="12" spans="1:20" ht="16.2" thickBot="1" x14ac:dyDescent="0.35">
      <c r="A12" s="12"/>
      <c r="B12" s="20"/>
      <c r="C12" s="14"/>
      <c r="D12" s="14"/>
      <c r="E12" s="14"/>
      <c r="F12" s="14"/>
      <c r="G12" s="14"/>
      <c r="H12" s="14"/>
      <c r="I12" s="14"/>
      <c r="J12" s="14"/>
      <c r="K12" s="14"/>
      <c r="L12" s="14"/>
      <c r="M12" s="14"/>
      <c r="N12" s="14"/>
      <c r="O12" s="14"/>
      <c r="P12" s="14"/>
      <c r="Q12" s="14"/>
      <c r="R12" s="14"/>
      <c r="S12" s="217"/>
      <c r="T12" s="2"/>
    </row>
    <row r="13" spans="1:20" ht="15.6" x14ac:dyDescent="0.3">
      <c r="A13" s="10"/>
      <c r="B13" s="11"/>
      <c r="C13" s="11"/>
      <c r="D13" s="11"/>
      <c r="E13" s="11"/>
      <c r="F13" s="11"/>
      <c r="G13" s="11"/>
      <c r="H13" s="11"/>
      <c r="I13" s="11"/>
      <c r="J13" s="11"/>
      <c r="K13" s="11"/>
      <c r="L13" s="11"/>
      <c r="M13" s="11"/>
      <c r="N13" s="11"/>
      <c r="O13" s="11"/>
      <c r="P13" s="11"/>
      <c r="Q13" s="11"/>
      <c r="R13" s="11"/>
      <c r="S13" s="216"/>
      <c r="T13" s="2"/>
    </row>
    <row r="14" spans="1:20" ht="15.6" x14ac:dyDescent="0.3">
      <c r="A14" s="12"/>
      <c r="B14" s="88" t="s">
        <v>1</v>
      </c>
      <c r="C14" s="84"/>
      <c r="D14" s="84"/>
      <c r="E14" s="84"/>
      <c r="F14" s="84"/>
      <c r="G14" s="84"/>
      <c r="H14" s="84"/>
      <c r="I14" s="84"/>
      <c r="J14" s="84"/>
      <c r="K14" s="84"/>
      <c r="L14" s="84"/>
      <c r="M14" s="84"/>
      <c r="N14" s="84"/>
      <c r="O14" s="84"/>
      <c r="P14" s="84"/>
      <c r="Q14" s="84"/>
      <c r="R14" s="103" t="s">
        <v>245</v>
      </c>
      <c r="S14" s="218"/>
      <c r="T14" s="2"/>
    </row>
    <row r="15" spans="1:20" ht="15.6" x14ac:dyDescent="0.3">
      <c r="A15" s="12"/>
      <c r="B15" s="88" t="s">
        <v>2</v>
      </c>
      <c r="C15" s="84"/>
      <c r="D15" s="104"/>
      <c r="E15" s="104"/>
      <c r="F15" s="104"/>
      <c r="G15" s="104"/>
      <c r="H15" s="104"/>
      <c r="I15" s="104"/>
      <c r="J15" s="104"/>
      <c r="K15" s="104"/>
      <c r="L15" s="104"/>
      <c r="M15" s="104"/>
      <c r="N15" s="105"/>
      <c r="O15" s="105"/>
      <c r="P15" s="105" t="s">
        <v>154</v>
      </c>
      <c r="Q15" s="105">
        <v>1</v>
      </c>
      <c r="R15" s="103"/>
      <c r="S15" s="218"/>
      <c r="T15" s="2"/>
    </row>
    <row r="16" spans="1:20" ht="15.6" x14ac:dyDescent="0.3">
      <c r="A16" s="12"/>
      <c r="B16" s="88" t="s">
        <v>3</v>
      </c>
      <c r="C16" s="84"/>
      <c r="D16" s="104"/>
      <c r="E16" s="104"/>
      <c r="F16" s="104"/>
      <c r="G16" s="104"/>
      <c r="H16" s="104"/>
      <c r="I16" s="104"/>
      <c r="J16" s="104"/>
      <c r="K16" s="104"/>
      <c r="L16" s="104"/>
      <c r="M16" s="104"/>
      <c r="N16" s="105"/>
      <c r="O16" s="230"/>
      <c r="P16" s="105" t="s">
        <v>154</v>
      </c>
      <c r="Q16" s="230">
        <v>1</v>
      </c>
      <c r="R16" s="103"/>
      <c r="S16" s="218"/>
      <c r="T16" s="2"/>
    </row>
    <row r="17" spans="1:23" ht="15.6" x14ac:dyDescent="0.3">
      <c r="A17" s="12"/>
      <c r="B17" s="88" t="s">
        <v>4</v>
      </c>
      <c r="C17" s="84"/>
      <c r="D17" s="84"/>
      <c r="E17" s="84"/>
      <c r="F17" s="84"/>
      <c r="G17" s="84"/>
      <c r="H17" s="84"/>
      <c r="I17" s="84"/>
      <c r="J17" s="84"/>
      <c r="K17" s="84"/>
      <c r="L17" s="84"/>
      <c r="M17" s="84"/>
      <c r="N17" s="84"/>
      <c r="O17" s="84"/>
      <c r="P17" s="84"/>
      <c r="Q17" s="84"/>
      <c r="R17" s="106">
        <v>42327</v>
      </c>
      <c r="S17" s="218"/>
      <c r="T17" s="2"/>
    </row>
    <row r="18" spans="1:23" ht="15.6" x14ac:dyDescent="0.3">
      <c r="A18" s="12"/>
      <c r="B18" s="88" t="s">
        <v>5</v>
      </c>
      <c r="C18" s="84"/>
      <c r="D18" s="84"/>
      <c r="E18" s="84"/>
      <c r="F18" s="84"/>
      <c r="G18" s="84"/>
      <c r="H18" s="84"/>
      <c r="I18" s="84"/>
      <c r="J18" s="84"/>
      <c r="K18" s="84"/>
      <c r="L18" s="84"/>
      <c r="M18" s="84"/>
      <c r="N18" s="84"/>
      <c r="O18" s="84"/>
      <c r="P18" s="84"/>
      <c r="Q18" s="84"/>
      <c r="R18" s="215">
        <v>42934</v>
      </c>
      <c r="S18" s="218"/>
      <c r="T18" s="2"/>
    </row>
    <row r="19" spans="1:23" ht="15.6" x14ac:dyDescent="0.3">
      <c r="A19" s="12"/>
      <c r="B19" s="14"/>
      <c r="C19" s="14"/>
      <c r="D19" s="14"/>
      <c r="E19" s="14"/>
      <c r="F19" s="14"/>
      <c r="G19" s="14"/>
      <c r="H19" s="14"/>
      <c r="I19" s="14"/>
      <c r="J19" s="14"/>
      <c r="K19" s="14"/>
      <c r="L19" s="14"/>
      <c r="M19" s="14"/>
      <c r="N19" s="14"/>
      <c r="O19" s="14"/>
      <c r="P19" s="14"/>
      <c r="Q19" s="14"/>
      <c r="R19" s="21"/>
      <c r="S19" s="217"/>
      <c r="T19" s="2"/>
    </row>
    <row r="20" spans="1:23" ht="15.6" x14ac:dyDescent="0.3">
      <c r="A20" s="12"/>
      <c r="B20" s="107" t="s">
        <v>6</v>
      </c>
      <c r="C20" s="84"/>
      <c r="D20" s="84"/>
      <c r="E20" s="84"/>
      <c r="F20" s="84"/>
      <c r="G20" s="84"/>
      <c r="H20" s="84"/>
      <c r="I20" s="84"/>
      <c r="J20" s="84"/>
      <c r="K20" s="84"/>
      <c r="L20" s="84"/>
      <c r="M20" s="84"/>
      <c r="N20" s="84"/>
      <c r="O20" s="84"/>
      <c r="P20" s="108" t="s">
        <v>85</v>
      </c>
      <c r="Q20" s="84"/>
      <c r="R20" s="90"/>
      <c r="S20" s="217"/>
      <c r="T20" s="2"/>
    </row>
    <row r="21" spans="1:23" ht="15.6" x14ac:dyDescent="0.3">
      <c r="A21" s="12"/>
      <c r="B21" s="14"/>
      <c r="C21" s="14"/>
      <c r="D21" s="14"/>
      <c r="E21" s="14"/>
      <c r="F21" s="14"/>
      <c r="G21" s="14"/>
      <c r="H21" s="14"/>
      <c r="I21" s="14"/>
      <c r="J21" s="14"/>
      <c r="K21" s="14"/>
      <c r="L21" s="14"/>
      <c r="M21" s="14"/>
      <c r="N21" s="14"/>
      <c r="O21" s="14"/>
      <c r="P21" s="14"/>
      <c r="Q21" s="14"/>
      <c r="R21" s="23"/>
      <c r="S21" s="217"/>
      <c r="T21" s="2"/>
    </row>
    <row r="22" spans="1:23" ht="15.6" x14ac:dyDescent="0.3">
      <c r="A22" s="53"/>
      <c r="B22" s="54"/>
      <c r="C22" s="55"/>
      <c r="D22" s="55" t="s">
        <v>224</v>
      </c>
      <c r="E22" s="55"/>
      <c r="F22" s="55" t="s">
        <v>225</v>
      </c>
      <c r="G22" s="55"/>
      <c r="H22" s="55" t="s">
        <v>178</v>
      </c>
      <c r="I22" s="55"/>
      <c r="J22" s="55" t="s">
        <v>179</v>
      </c>
      <c r="K22" s="55"/>
      <c r="L22" s="55" t="s">
        <v>246</v>
      </c>
      <c r="M22" s="55"/>
      <c r="N22" s="55"/>
      <c r="O22" s="56"/>
      <c r="P22" s="57"/>
      <c r="Q22" s="58"/>
      <c r="R22" s="58"/>
      <c r="S22" s="219"/>
      <c r="T22" s="2"/>
    </row>
    <row r="23" spans="1:23" ht="15.6" x14ac:dyDescent="0.3">
      <c r="A23" s="24"/>
      <c r="B23" s="79" t="s">
        <v>219</v>
      </c>
      <c r="C23" s="109"/>
      <c r="D23" s="109" t="s">
        <v>112</v>
      </c>
      <c r="E23" s="109"/>
      <c r="F23" s="109" t="s">
        <v>112</v>
      </c>
      <c r="G23" s="109"/>
      <c r="H23" s="109" t="s">
        <v>177</v>
      </c>
      <c r="I23" s="109"/>
      <c r="J23" s="109" t="s">
        <v>247</v>
      </c>
      <c r="K23" s="109"/>
      <c r="L23" s="109" t="s">
        <v>153</v>
      </c>
      <c r="M23" s="109"/>
      <c r="N23" s="109"/>
      <c r="O23" s="109"/>
      <c r="P23" s="109"/>
      <c r="Q23" s="100"/>
      <c r="R23" s="100"/>
      <c r="S23" s="220"/>
      <c r="T23" s="2"/>
    </row>
    <row r="24" spans="1:23" ht="15.6" x14ac:dyDescent="0.3">
      <c r="A24" s="117"/>
      <c r="B24" s="113" t="s">
        <v>196</v>
      </c>
      <c r="C24" s="119"/>
      <c r="D24" s="114" t="s">
        <v>198</v>
      </c>
      <c r="E24" s="114"/>
      <c r="F24" s="114" t="s">
        <v>198</v>
      </c>
      <c r="G24" s="114"/>
      <c r="H24" s="114" t="s">
        <v>199</v>
      </c>
      <c r="I24" s="114"/>
      <c r="J24" s="114" t="s">
        <v>200</v>
      </c>
      <c r="K24" s="114"/>
      <c r="L24" s="114" t="s">
        <v>153</v>
      </c>
      <c r="M24" s="114"/>
      <c r="N24" s="114"/>
      <c r="O24" s="119"/>
      <c r="P24" s="114"/>
      <c r="Q24" s="115"/>
      <c r="R24" s="115"/>
      <c r="S24" s="116"/>
      <c r="T24" s="2"/>
    </row>
    <row r="25" spans="1:23" ht="15.6" x14ac:dyDescent="0.3">
      <c r="A25" s="120"/>
      <c r="B25" s="124" t="s">
        <v>220</v>
      </c>
      <c r="C25" s="119"/>
      <c r="D25" s="119" t="s">
        <v>112</v>
      </c>
      <c r="E25" s="119"/>
      <c r="F25" s="119" t="s">
        <v>112</v>
      </c>
      <c r="G25" s="119"/>
      <c r="H25" s="119" t="s">
        <v>177</v>
      </c>
      <c r="I25" s="119"/>
      <c r="J25" s="119" t="s">
        <v>247</v>
      </c>
      <c r="K25" s="119"/>
      <c r="L25" s="119" t="s">
        <v>153</v>
      </c>
      <c r="M25" s="119"/>
      <c r="N25" s="119"/>
      <c r="O25" s="119"/>
      <c r="P25" s="114"/>
      <c r="Q25" s="115"/>
      <c r="R25" s="115"/>
      <c r="S25" s="116"/>
      <c r="T25" s="2"/>
      <c r="U25" s="211"/>
      <c r="W25" s="212"/>
    </row>
    <row r="26" spans="1:23" ht="15.6" x14ac:dyDescent="0.3">
      <c r="A26" s="122"/>
      <c r="B26" s="124" t="s">
        <v>197</v>
      </c>
      <c r="C26" s="114"/>
      <c r="D26" s="119" t="s">
        <v>198</v>
      </c>
      <c r="E26" s="119"/>
      <c r="F26" s="119" t="s">
        <v>198</v>
      </c>
      <c r="G26" s="119"/>
      <c r="H26" s="119" t="s">
        <v>199</v>
      </c>
      <c r="I26" s="119"/>
      <c r="J26" s="119" t="s">
        <v>200</v>
      </c>
      <c r="K26" s="119"/>
      <c r="L26" s="119" t="s">
        <v>153</v>
      </c>
      <c r="M26" s="119"/>
      <c r="N26" s="119"/>
      <c r="O26" s="114"/>
      <c r="P26" s="123"/>
      <c r="Q26" s="115"/>
      <c r="R26" s="115"/>
      <c r="S26" s="116"/>
      <c r="T26" s="2"/>
      <c r="U26" s="211"/>
      <c r="W26" s="212"/>
    </row>
    <row r="27" spans="1:23" ht="15.6" x14ac:dyDescent="0.3">
      <c r="A27" s="122"/>
      <c r="B27" s="113" t="s">
        <v>7</v>
      </c>
      <c r="C27" s="125"/>
      <c r="D27" s="114" t="s">
        <v>248</v>
      </c>
      <c r="E27" s="114"/>
      <c r="F27" s="114" t="s">
        <v>249</v>
      </c>
      <c r="G27" s="114"/>
      <c r="H27" s="114" t="s">
        <v>250</v>
      </c>
      <c r="I27" s="114"/>
      <c r="J27" s="114" t="s">
        <v>251</v>
      </c>
      <c r="K27" s="114"/>
      <c r="L27" s="114" t="s">
        <v>252</v>
      </c>
      <c r="M27" s="114"/>
      <c r="N27" s="114"/>
      <c r="O27" s="126"/>
      <c r="P27" s="126"/>
      <c r="Q27" s="127"/>
      <c r="R27" s="126"/>
      <c r="S27" s="128"/>
      <c r="T27" s="2"/>
      <c r="U27" s="211"/>
      <c r="W27" s="212"/>
    </row>
    <row r="28" spans="1:23" ht="15.6" x14ac:dyDescent="0.3">
      <c r="A28" s="120"/>
      <c r="B28" s="113" t="s">
        <v>106</v>
      </c>
      <c r="C28" s="129"/>
      <c r="D28" s="235">
        <v>125000</v>
      </c>
      <c r="E28" s="130"/>
      <c r="F28" s="201">
        <v>208300</v>
      </c>
      <c r="G28" s="198"/>
      <c r="H28" s="201">
        <v>19300</v>
      </c>
      <c r="I28" s="198"/>
      <c r="J28" s="201">
        <v>25400</v>
      </c>
      <c r="K28" s="126"/>
      <c r="L28" s="201">
        <v>8753</v>
      </c>
      <c r="M28" s="126"/>
      <c r="N28" s="130"/>
      <c r="O28" s="131"/>
      <c r="P28" s="131"/>
      <c r="Q28" s="132"/>
      <c r="R28" s="126"/>
      <c r="S28" s="128"/>
      <c r="T28" s="2"/>
    </row>
    <row r="29" spans="1:23" ht="15.6" x14ac:dyDescent="0.3">
      <c r="A29" s="122"/>
      <c r="B29" s="113" t="s">
        <v>105</v>
      </c>
      <c r="C29" s="125"/>
      <c r="D29" s="235">
        <f>D28*D35</f>
        <v>115998.8125</v>
      </c>
      <c r="E29" s="130"/>
      <c r="F29" s="201">
        <f>F28*F35</f>
        <v>193300.42115000001</v>
      </c>
      <c r="G29" s="201"/>
      <c r="H29" s="201">
        <f>H28*H35</f>
        <v>19300</v>
      </c>
      <c r="I29" s="201"/>
      <c r="J29" s="201">
        <f>J28*J35</f>
        <v>25400</v>
      </c>
      <c r="K29" s="126"/>
      <c r="L29" s="201">
        <f>L28*L35</f>
        <v>8753</v>
      </c>
      <c r="M29" s="126"/>
      <c r="N29" s="130"/>
      <c r="O29" s="126"/>
      <c r="P29" s="126"/>
      <c r="Q29" s="127"/>
      <c r="R29" s="126"/>
      <c r="S29" s="128"/>
      <c r="T29" s="2"/>
    </row>
    <row r="30" spans="1:23" ht="15.6" x14ac:dyDescent="0.3">
      <c r="A30" s="122"/>
      <c r="B30" s="121" t="s">
        <v>107</v>
      </c>
      <c r="C30" s="125"/>
      <c r="D30" s="236">
        <f>D28*D34</f>
        <v>104226.34999999999</v>
      </c>
      <c r="E30" s="202"/>
      <c r="F30" s="202">
        <f t="shared" ref="F30" si="0">F28*F34</f>
        <v>173682.78964</v>
      </c>
      <c r="G30" s="202"/>
      <c r="H30" s="202">
        <f t="shared" ref="H30" si="1">H28*H34</f>
        <v>19300</v>
      </c>
      <c r="I30" s="202"/>
      <c r="J30" s="202">
        <f t="shared" ref="J30" si="2">J28*J34</f>
        <v>25400</v>
      </c>
      <c r="K30" s="202"/>
      <c r="L30" s="202">
        <f t="shared" ref="L30" si="3">L28*L34</f>
        <v>8753</v>
      </c>
      <c r="M30" s="131"/>
      <c r="N30" s="133"/>
      <c r="O30" s="126"/>
      <c r="P30" s="126"/>
      <c r="Q30" s="127"/>
      <c r="R30" s="203"/>
      <c r="S30" s="128"/>
      <c r="T30" s="2"/>
    </row>
    <row r="31" spans="1:23" ht="15.6" x14ac:dyDescent="0.3">
      <c r="A31" s="122"/>
      <c r="B31" s="113" t="s">
        <v>221</v>
      </c>
      <c r="C31" s="125"/>
      <c r="D31" s="201">
        <v>88358</v>
      </c>
      <c r="E31" s="201"/>
      <c r="F31" s="201">
        <v>208300</v>
      </c>
      <c r="G31" s="201"/>
      <c r="H31" s="201">
        <v>19300</v>
      </c>
      <c r="I31" s="201"/>
      <c r="J31" s="201">
        <v>25400</v>
      </c>
      <c r="K31" s="201"/>
      <c r="L31" s="201">
        <v>8753</v>
      </c>
      <c r="M31" s="126"/>
      <c r="N31" s="133"/>
      <c r="O31" s="126"/>
      <c r="P31" s="126"/>
      <c r="Q31" s="127"/>
      <c r="R31" s="126">
        <f>SUM(D31:L31)</f>
        <v>350111</v>
      </c>
      <c r="S31" s="128"/>
      <c r="T31" s="2"/>
    </row>
    <row r="32" spans="1:23" ht="15.6" x14ac:dyDescent="0.3">
      <c r="A32" s="122"/>
      <c r="B32" s="113" t="s">
        <v>222</v>
      </c>
      <c r="C32" s="125"/>
      <c r="D32" s="201">
        <f>D31*D35</f>
        <v>81995.384599000012</v>
      </c>
      <c r="E32" s="201"/>
      <c r="F32" s="201">
        <f>F31*F35</f>
        <v>193300.42115000001</v>
      </c>
      <c r="G32" s="201"/>
      <c r="H32" s="201">
        <f>H31*H35</f>
        <v>19300</v>
      </c>
      <c r="I32" s="201"/>
      <c r="J32" s="201">
        <f>J31*J35</f>
        <v>25400</v>
      </c>
      <c r="K32" s="201"/>
      <c r="L32" s="201">
        <f>L31*L35</f>
        <v>8753</v>
      </c>
      <c r="M32" s="126"/>
      <c r="N32" s="133"/>
      <c r="O32" s="126"/>
      <c r="P32" s="126"/>
      <c r="Q32" s="127"/>
      <c r="R32" s="126">
        <f>SUM(D32:L32)</f>
        <v>328748.80574900005</v>
      </c>
      <c r="S32" s="128"/>
      <c r="T32" s="2"/>
    </row>
    <row r="33" spans="1:20" ht="15.6" x14ac:dyDescent="0.3">
      <c r="A33" s="122"/>
      <c r="B33" s="124" t="s">
        <v>223</v>
      </c>
      <c r="C33" s="125"/>
      <c r="D33" s="237">
        <f>D31*D34</f>
        <v>73673.854666400002</v>
      </c>
      <c r="E33" s="237"/>
      <c r="F33" s="237">
        <f t="shared" ref="F33:L33" si="4">F31*F34</f>
        <v>173682.78964</v>
      </c>
      <c r="G33" s="237"/>
      <c r="H33" s="237">
        <f t="shared" si="4"/>
        <v>19300</v>
      </c>
      <c r="I33" s="237"/>
      <c r="J33" s="237">
        <f t="shared" si="4"/>
        <v>25400</v>
      </c>
      <c r="K33" s="237"/>
      <c r="L33" s="237">
        <f t="shared" si="4"/>
        <v>8753</v>
      </c>
      <c r="M33" s="131"/>
      <c r="N33" s="133"/>
      <c r="O33" s="126"/>
      <c r="P33" s="126"/>
      <c r="Q33" s="127"/>
      <c r="R33" s="203">
        <f>SUM(D33:L33)</f>
        <v>300809.64430639998</v>
      </c>
      <c r="S33" s="128"/>
      <c r="T33" s="2"/>
    </row>
    <row r="34" spans="1:20" ht="15.6" x14ac:dyDescent="0.3">
      <c r="A34" s="112"/>
      <c r="B34" s="134" t="s">
        <v>103</v>
      </c>
      <c r="C34" s="135"/>
      <c r="D34" s="136">
        <v>0.83381079999999996</v>
      </c>
      <c r="E34" s="136"/>
      <c r="F34" s="136">
        <v>0.83381079999999996</v>
      </c>
      <c r="G34" s="136"/>
      <c r="H34" s="136">
        <v>1</v>
      </c>
      <c r="I34" s="136"/>
      <c r="J34" s="136">
        <v>1</v>
      </c>
      <c r="K34" s="136"/>
      <c r="L34" s="136">
        <v>1</v>
      </c>
      <c r="M34" s="136"/>
      <c r="N34" s="136"/>
      <c r="O34" s="137"/>
      <c r="P34" s="137"/>
      <c r="Q34" s="138"/>
      <c r="R34" s="204"/>
      <c r="S34" s="139"/>
      <c r="T34" s="2"/>
    </row>
    <row r="35" spans="1:20" ht="15.6" x14ac:dyDescent="0.3">
      <c r="A35" s="112"/>
      <c r="B35" s="134" t="s">
        <v>104</v>
      </c>
      <c r="C35" s="135"/>
      <c r="D35" s="136">
        <v>0.92799050000000005</v>
      </c>
      <c r="E35" s="136"/>
      <c r="F35" s="136">
        <v>0.92799050000000005</v>
      </c>
      <c r="G35" s="136"/>
      <c r="H35" s="136">
        <v>1</v>
      </c>
      <c r="I35" s="136"/>
      <c r="J35" s="136">
        <v>1</v>
      </c>
      <c r="K35" s="136"/>
      <c r="L35" s="136">
        <v>1</v>
      </c>
      <c r="M35" s="136"/>
      <c r="N35" s="136"/>
      <c r="O35" s="140"/>
      <c r="P35" s="141"/>
      <c r="Q35" s="138"/>
      <c r="R35" s="140"/>
      <c r="S35" s="139"/>
      <c r="T35" s="2"/>
    </row>
    <row r="36" spans="1:20" ht="15.6" x14ac:dyDescent="0.3">
      <c r="A36" s="112"/>
      <c r="B36" s="113" t="s">
        <v>8</v>
      </c>
      <c r="C36" s="113"/>
      <c r="D36" s="123" t="s">
        <v>262</v>
      </c>
      <c r="E36" s="123"/>
      <c r="F36" s="123" t="s">
        <v>253</v>
      </c>
      <c r="G36" s="123"/>
      <c r="H36" s="123" t="s">
        <v>254</v>
      </c>
      <c r="I36" s="123"/>
      <c r="J36" s="123" t="s">
        <v>255</v>
      </c>
      <c r="K36" s="123"/>
      <c r="L36" s="123" t="s">
        <v>256</v>
      </c>
      <c r="M36" s="123"/>
      <c r="N36" s="123"/>
      <c r="O36" s="142"/>
      <c r="P36" s="143"/>
      <c r="Q36" s="115"/>
      <c r="R36" s="115"/>
      <c r="S36" s="116"/>
      <c r="T36" s="2"/>
    </row>
    <row r="37" spans="1:20" ht="15.6" x14ac:dyDescent="0.3">
      <c r="A37" s="112"/>
      <c r="B37" s="113" t="s">
        <v>9</v>
      </c>
      <c r="C37" s="144"/>
      <c r="D37" s="143">
        <v>7.6800000000000002E-3</v>
      </c>
      <c r="E37" s="143"/>
      <c r="F37" s="143">
        <v>1.83556E-2</v>
      </c>
      <c r="G37" s="143"/>
      <c r="H37" s="143">
        <v>2.7855600000000001E-2</v>
      </c>
      <c r="I37" s="143"/>
      <c r="J37" s="143">
        <v>3.5355600000000001E-2</v>
      </c>
      <c r="K37" s="143"/>
      <c r="L37" s="143">
        <v>3.8855599999999997E-2</v>
      </c>
      <c r="M37" s="142"/>
      <c r="N37" s="143"/>
      <c r="O37" s="123"/>
      <c r="P37" s="123"/>
      <c r="Q37" s="115"/>
      <c r="R37" s="142"/>
      <c r="S37" s="116"/>
      <c r="T37" s="2"/>
    </row>
    <row r="38" spans="1:20" ht="15.6" x14ac:dyDescent="0.3">
      <c r="A38" s="112"/>
      <c r="B38" s="113" t="s">
        <v>10</v>
      </c>
      <c r="C38" s="144"/>
      <c r="D38" s="143">
        <v>7.7299999999999999E-3</v>
      </c>
      <c r="E38" s="143"/>
      <c r="F38" s="143">
        <v>1.8566300000000001E-2</v>
      </c>
      <c r="G38" s="143"/>
      <c r="H38" s="143">
        <v>2.8066299999999999E-2</v>
      </c>
      <c r="I38" s="143"/>
      <c r="J38" s="143">
        <v>3.5566300000000002E-2</v>
      </c>
      <c r="K38" s="143"/>
      <c r="L38" s="143">
        <v>3.9066299999999998E-2</v>
      </c>
      <c r="M38" s="142"/>
      <c r="N38" s="143"/>
      <c r="O38" s="123"/>
      <c r="P38" s="123"/>
      <c r="Q38" s="115"/>
      <c r="R38" s="115"/>
      <c r="S38" s="116"/>
      <c r="T38" s="2"/>
    </row>
    <row r="39" spans="1:20" ht="15.6" x14ac:dyDescent="0.3">
      <c r="A39" s="112"/>
      <c r="B39" s="113" t="s">
        <v>226</v>
      </c>
      <c r="C39" s="144"/>
      <c r="D39" s="239" t="s">
        <v>264</v>
      </c>
      <c r="E39" s="143"/>
      <c r="F39" s="143" t="s">
        <v>253</v>
      </c>
      <c r="G39" s="143"/>
      <c r="H39" s="143" t="s">
        <v>254</v>
      </c>
      <c r="I39" s="143"/>
      <c r="J39" s="123" t="s">
        <v>255</v>
      </c>
      <c r="K39" s="143"/>
      <c r="L39" s="143" t="s">
        <v>256</v>
      </c>
      <c r="M39" s="142"/>
      <c r="N39" s="143"/>
      <c r="O39" s="123"/>
      <c r="P39" s="123"/>
      <c r="Q39" s="115"/>
      <c r="R39" s="115"/>
      <c r="S39" s="116"/>
      <c r="T39" s="2"/>
    </row>
    <row r="40" spans="1:20" ht="15.6" x14ac:dyDescent="0.3">
      <c r="A40" s="112"/>
      <c r="B40" s="113" t="s">
        <v>227</v>
      </c>
      <c r="C40" s="144"/>
      <c r="D40" s="143">
        <v>2.08256E-2</v>
      </c>
      <c r="E40" s="143"/>
      <c r="F40" s="143">
        <f>+F37</f>
        <v>1.83556E-2</v>
      </c>
      <c r="G40" s="143"/>
      <c r="H40" s="143">
        <f>+H37</f>
        <v>2.7855600000000001E-2</v>
      </c>
      <c r="I40" s="143"/>
      <c r="J40" s="143">
        <f>+J37</f>
        <v>3.5355600000000001E-2</v>
      </c>
      <c r="K40" s="143"/>
      <c r="L40" s="143">
        <f>+L37</f>
        <v>3.8855599999999997E-2</v>
      </c>
      <c r="M40" s="142"/>
      <c r="N40" s="143"/>
      <c r="O40" s="123"/>
      <c r="P40" s="123"/>
      <c r="Q40" s="115"/>
      <c r="R40" s="142">
        <f>SUMPRODUCT(D40:L40,D32:L32)/R32</f>
        <v>2.1388660751925068E-2</v>
      </c>
      <c r="S40" s="116"/>
      <c r="T40" s="2"/>
    </row>
    <row r="41" spans="1:20" ht="15.6" x14ac:dyDescent="0.3">
      <c r="A41" s="112"/>
      <c r="B41" s="113" t="s">
        <v>228</v>
      </c>
      <c r="C41" s="144"/>
      <c r="D41" s="143">
        <v>2.1036300000000001E-2</v>
      </c>
      <c r="E41" s="143"/>
      <c r="F41" s="143">
        <f>+F38</f>
        <v>1.8566300000000001E-2</v>
      </c>
      <c r="G41" s="143"/>
      <c r="H41" s="143">
        <f>+H38</f>
        <v>2.8066299999999999E-2</v>
      </c>
      <c r="I41" s="143"/>
      <c r="J41" s="143">
        <f>+J38</f>
        <v>3.5566300000000002E-2</v>
      </c>
      <c r="K41" s="143"/>
      <c r="L41" s="143">
        <f>+L38</f>
        <v>3.9066299999999998E-2</v>
      </c>
      <c r="M41" s="142"/>
      <c r="N41" s="143"/>
      <c r="O41" s="123"/>
      <c r="P41" s="123"/>
      <c r="Q41" s="115"/>
      <c r="R41" s="115"/>
      <c r="S41" s="116"/>
      <c r="T41" s="2"/>
    </row>
    <row r="42" spans="1:20" ht="15.6" x14ac:dyDescent="0.3">
      <c r="A42" s="112"/>
      <c r="B42" s="113" t="s">
        <v>229</v>
      </c>
      <c r="C42" s="113"/>
      <c r="D42" s="144">
        <v>43936</v>
      </c>
      <c r="E42" s="144"/>
      <c r="F42" s="144">
        <v>43936</v>
      </c>
      <c r="G42" s="144"/>
      <c r="H42" s="144">
        <v>43936</v>
      </c>
      <c r="I42" s="144"/>
      <c r="J42" s="144">
        <v>43936</v>
      </c>
      <c r="K42" s="144"/>
      <c r="L42" s="144">
        <v>43936</v>
      </c>
      <c r="M42" s="144"/>
      <c r="N42" s="144"/>
      <c r="O42" s="123"/>
      <c r="P42" s="123"/>
      <c r="Q42" s="115"/>
      <c r="R42" s="115"/>
      <c r="S42" s="116"/>
      <c r="T42" s="2"/>
    </row>
    <row r="43" spans="1:20" ht="15.6" x14ac:dyDescent="0.3">
      <c r="A43" s="112"/>
      <c r="B43" s="113" t="s">
        <v>11</v>
      </c>
      <c r="C43" s="113"/>
      <c r="D43" s="144">
        <v>43936</v>
      </c>
      <c r="E43" s="144"/>
      <c r="F43" s="144">
        <v>43936</v>
      </c>
      <c r="G43" s="123"/>
      <c r="H43" s="144">
        <v>43936</v>
      </c>
      <c r="I43" s="123"/>
      <c r="J43" s="144">
        <v>43936</v>
      </c>
      <c r="K43" s="123"/>
      <c r="L43" s="144" t="s">
        <v>97</v>
      </c>
      <c r="M43" s="123"/>
      <c r="N43" s="144"/>
      <c r="O43" s="123"/>
      <c r="P43" s="123"/>
      <c r="Q43" s="115"/>
      <c r="R43" s="115"/>
      <c r="S43" s="116"/>
      <c r="T43" s="2"/>
    </row>
    <row r="44" spans="1:20" ht="15.6" x14ac:dyDescent="0.3">
      <c r="A44" s="112"/>
      <c r="B44" s="113" t="s">
        <v>98</v>
      </c>
      <c r="C44" s="113"/>
      <c r="D44" s="123" t="s">
        <v>263</v>
      </c>
      <c r="E44" s="123"/>
      <c r="F44" s="123" t="s">
        <v>257</v>
      </c>
      <c r="G44" s="123"/>
      <c r="H44" s="123" t="s">
        <v>241</v>
      </c>
      <c r="I44" s="123"/>
      <c r="J44" s="123" t="s">
        <v>241</v>
      </c>
      <c r="K44" s="123"/>
      <c r="L44" s="123" t="s">
        <v>97</v>
      </c>
      <c r="M44" s="123"/>
      <c r="N44" s="123"/>
      <c r="O44" s="145"/>
      <c r="P44" s="145"/>
      <c r="Q44" s="145"/>
      <c r="R44" s="145"/>
      <c r="S44" s="116"/>
      <c r="T44" s="2"/>
    </row>
    <row r="45" spans="1:20" ht="15.6" x14ac:dyDescent="0.3">
      <c r="A45" s="112"/>
      <c r="B45" s="113" t="s">
        <v>230</v>
      </c>
      <c r="C45" s="113"/>
      <c r="D45" s="123" t="s">
        <v>265</v>
      </c>
      <c r="E45" s="123"/>
      <c r="F45" s="123" t="s">
        <v>257</v>
      </c>
      <c r="G45" s="123"/>
      <c r="H45" s="123" t="s">
        <v>241</v>
      </c>
      <c r="I45" s="123"/>
      <c r="J45" s="123" t="s">
        <v>241</v>
      </c>
      <c r="K45" s="123"/>
      <c r="L45" s="123" t="s">
        <v>97</v>
      </c>
      <c r="M45" s="123"/>
      <c r="N45" s="123"/>
      <c r="O45" s="145"/>
      <c r="P45" s="145"/>
      <c r="Q45" s="145"/>
      <c r="R45" s="145"/>
      <c r="S45" s="116"/>
      <c r="T45" s="2"/>
    </row>
    <row r="46" spans="1:20" ht="15.6" x14ac:dyDescent="0.3">
      <c r="A46" s="112"/>
      <c r="B46" s="113"/>
      <c r="C46" s="113"/>
      <c r="D46" s="123"/>
      <c r="E46" s="123"/>
      <c r="F46" s="123"/>
      <c r="G46" s="123"/>
      <c r="H46" s="123"/>
      <c r="I46" s="123"/>
      <c r="J46" s="123"/>
      <c r="K46" s="123"/>
      <c r="L46" s="123"/>
      <c r="M46" s="123"/>
      <c r="N46" s="123"/>
      <c r="O46" s="113"/>
      <c r="P46" s="113"/>
      <c r="Q46" s="113"/>
      <c r="R46" s="142" t="s">
        <v>130</v>
      </c>
      <c r="S46" s="116"/>
      <c r="T46" s="2"/>
    </row>
    <row r="47" spans="1:20" ht="15.6" x14ac:dyDescent="0.3">
      <c r="A47" s="112"/>
      <c r="B47" s="113" t="s">
        <v>258</v>
      </c>
      <c r="C47" s="113"/>
      <c r="D47" s="123"/>
      <c r="E47" s="123"/>
      <c r="F47" s="123"/>
      <c r="G47" s="123"/>
      <c r="H47" s="123"/>
      <c r="I47" s="123"/>
      <c r="J47" s="123"/>
      <c r="K47" s="123"/>
      <c r="L47" s="123"/>
      <c r="M47" s="123"/>
      <c r="N47" s="123"/>
      <c r="O47" s="113"/>
      <c r="P47" s="113"/>
      <c r="Q47" s="113"/>
      <c r="R47" s="238">
        <f>SUM(H31:L31)/(D31+F31)</f>
        <v>0.18018391548517149</v>
      </c>
      <c r="S47" s="116"/>
      <c r="T47" s="2"/>
    </row>
    <row r="48" spans="1:20" ht="15.6" x14ac:dyDescent="0.3">
      <c r="A48" s="112"/>
      <c r="B48" s="113" t="s">
        <v>259</v>
      </c>
      <c r="C48" s="113"/>
      <c r="D48" s="113"/>
      <c r="E48" s="113"/>
      <c r="F48" s="113"/>
      <c r="G48" s="113"/>
      <c r="H48" s="113"/>
      <c r="I48" s="113"/>
      <c r="J48" s="113"/>
      <c r="K48" s="113"/>
      <c r="L48" s="113"/>
      <c r="M48" s="113"/>
      <c r="N48" s="113"/>
      <c r="O48" s="113"/>
      <c r="P48" s="113"/>
      <c r="Q48" s="113"/>
      <c r="R48" s="238">
        <f>SUM(H33:L33)/(D33+F33)</f>
        <v>0.21609688371171432</v>
      </c>
      <c r="S48" s="116"/>
      <c r="T48" s="2"/>
    </row>
    <row r="49" spans="1:21" ht="15.6" x14ac:dyDescent="0.3">
      <c r="A49" s="112"/>
      <c r="B49" s="113" t="s">
        <v>260</v>
      </c>
      <c r="C49" s="113"/>
      <c r="D49" s="113"/>
      <c r="E49" s="113"/>
      <c r="F49" s="113"/>
      <c r="G49" s="113"/>
      <c r="H49" s="113"/>
      <c r="I49" s="113"/>
      <c r="J49" s="113"/>
      <c r="K49" s="113"/>
      <c r="L49" s="113"/>
      <c r="M49" s="113"/>
      <c r="N49" s="113"/>
      <c r="O49" s="113"/>
      <c r="P49" s="123"/>
      <c r="Q49" s="123"/>
      <c r="R49" s="126" t="s">
        <v>149</v>
      </c>
      <c r="S49" s="116"/>
      <c r="T49" s="2"/>
    </row>
    <row r="50" spans="1:21" ht="15.6" x14ac:dyDescent="0.3">
      <c r="A50" s="112"/>
      <c r="B50" s="113"/>
      <c r="C50" s="113"/>
      <c r="D50" s="113"/>
      <c r="E50" s="113"/>
      <c r="F50" s="113"/>
      <c r="G50" s="113"/>
      <c r="H50" s="113"/>
      <c r="I50" s="113"/>
      <c r="J50" s="113"/>
      <c r="K50" s="113"/>
      <c r="L50" s="113"/>
      <c r="M50" s="113"/>
      <c r="N50" s="113"/>
      <c r="O50" s="113"/>
      <c r="P50" s="113"/>
      <c r="Q50" s="113"/>
      <c r="R50" s="146"/>
      <c r="S50" s="116"/>
      <c r="T50" s="2"/>
    </row>
    <row r="51" spans="1:21" ht="15.6" x14ac:dyDescent="0.3">
      <c r="A51" s="112"/>
      <c r="B51" s="113" t="s">
        <v>266</v>
      </c>
      <c r="C51" s="113"/>
      <c r="D51" s="113"/>
      <c r="E51" s="113"/>
      <c r="F51" s="113"/>
      <c r="G51" s="113"/>
      <c r="H51" s="113"/>
      <c r="I51" s="113"/>
      <c r="J51" s="113"/>
      <c r="K51" s="113"/>
      <c r="L51" s="113"/>
      <c r="M51" s="113"/>
      <c r="N51" s="113"/>
      <c r="O51" s="113"/>
      <c r="P51" s="113"/>
      <c r="Q51" s="113"/>
      <c r="R51" s="147" t="s">
        <v>91</v>
      </c>
      <c r="S51" s="116"/>
      <c r="T51" s="2"/>
    </row>
    <row r="52" spans="1:21" ht="15.6" x14ac:dyDescent="0.3">
      <c r="A52" s="112"/>
      <c r="B52" s="121" t="s">
        <v>131</v>
      </c>
      <c r="C52" s="121"/>
      <c r="D52" s="121"/>
      <c r="E52" s="121"/>
      <c r="F52" s="121"/>
      <c r="G52" s="121"/>
      <c r="H52" s="121"/>
      <c r="I52" s="121"/>
      <c r="J52" s="121"/>
      <c r="K52" s="121"/>
      <c r="L52" s="121"/>
      <c r="M52" s="121"/>
      <c r="N52" s="121"/>
      <c r="O52" s="121"/>
      <c r="P52" s="148"/>
      <c r="Q52" s="148"/>
      <c r="R52" s="149">
        <v>42933</v>
      </c>
      <c r="S52" s="116"/>
      <c r="T52" s="2"/>
    </row>
    <row r="53" spans="1:21" ht="15.6" x14ac:dyDescent="0.3">
      <c r="A53" s="112"/>
      <c r="B53" s="113" t="s">
        <v>99</v>
      </c>
      <c r="C53" s="113"/>
      <c r="D53" s="150"/>
      <c r="E53" s="150"/>
      <c r="F53" s="150"/>
      <c r="G53" s="150"/>
      <c r="H53" s="150"/>
      <c r="I53" s="150"/>
      <c r="J53" s="150"/>
      <c r="K53" s="150"/>
      <c r="L53" s="150"/>
      <c r="M53" s="150"/>
      <c r="N53" s="113">
        <f>+R53-P53+1</f>
        <v>92</v>
      </c>
      <c r="O53" s="113"/>
      <c r="P53" s="151">
        <v>42751</v>
      </c>
      <c r="Q53" s="152"/>
      <c r="R53" s="151">
        <v>42842</v>
      </c>
      <c r="S53" s="116"/>
      <c r="T53" s="2"/>
    </row>
    <row r="54" spans="1:21" ht="15.6" x14ac:dyDescent="0.3">
      <c r="A54" s="112"/>
      <c r="B54" s="113" t="s">
        <v>100</v>
      </c>
      <c r="C54" s="113"/>
      <c r="D54" s="113"/>
      <c r="E54" s="113"/>
      <c r="F54" s="113"/>
      <c r="G54" s="113"/>
      <c r="H54" s="113"/>
      <c r="I54" s="113"/>
      <c r="J54" s="113"/>
      <c r="K54" s="113"/>
      <c r="L54" s="113"/>
      <c r="M54" s="113"/>
      <c r="N54" s="113">
        <f>+R54-P54+1</f>
        <v>90</v>
      </c>
      <c r="O54" s="113"/>
      <c r="P54" s="151">
        <v>42843</v>
      </c>
      <c r="Q54" s="152"/>
      <c r="R54" s="151">
        <v>42932</v>
      </c>
      <c r="S54" s="116"/>
      <c r="T54" s="2"/>
    </row>
    <row r="55" spans="1:21" ht="15.6" x14ac:dyDescent="0.3">
      <c r="A55" s="112"/>
      <c r="B55" s="113" t="s">
        <v>231</v>
      </c>
      <c r="C55" s="113"/>
      <c r="D55" s="113"/>
      <c r="E55" s="113"/>
      <c r="F55" s="113"/>
      <c r="G55" s="113"/>
      <c r="H55" s="113"/>
      <c r="I55" s="113"/>
      <c r="J55" s="113"/>
      <c r="K55" s="113"/>
      <c r="L55" s="113"/>
      <c r="M55" s="113"/>
      <c r="N55" s="113"/>
      <c r="O55" s="113"/>
      <c r="P55" s="151"/>
      <c r="Q55" s="152"/>
      <c r="R55" s="151" t="s">
        <v>232</v>
      </c>
      <c r="S55" s="116"/>
      <c r="T55" s="2"/>
    </row>
    <row r="56" spans="1:21" ht="15.6" x14ac:dyDescent="0.3">
      <c r="A56" s="112"/>
      <c r="B56" s="113" t="s">
        <v>267</v>
      </c>
      <c r="C56" s="113"/>
      <c r="D56" s="113"/>
      <c r="E56" s="113"/>
      <c r="F56" s="113"/>
      <c r="G56" s="113"/>
      <c r="H56" s="113"/>
      <c r="I56" s="113"/>
      <c r="J56" s="113"/>
      <c r="K56" s="113"/>
      <c r="L56" s="113"/>
      <c r="M56" s="113"/>
      <c r="N56" s="113"/>
      <c r="O56" s="113"/>
      <c r="P56" s="151"/>
      <c r="Q56" s="152"/>
      <c r="R56" s="151" t="s">
        <v>118</v>
      </c>
      <c r="S56" s="116"/>
      <c r="T56" s="2"/>
      <c r="U56" s="5"/>
    </row>
    <row r="57" spans="1:21" ht="15.6" x14ac:dyDescent="0.3">
      <c r="A57" s="112"/>
      <c r="B57" s="113" t="s">
        <v>12</v>
      </c>
      <c r="C57" s="113"/>
      <c r="D57" s="113"/>
      <c r="E57" s="113"/>
      <c r="F57" s="113"/>
      <c r="G57" s="113"/>
      <c r="H57" s="113"/>
      <c r="I57" s="113"/>
      <c r="J57" s="113"/>
      <c r="K57" s="113"/>
      <c r="L57" s="113"/>
      <c r="M57" s="113"/>
      <c r="N57" s="113"/>
      <c r="O57" s="113"/>
      <c r="P57" s="151"/>
      <c r="Q57" s="152"/>
      <c r="R57" s="250">
        <v>42919</v>
      </c>
      <c r="S57" s="116"/>
      <c r="T57" s="2"/>
    </row>
    <row r="58" spans="1:21" ht="15.6" x14ac:dyDescent="0.3">
      <c r="A58" s="12"/>
      <c r="B58" s="43"/>
      <c r="C58" s="43"/>
      <c r="D58" s="43"/>
      <c r="E58" s="43"/>
      <c r="F58" s="43"/>
      <c r="G58" s="43"/>
      <c r="H58" s="43"/>
      <c r="I58" s="43"/>
      <c r="J58" s="43"/>
      <c r="K58" s="43"/>
      <c r="L58" s="43"/>
      <c r="M58" s="43"/>
      <c r="N58" s="43"/>
      <c r="O58" s="43"/>
      <c r="P58" s="110"/>
      <c r="Q58" s="111"/>
      <c r="R58" s="110"/>
      <c r="S58" s="217"/>
      <c r="T58" s="2"/>
    </row>
    <row r="59" spans="1:21" ht="15.6" x14ac:dyDescent="0.3">
      <c r="A59" s="12"/>
      <c r="B59" s="14"/>
      <c r="C59" s="14"/>
      <c r="D59" s="14"/>
      <c r="E59" s="14"/>
      <c r="F59" s="14"/>
      <c r="G59" s="14"/>
      <c r="H59" s="14"/>
      <c r="I59" s="14"/>
      <c r="J59" s="14"/>
      <c r="K59" s="14"/>
      <c r="L59" s="14"/>
      <c r="M59" s="14"/>
      <c r="N59" s="14"/>
      <c r="O59" s="14"/>
      <c r="P59" s="26"/>
      <c r="Q59" s="27"/>
      <c r="R59" s="26"/>
      <c r="S59" s="217"/>
      <c r="T59" s="2"/>
    </row>
    <row r="60" spans="1:21" ht="18" thickBot="1" x14ac:dyDescent="0.35">
      <c r="A60" s="28"/>
      <c r="B60" s="97" t="s">
        <v>283</v>
      </c>
      <c r="C60" s="29"/>
      <c r="D60" s="29"/>
      <c r="E60" s="29"/>
      <c r="F60" s="29"/>
      <c r="G60" s="29"/>
      <c r="H60" s="29"/>
      <c r="I60" s="29"/>
      <c r="J60" s="29"/>
      <c r="K60" s="29"/>
      <c r="L60" s="29"/>
      <c r="M60" s="29"/>
      <c r="N60" s="29"/>
      <c r="O60" s="29"/>
      <c r="P60" s="29"/>
      <c r="Q60" s="29"/>
      <c r="R60" s="30"/>
      <c r="S60" s="31"/>
      <c r="T60" s="2"/>
    </row>
    <row r="61" spans="1:21" ht="15.6" x14ac:dyDescent="0.3">
      <c r="A61" s="53"/>
      <c r="B61" s="59" t="s">
        <v>13</v>
      </c>
      <c r="C61" s="54"/>
      <c r="D61" s="54"/>
      <c r="E61" s="54"/>
      <c r="F61" s="54"/>
      <c r="G61" s="54"/>
      <c r="H61" s="54"/>
      <c r="I61" s="54"/>
      <c r="J61" s="54"/>
      <c r="K61" s="54"/>
      <c r="L61" s="54"/>
      <c r="M61" s="54"/>
      <c r="N61" s="54"/>
      <c r="O61" s="54"/>
      <c r="P61" s="54"/>
      <c r="Q61" s="54"/>
      <c r="R61" s="60"/>
      <c r="S61" s="54"/>
      <c r="T61" s="2"/>
    </row>
    <row r="62" spans="1:21" ht="15.6" x14ac:dyDescent="0.3">
      <c r="A62" s="12"/>
      <c r="B62" s="20"/>
      <c r="C62" s="14"/>
      <c r="D62" s="14"/>
      <c r="E62" s="14"/>
      <c r="F62" s="14"/>
      <c r="G62" s="14"/>
      <c r="H62" s="14"/>
      <c r="I62" s="14"/>
      <c r="J62" s="14"/>
      <c r="K62" s="14"/>
      <c r="L62" s="14"/>
      <c r="M62" s="14"/>
      <c r="N62" s="14"/>
      <c r="O62" s="14"/>
      <c r="P62" s="14"/>
      <c r="Q62" s="14"/>
      <c r="R62" s="33"/>
      <c r="S62" s="217"/>
      <c r="T62" s="2"/>
    </row>
    <row r="63" spans="1:21" ht="46.8" x14ac:dyDescent="0.3">
      <c r="A63" s="12"/>
      <c r="B63" s="34" t="s">
        <v>14</v>
      </c>
      <c r="C63" s="35"/>
      <c r="D63" s="35"/>
      <c r="E63" s="35"/>
      <c r="F63" s="35" t="s">
        <v>76</v>
      </c>
      <c r="G63" s="35"/>
      <c r="H63" s="35" t="s">
        <v>78</v>
      </c>
      <c r="I63" s="35"/>
      <c r="J63" s="35" t="s">
        <v>162</v>
      </c>
      <c r="K63" s="35"/>
      <c r="L63" s="35" t="s">
        <v>163</v>
      </c>
      <c r="M63" s="35"/>
      <c r="N63" s="35" t="s">
        <v>81</v>
      </c>
      <c r="O63" s="35"/>
      <c r="P63" s="35" t="s">
        <v>86</v>
      </c>
      <c r="Q63" s="35"/>
      <c r="R63" s="36" t="s">
        <v>92</v>
      </c>
      <c r="S63" s="221"/>
      <c r="T63" s="2"/>
    </row>
    <row r="64" spans="1:21" ht="15.6" x14ac:dyDescent="0.3">
      <c r="A64" s="112"/>
      <c r="B64" s="113" t="s">
        <v>15</v>
      </c>
      <c r="C64" s="155"/>
      <c r="D64" s="155"/>
      <c r="E64" s="155"/>
      <c r="F64" s="155">
        <v>348459</v>
      </c>
      <c r="G64" s="155"/>
      <c r="H64" s="156">
        <v>327541</v>
      </c>
      <c r="I64" s="155"/>
      <c r="J64" s="156">
        <v>202</v>
      </c>
      <c r="K64" s="155"/>
      <c r="L64" s="155">
        <v>27765</v>
      </c>
      <c r="M64" s="155"/>
      <c r="N64" s="155">
        <f>205+28</f>
        <v>233</v>
      </c>
      <c r="O64" s="155"/>
      <c r="P64" s="155">
        <v>0</v>
      </c>
      <c r="Q64" s="155"/>
      <c r="R64" s="156">
        <f>H64-J64-L64+N64-P64</f>
        <v>299807</v>
      </c>
      <c r="S64" s="116"/>
      <c r="T64" s="2"/>
    </row>
    <row r="65" spans="1:20" ht="15.6" x14ac:dyDescent="0.3">
      <c r="A65" s="112"/>
      <c r="B65" s="113" t="s">
        <v>16</v>
      </c>
      <c r="C65" s="155"/>
      <c r="D65" s="155"/>
      <c r="E65" s="155"/>
      <c r="F65" s="155">
        <v>0</v>
      </c>
      <c r="G65" s="155"/>
      <c r="H65" s="156">
        <v>0</v>
      </c>
      <c r="I65" s="155"/>
      <c r="J65" s="156">
        <v>0</v>
      </c>
      <c r="K65" s="155"/>
      <c r="L65" s="155">
        <v>0</v>
      </c>
      <c r="M65" s="155"/>
      <c r="N65" s="155">
        <v>0</v>
      </c>
      <c r="O65" s="155"/>
      <c r="P65" s="155">
        <v>0</v>
      </c>
      <c r="Q65" s="155"/>
      <c r="R65" s="156">
        <f>F65-J65-L65</f>
        <v>0</v>
      </c>
      <c r="S65" s="116"/>
      <c r="T65" s="2"/>
    </row>
    <row r="66" spans="1:20" ht="15.6" x14ac:dyDescent="0.3">
      <c r="A66" s="112"/>
      <c r="B66" s="113"/>
      <c r="C66" s="155"/>
      <c r="D66" s="155"/>
      <c r="E66" s="155"/>
      <c r="F66" s="155"/>
      <c r="G66" s="155"/>
      <c r="H66" s="156"/>
      <c r="I66" s="155"/>
      <c r="J66" s="156"/>
      <c r="K66" s="155"/>
      <c r="L66" s="155"/>
      <c r="M66" s="155"/>
      <c r="N66" s="155"/>
      <c r="O66" s="155"/>
      <c r="P66" s="155"/>
      <c r="Q66" s="155"/>
      <c r="R66" s="156"/>
      <c r="S66" s="116"/>
      <c r="T66" s="2"/>
    </row>
    <row r="67" spans="1:20" ht="15.6" x14ac:dyDescent="0.3">
      <c r="A67" s="112"/>
      <c r="B67" s="113" t="s">
        <v>17</v>
      </c>
      <c r="C67" s="155"/>
      <c r="D67" s="155"/>
      <c r="E67" s="155"/>
      <c r="F67" s="155">
        <f>SUM(F64:F66)</f>
        <v>348459</v>
      </c>
      <c r="G67" s="155"/>
      <c r="H67" s="155">
        <f>H64+H65</f>
        <v>327541</v>
      </c>
      <c r="I67" s="155"/>
      <c r="J67" s="155">
        <f>J64+J65</f>
        <v>202</v>
      </c>
      <c r="K67" s="155"/>
      <c r="L67" s="155">
        <f>SUM(L64:L66)</f>
        <v>27765</v>
      </c>
      <c r="M67" s="155"/>
      <c r="N67" s="155">
        <f>SUM(N64:N66)</f>
        <v>233</v>
      </c>
      <c r="O67" s="155"/>
      <c r="P67" s="155">
        <f>SUM(P64:P66)</f>
        <v>0</v>
      </c>
      <c r="Q67" s="155"/>
      <c r="R67" s="155">
        <f>SUM(R64:R66)</f>
        <v>299807</v>
      </c>
      <c r="S67" s="116"/>
      <c r="T67" s="2"/>
    </row>
    <row r="68" spans="1:20" ht="15.6" x14ac:dyDescent="0.3">
      <c r="A68" s="12"/>
      <c r="B68" s="43"/>
      <c r="C68" s="153"/>
      <c r="D68" s="153"/>
      <c r="E68" s="153"/>
      <c r="F68" s="153"/>
      <c r="G68" s="153"/>
      <c r="H68" s="153"/>
      <c r="I68" s="153"/>
      <c r="J68" s="153"/>
      <c r="K68" s="153"/>
      <c r="L68" s="153"/>
      <c r="M68" s="153"/>
      <c r="N68" s="153"/>
      <c r="O68" s="153"/>
      <c r="P68" s="153"/>
      <c r="Q68" s="153"/>
      <c r="R68" s="154"/>
      <c r="S68" s="217"/>
      <c r="T68" s="2"/>
    </row>
    <row r="69" spans="1:20" ht="15.6" x14ac:dyDescent="0.3">
      <c r="A69" s="12"/>
      <c r="B69" s="16" t="s">
        <v>18</v>
      </c>
      <c r="C69" s="38"/>
      <c r="D69" s="38"/>
      <c r="E69" s="38"/>
      <c r="F69" s="38"/>
      <c r="G69" s="38"/>
      <c r="H69" s="38"/>
      <c r="I69" s="38"/>
      <c r="J69" s="38"/>
      <c r="K69" s="38"/>
      <c r="L69" s="38"/>
      <c r="M69" s="38"/>
      <c r="N69" s="38"/>
      <c r="O69" s="38"/>
      <c r="P69" s="38"/>
      <c r="Q69" s="38"/>
      <c r="R69" s="39"/>
      <c r="S69" s="217"/>
      <c r="T69" s="2"/>
    </row>
    <row r="70" spans="1:20" ht="15.6" x14ac:dyDescent="0.3">
      <c r="A70" s="12"/>
      <c r="B70" s="14"/>
      <c r="C70" s="38"/>
      <c r="D70" s="38"/>
      <c r="E70" s="38"/>
      <c r="F70" s="38"/>
      <c r="G70" s="38"/>
      <c r="H70" s="38"/>
      <c r="I70" s="38"/>
      <c r="J70" s="38"/>
      <c r="K70" s="38"/>
      <c r="L70" s="38"/>
      <c r="M70" s="38"/>
      <c r="N70" s="38"/>
      <c r="O70" s="38"/>
      <c r="P70" s="38"/>
      <c r="Q70" s="38"/>
      <c r="R70" s="39"/>
      <c r="S70" s="217"/>
      <c r="T70" s="2"/>
    </row>
    <row r="71" spans="1:20" ht="15.6" x14ac:dyDescent="0.3">
      <c r="A71" s="112"/>
      <c r="B71" s="113" t="s">
        <v>15</v>
      </c>
      <c r="C71" s="155"/>
      <c r="D71" s="155"/>
      <c r="E71" s="155"/>
      <c r="F71" s="155"/>
      <c r="G71" s="155"/>
      <c r="H71" s="155"/>
      <c r="I71" s="155"/>
      <c r="J71" s="155"/>
      <c r="K71" s="155"/>
      <c r="L71" s="155"/>
      <c r="M71" s="155"/>
      <c r="N71" s="155"/>
      <c r="O71" s="155"/>
      <c r="P71" s="155"/>
      <c r="Q71" s="155"/>
      <c r="R71" s="155"/>
      <c r="S71" s="116"/>
      <c r="T71" s="2"/>
    </row>
    <row r="72" spans="1:20" ht="15.6" x14ac:dyDescent="0.3">
      <c r="A72" s="112"/>
      <c r="B72" s="113" t="s">
        <v>16</v>
      </c>
      <c r="C72" s="155"/>
      <c r="D72" s="155"/>
      <c r="E72" s="155"/>
      <c r="F72" s="155"/>
      <c r="G72" s="155"/>
      <c r="H72" s="155"/>
      <c r="I72" s="155"/>
      <c r="J72" s="155"/>
      <c r="K72" s="155"/>
      <c r="L72" s="155"/>
      <c r="M72" s="155"/>
      <c r="N72" s="155"/>
      <c r="O72" s="155"/>
      <c r="P72" s="155"/>
      <c r="Q72" s="155"/>
      <c r="R72" s="155"/>
      <c r="S72" s="116"/>
      <c r="T72" s="2"/>
    </row>
    <row r="73" spans="1:20" ht="15.6" x14ac:dyDescent="0.3">
      <c r="A73" s="112"/>
      <c r="B73" s="113"/>
      <c r="C73" s="155"/>
      <c r="D73" s="155"/>
      <c r="E73" s="155"/>
      <c r="F73" s="155"/>
      <c r="G73" s="155"/>
      <c r="H73" s="155"/>
      <c r="I73" s="155"/>
      <c r="J73" s="155"/>
      <c r="K73" s="155"/>
      <c r="L73" s="155"/>
      <c r="M73" s="155"/>
      <c r="N73" s="155"/>
      <c r="O73" s="155"/>
      <c r="P73" s="155"/>
      <c r="Q73" s="155"/>
      <c r="R73" s="155"/>
      <c r="S73" s="116"/>
      <c r="T73" s="2"/>
    </row>
    <row r="74" spans="1:20" ht="15.6" x14ac:dyDescent="0.3">
      <c r="A74" s="112"/>
      <c r="B74" s="113" t="s">
        <v>17</v>
      </c>
      <c r="C74" s="155"/>
      <c r="D74" s="155"/>
      <c r="E74" s="155"/>
      <c r="F74" s="155"/>
      <c r="G74" s="155"/>
      <c r="H74" s="155"/>
      <c r="I74" s="155"/>
      <c r="J74" s="155"/>
      <c r="K74" s="155"/>
      <c r="L74" s="155"/>
      <c r="M74" s="155"/>
      <c r="N74" s="155"/>
      <c r="O74" s="155"/>
      <c r="P74" s="155"/>
      <c r="Q74" s="155"/>
      <c r="R74" s="155"/>
      <c r="S74" s="116"/>
      <c r="T74" s="2"/>
    </row>
    <row r="75" spans="1:20" ht="15.6" x14ac:dyDescent="0.3">
      <c r="A75" s="112"/>
      <c r="B75" s="113"/>
      <c r="C75" s="155"/>
      <c r="D75" s="155"/>
      <c r="E75" s="155"/>
      <c r="F75" s="155"/>
      <c r="G75" s="155"/>
      <c r="H75" s="155"/>
      <c r="I75" s="155"/>
      <c r="J75" s="155"/>
      <c r="K75" s="155"/>
      <c r="L75" s="155"/>
      <c r="M75" s="155"/>
      <c r="N75" s="155"/>
      <c r="O75" s="155"/>
      <c r="P75" s="155"/>
      <c r="Q75" s="155"/>
      <c r="R75" s="155"/>
      <c r="S75" s="116"/>
      <c r="T75" s="2"/>
    </row>
    <row r="76" spans="1:20" ht="15.6" x14ac:dyDescent="0.3">
      <c r="A76" s="112"/>
      <c r="B76" s="113" t="s">
        <v>19</v>
      </c>
      <c r="C76" s="155"/>
      <c r="D76" s="155"/>
      <c r="E76" s="155"/>
      <c r="F76" s="155">
        <v>0</v>
      </c>
      <c r="G76" s="155"/>
      <c r="H76" s="155">
        <v>0</v>
      </c>
      <c r="I76" s="155"/>
      <c r="J76" s="155"/>
      <c r="K76" s="155"/>
      <c r="L76" s="155"/>
      <c r="M76" s="155"/>
      <c r="N76" s="155"/>
      <c r="O76" s="155"/>
      <c r="P76" s="155"/>
      <c r="Q76" s="155"/>
      <c r="R76" s="156">
        <v>0</v>
      </c>
      <c r="S76" s="116"/>
      <c r="T76" s="2"/>
    </row>
    <row r="77" spans="1:20" ht="15.6" x14ac:dyDescent="0.3">
      <c r="A77" s="112"/>
      <c r="B77" s="113" t="s">
        <v>195</v>
      </c>
      <c r="C77" s="155"/>
      <c r="D77" s="155"/>
      <c r="E77" s="155"/>
      <c r="F77" s="155">
        <v>0</v>
      </c>
      <c r="G77" s="155"/>
      <c r="H77" s="155">
        <v>0</v>
      </c>
      <c r="I77" s="155"/>
      <c r="J77" s="155">
        <v>0</v>
      </c>
      <c r="K77" s="155"/>
      <c r="L77" s="155">
        <v>0</v>
      </c>
      <c r="M77" s="155"/>
      <c r="N77" s="155"/>
      <c r="O77" s="155"/>
      <c r="P77" s="155"/>
      <c r="Q77" s="155"/>
      <c r="R77" s="155">
        <v>0</v>
      </c>
      <c r="S77" s="116"/>
      <c r="T77" s="2"/>
    </row>
    <row r="78" spans="1:20" ht="15.6" x14ac:dyDescent="0.3">
      <c r="A78" s="112"/>
      <c r="B78" s="113" t="s">
        <v>205</v>
      </c>
      <c r="C78" s="155"/>
      <c r="D78" s="155"/>
      <c r="E78" s="155"/>
      <c r="F78" s="155">
        <v>1652</v>
      </c>
      <c r="G78" s="155"/>
      <c r="H78" s="155">
        <v>1208</v>
      </c>
      <c r="I78" s="155"/>
      <c r="J78" s="155"/>
      <c r="K78" s="155"/>
      <c r="L78" s="155"/>
      <c r="M78" s="155"/>
      <c r="N78" s="155">
        <v>-205</v>
      </c>
      <c r="O78" s="155"/>
      <c r="P78" s="155"/>
      <c r="Q78" s="155"/>
      <c r="R78" s="155">
        <f>+H78+N78</f>
        <v>1003</v>
      </c>
      <c r="S78" s="116"/>
      <c r="T78" s="2"/>
    </row>
    <row r="79" spans="1:20" ht="15.6" x14ac:dyDescent="0.3">
      <c r="A79" s="112"/>
      <c r="B79" s="113" t="s">
        <v>20</v>
      </c>
      <c r="C79" s="155"/>
      <c r="D79" s="155"/>
      <c r="E79" s="155"/>
      <c r="F79" s="155">
        <v>0</v>
      </c>
      <c r="G79" s="155"/>
      <c r="H79" s="155">
        <v>0</v>
      </c>
      <c r="I79" s="155"/>
      <c r="J79" s="155"/>
      <c r="K79" s="155"/>
      <c r="L79" s="155"/>
      <c r="M79" s="155"/>
      <c r="N79" s="155"/>
      <c r="O79" s="155"/>
      <c r="P79" s="155"/>
      <c r="Q79" s="155"/>
      <c r="R79" s="155">
        <v>0</v>
      </c>
      <c r="S79" s="116"/>
      <c r="T79" s="2"/>
    </row>
    <row r="80" spans="1:20" ht="15.6" x14ac:dyDescent="0.3">
      <c r="A80" s="112"/>
      <c r="B80" s="113" t="s">
        <v>21</v>
      </c>
      <c r="C80" s="155"/>
      <c r="D80" s="155"/>
      <c r="E80" s="155"/>
      <c r="F80" s="155">
        <f>SUM(F67:F79)</f>
        <v>350111</v>
      </c>
      <c r="G80" s="155"/>
      <c r="H80" s="155">
        <f>SUM(H67:H79)</f>
        <v>328749</v>
      </c>
      <c r="I80" s="155"/>
      <c r="J80" s="155"/>
      <c r="K80" s="155"/>
      <c r="L80" s="155"/>
      <c r="M80" s="155"/>
      <c r="N80" s="155"/>
      <c r="O80" s="155"/>
      <c r="P80" s="155"/>
      <c r="Q80" s="155"/>
      <c r="R80" s="155">
        <f>SUM(R67:R79)</f>
        <v>300810</v>
      </c>
      <c r="S80" s="116"/>
      <c r="T80" s="2"/>
    </row>
    <row r="81" spans="1:20" ht="15.6" x14ac:dyDescent="0.3">
      <c r="A81" s="12"/>
      <c r="B81" s="43"/>
      <c r="C81" s="153"/>
      <c r="D81" s="153"/>
      <c r="E81" s="153"/>
      <c r="F81" s="153"/>
      <c r="G81" s="153"/>
      <c r="H81" s="153"/>
      <c r="I81" s="153"/>
      <c r="J81" s="153"/>
      <c r="K81" s="153"/>
      <c r="L81" s="153"/>
      <c r="M81" s="153"/>
      <c r="N81" s="153"/>
      <c r="O81" s="153"/>
      <c r="P81" s="153"/>
      <c r="Q81" s="153"/>
      <c r="R81" s="154"/>
      <c r="S81" s="217"/>
      <c r="T81" s="2"/>
    </row>
    <row r="82" spans="1:20" ht="15.6" x14ac:dyDescent="0.3">
      <c r="A82" s="12"/>
      <c r="B82" s="14"/>
      <c r="C82" s="14"/>
      <c r="D82" s="14"/>
      <c r="E82" s="14"/>
      <c r="F82" s="14"/>
      <c r="G82" s="14"/>
      <c r="H82" s="14"/>
      <c r="I82" s="14"/>
      <c r="J82" s="14"/>
      <c r="K82" s="14"/>
      <c r="L82" s="14"/>
      <c r="M82" s="14"/>
      <c r="N82" s="14"/>
      <c r="O82" s="14"/>
      <c r="P82" s="14"/>
      <c r="Q82" s="14"/>
      <c r="R82" s="14"/>
      <c r="S82" s="217"/>
      <c r="T82" s="2"/>
    </row>
    <row r="83" spans="1:20" ht="15.6" x14ac:dyDescent="0.3">
      <c r="A83" s="53"/>
      <c r="B83" s="61" t="s">
        <v>22</v>
      </c>
      <c r="C83" s="61"/>
      <c r="D83" s="62"/>
      <c r="E83" s="62"/>
      <c r="F83" s="62"/>
      <c r="G83" s="62"/>
      <c r="H83" s="63" t="s">
        <v>77</v>
      </c>
      <c r="I83" s="62"/>
      <c r="J83" s="64">
        <f>+P206</f>
        <v>42916</v>
      </c>
      <c r="K83" s="62"/>
      <c r="L83" s="62"/>
      <c r="M83" s="62"/>
      <c r="N83" s="62"/>
      <c r="O83" s="62"/>
      <c r="P83" s="62" t="s">
        <v>87</v>
      </c>
      <c r="Q83" s="62"/>
      <c r="R83" s="62" t="s">
        <v>93</v>
      </c>
      <c r="S83" s="219"/>
      <c r="T83" s="2"/>
    </row>
    <row r="84" spans="1:20" ht="15.6" x14ac:dyDescent="0.3">
      <c r="A84" s="77"/>
      <c r="B84" s="79" t="s">
        <v>23</v>
      </c>
      <c r="C84" s="25"/>
      <c r="D84" s="25"/>
      <c r="E84" s="25"/>
      <c r="F84" s="25"/>
      <c r="G84" s="25"/>
      <c r="H84" s="25"/>
      <c r="I84" s="25"/>
      <c r="J84" s="25"/>
      <c r="K84" s="25"/>
      <c r="L84" s="25"/>
      <c r="M84" s="25"/>
      <c r="N84" s="25"/>
      <c r="O84" s="25"/>
      <c r="P84" s="78">
        <v>0</v>
      </c>
      <c r="Q84" s="79"/>
      <c r="R84" s="82">
        <v>0</v>
      </c>
      <c r="S84" s="222"/>
      <c r="T84" s="2"/>
    </row>
    <row r="85" spans="1:20" ht="15.6" x14ac:dyDescent="0.3">
      <c r="A85" s="122"/>
      <c r="B85" s="113" t="s">
        <v>217</v>
      </c>
      <c r="C85" s="135"/>
      <c r="D85" s="157"/>
      <c r="E85" s="157"/>
      <c r="F85" s="157"/>
      <c r="G85" s="158"/>
      <c r="H85" s="157"/>
      <c r="I85" s="135"/>
      <c r="J85" s="159"/>
      <c r="K85" s="135"/>
      <c r="L85" s="135"/>
      <c r="M85" s="135"/>
      <c r="N85" s="135"/>
      <c r="O85" s="135"/>
      <c r="P85" s="155">
        <f>-N78</f>
        <v>205</v>
      </c>
      <c r="Q85" s="113"/>
      <c r="R85" s="156"/>
      <c r="S85" s="139"/>
      <c r="T85" s="2"/>
    </row>
    <row r="86" spans="1:20" ht="15.6" x14ac:dyDescent="0.3">
      <c r="A86" s="122"/>
      <c r="B86" s="113" t="s">
        <v>218</v>
      </c>
      <c r="C86" s="135"/>
      <c r="D86" s="157"/>
      <c r="E86" s="157"/>
      <c r="F86" s="157"/>
      <c r="G86" s="158"/>
      <c r="H86" s="157"/>
      <c r="I86" s="135"/>
      <c r="J86" s="159"/>
      <c r="K86" s="135"/>
      <c r="L86" s="135"/>
      <c r="M86" s="135"/>
      <c r="N86" s="135"/>
      <c r="O86" s="135"/>
      <c r="P86" s="155">
        <f>-P85</f>
        <v>-205</v>
      </c>
      <c r="Q86" s="113"/>
      <c r="R86" s="156"/>
      <c r="S86" s="139"/>
      <c r="T86" s="2"/>
    </row>
    <row r="87" spans="1:20" ht="15.6" x14ac:dyDescent="0.3">
      <c r="A87" s="122"/>
      <c r="B87" s="113" t="s">
        <v>24</v>
      </c>
      <c r="C87" s="135"/>
      <c r="D87" s="157"/>
      <c r="E87" s="157"/>
      <c r="F87" s="157"/>
      <c r="G87" s="158"/>
      <c r="H87" s="157"/>
      <c r="I87" s="135"/>
      <c r="J87" s="159"/>
      <c r="K87" s="135"/>
      <c r="L87" s="135"/>
      <c r="M87" s="135"/>
      <c r="N87" s="135"/>
      <c r="O87" s="135"/>
      <c r="P87" s="155">
        <f>+J64+L64</f>
        <v>27967</v>
      </c>
      <c r="Q87" s="113"/>
      <c r="R87" s="156"/>
      <c r="S87" s="139"/>
      <c r="T87" s="2"/>
    </row>
    <row r="88" spans="1:20" ht="15.6" x14ac:dyDescent="0.3">
      <c r="A88" s="122"/>
      <c r="B88" s="113" t="s">
        <v>135</v>
      </c>
      <c r="C88" s="135"/>
      <c r="D88" s="157"/>
      <c r="E88" s="157"/>
      <c r="F88" s="157"/>
      <c r="G88" s="158"/>
      <c r="H88" s="157"/>
      <c r="I88" s="135"/>
      <c r="J88" s="159"/>
      <c r="K88" s="135"/>
      <c r="L88" s="135"/>
      <c r="M88" s="135"/>
      <c r="N88" s="135"/>
      <c r="O88" s="135"/>
      <c r="P88" s="155"/>
      <c r="Q88" s="113"/>
      <c r="R88" s="156">
        <f>3553-526</f>
        <v>3027</v>
      </c>
      <c r="S88" s="139"/>
      <c r="T88" s="2"/>
    </row>
    <row r="89" spans="1:20" ht="15.6" x14ac:dyDescent="0.3">
      <c r="A89" s="122"/>
      <c r="B89" s="113" t="s">
        <v>133</v>
      </c>
      <c r="C89" s="135"/>
      <c r="D89" s="157"/>
      <c r="E89" s="157"/>
      <c r="F89" s="157"/>
      <c r="G89" s="158"/>
      <c r="H89" s="157"/>
      <c r="I89" s="135"/>
      <c r="J89" s="159"/>
      <c r="K89" s="135"/>
      <c r="L89" s="135"/>
      <c r="M89" s="135"/>
      <c r="N89" s="135"/>
      <c r="O89" s="135"/>
      <c r="P89" s="155"/>
      <c r="Q89" s="113"/>
      <c r="R89" s="156">
        <v>137</v>
      </c>
      <c r="S89" s="139"/>
      <c r="T89" s="2"/>
    </row>
    <row r="90" spans="1:20" ht="15.6" x14ac:dyDescent="0.3">
      <c r="A90" s="122"/>
      <c r="B90" s="113" t="s">
        <v>134</v>
      </c>
      <c r="C90" s="135"/>
      <c r="D90" s="157"/>
      <c r="E90" s="157"/>
      <c r="F90" s="157"/>
      <c r="G90" s="158"/>
      <c r="H90" s="157"/>
      <c r="I90" s="135"/>
      <c r="J90" s="159"/>
      <c r="K90" s="135"/>
      <c r="L90" s="135"/>
      <c r="M90" s="135"/>
      <c r="N90" s="135"/>
      <c r="O90" s="135"/>
      <c r="P90" s="155"/>
      <c r="Q90" s="113"/>
      <c r="R90" s="156">
        <v>13</v>
      </c>
      <c r="S90" s="139"/>
      <c r="T90" s="2"/>
    </row>
    <row r="91" spans="1:20" ht="15.6" x14ac:dyDescent="0.3">
      <c r="A91" s="122"/>
      <c r="B91" s="113" t="s">
        <v>143</v>
      </c>
      <c r="C91" s="135"/>
      <c r="D91" s="157"/>
      <c r="E91" s="157"/>
      <c r="F91" s="157"/>
      <c r="G91" s="158"/>
      <c r="H91" s="157"/>
      <c r="I91" s="135"/>
      <c r="J91" s="159"/>
      <c r="K91" s="135"/>
      <c r="L91" s="135"/>
      <c r="M91" s="135"/>
      <c r="N91" s="135"/>
      <c r="O91" s="135"/>
      <c r="P91" s="155"/>
      <c r="Q91" s="113"/>
      <c r="R91" s="156">
        <v>0</v>
      </c>
      <c r="S91" s="139"/>
      <c r="T91" s="2"/>
    </row>
    <row r="92" spans="1:20" ht="15.6" x14ac:dyDescent="0.3">
      <c r="A92" s="122"/>
      <c r="B92" s="113" t="s">
        <v>145</v>
      </c>
      <c r="C92" s="135"/>
      <c r="D92" s="157"/>
      <c r="E92" s="157"/>
      <c r="F92" s="157"/>
      <c r="G92" s="158"/>
      <c r="H92" s="157"/>
      <c r="I92" s="135"/>
      <c r="J92" s="159"/>
      <c r="K92" s="135"/>
      <c r="L92" s="135"/>
      <c r="M92" s="135"/>
      <c r="N92" s="135"/>
      <c r="O92" s="135"/>
      <c r="P92" s="155"/>
      <c r="Q92" s="113"/>
      <c r="R92" s="156">
        <v>85</v>
      </c>
      <c r="S92" s="139"/>
      <c r="T92" s="2"/>
    </row>
    <row r="93" spans="1:20" ht="15.6" x14ac:dyDescent="0.3">
      <c r="A93" s="122"/>
      <c r="B93" s="113" t="s">
        <v>164</v>
      </c>
      <c r="C93" s="135"/>
      <c r="D93" s="157"/>
      <c r="E93" s="157"/>
      <c r="F93" s="157"/>
      <c r="G93" s="158"/>
      <c r="H93" s="157"/>
      <c r="I93" s="135"/>
      <c r="J93" s="159"/>
      <c r="K93" s="135"/>
      <c r="L93" s="135"/>
      <c r="M93" s="135"/>
      <c r="N93" s="135"/>
      <c r="O93" s="135"/>
      <c r="P93" s="155"/>
      <c r="Q93" s="113"/>
      <c r="R93" s="156">
        <v>0</v>
      </c>
      <c r="S93" s="139"/>
      <c r="T93" s="2"/>
    </row>
    <row r="94" spans="1:20" ht="15.6" x14ac:dyDescent="0.3">
      <c r="A94" s="122"/>
      <c r="B94" s="113" t="s">
        <v>165</v>
      </c>
      <c r="C94" s="135"/>
      <c r="D94" s="157"/>
      <c r="E94" s="157"/>
      <c r="F94" s="157"/>
      <c r="G94" s="158"/>
      <c r="H94" s="157"/>
      <c r="I94" s="135"/>
      <c r="J94" s="159"/>
      <c r="K94" s="135"/>
      <c r="L94" s="135"/>
      <c r="M94" s="135"/>
      <c r="N94" s="135"/>
      <c r="O94" s="135"/>
      <c r="P94" s="155"/>
      <c r="Q94" s="113"/>
      <c r="R94" s="156">
        <v>0</v>
      </c>
      <c r="S94" s="139"/>
      <c r="T94" s="2"/>
    </row>
    <row r="95" spans="1:20" ht="15.6" x14ac:dyDescent="0.3">
      <c r="A95" s="122"/>
      <c r="B95" s="113" t="s">
        <v>166</v>
      </c>
      <c r="C95" s="135"/>
      <c r="D95" s="135"/>
      <c r="E95" s="135"/>
      <c r="F95" s="135"/>
      <c r="G95" s="135"/>
      <c r="H95" s="135"/>
      <c r="I95" s="135"/>
      <c r="J95" s="135"/>
      <c r="K95" s="135"/>
      <c r="L95" s="135"/>
      <c r="M95" s="135"/>
      <c r="N95" s="135"/>
      <c r="O95" s="135"/>
      <c r="P95" s="155"/>
      <c r="Q95" s="113"/>
      <c r="R95" s="156">
        <v>0</v>
      </c>
      <c r="S95" s="139"/>
      <c r="T95" s="2"/>
    </row>
    <row r="96" spans="1:20" ht="15.6" x14ac:dyDescent="0.3">
      <c r="A96" s="122"/>
      <c r="B96" s="113" t="s">
        <v>268</v>
      </c>
      <c r="C96" s="135"/>
      <c r="D96" s="135"/>
      <c r="E96" s="135"/>
      <c r="F96" s="135"/>
      <c r="G96" s="135"/>
      <c r="H96" s="135"/>
      <c r="I96" s="135"/>
      <c r="J96" s="135"/>
      <c r="K96" s="135"/>
      <c r="L96" s="135"/>
      <c r="M96" s="135"/>
      <c r="N96" s="135"/>
      <c r="O96" s="135"/>
      <c r="P96" s="155"/>
      <c r="Q96" s="113"/>
      <c r="R96" s="156">
        <v>510</v>
      </c>
      <c r="S96" s="139"/>
      <c r="T96" s="2"/>
    </row>
    <row r="97" spans="1:21" ht="15.6" x14ac:dyDescent="0.3">
      <c r="A97" s="122"/>
      <c r="B97" s="113" t="s">
        <v>25</v>
      </c>
      <c r="C97" s="135"/>
      <c r="D97" s="135"/>
      <c r="E97" s="135"/>
      <c r="F97" s="135"/>
      <c r="G97" s="135"/>
      <c r="H97" s="135"/>
      <c r="I97" s="135"/>
      <c r="J97" s="135"/>
      <c r="K97" s="135"/>
      <c r="L97" s="135"/>
      <c r="M97" s="135"/>
      <c r="N97" s="135"/>
      <c r="O97" s="135"/>
      <c r="P97" s="155">
        <f>SUM(P84:P96)</f>
        <v>27967</v>
      </c>
      <c r="Q97" s="113"/>
      <c r="R97" s="155">
        <f>SUM(R84:R96)</f>
        <v>3772</v>
      </c>
      <c r="S97" s="139"/>
      <c r="T97" s="2"/>
    </row>
    <row r="98" spans="1:21" ht="15.6" x14ac:dyDescent="0.3">
      <c r="A98" s="122"/>
      <c r="B98" s="113" t="s">
        <v>26</v>
      </c>
      <c r="C98" s="135"/>
      <c r="D98" s="135"/>
      <c r="E98" s="135"/>
      <c r="F98" s="135"/>
      <c r="G98" s="135"/>
      <c r="H98" s="135"/>
      <c r="I98" s="135"/>
      <c r="J98" s="135"/>
      <c r="K98" s="135"/>
      <c r="L98" s="135"/>
      <c r="M98" s="135"/>
      <c r="N98" s="135"/>
      <c r="O98" s="135"/>
      <c r="P98" s="155">
        <f>-R98</f>
        <v>0</v>
      </c>
      <c r="Q98" s="113"/>
      <c r="R98" s="156">
        <v>0</v>
      </c>
      <c r="S98" s="139"/>
      <c r="T98" s="2"/>
    </row>
    <row r="99" spans="1:21" ht="15.6" x14ac:dyDescent="0.3">
      <c r="A99" s="122"/>
      <c r="B99" s="113" t="s">
        <v>150</v>
      </c>
      <c r="C99" s="135"/>
      <c r="D99" s="135"/>
      <c r="E99" s="135"/>
      <c r="F99" s="135"/>
      <c r="G99" s="135"/>
      <c r="H99" s="135"/>
      <c r="I99" s="135"/>
      <c r="J99" s="135"/>
      <c r="K99" s="135"/>
      <c r="L99" s="135"/>
      <c r="M99" s="135"/>
      <c r="N99" s="135"/>
      <c r="O99" s="135"/>
      <c r="P99" s="155"/>
      <c r="Q99" s="113"/>
      <c r="R99" s="156">
        <v>0</v>
      </c>
      <c r="S99" s="139"/>
      <c r="T99" s="2"/>
    </row>
    <row r="100" spans="1:21" ht="15.6" x14ac:dyDescent="0.3">
      <c r="A100" s="122"/>
      <c r="B100" s="113" t="s">
        <v>27</v>
      </c>
      <c r="C100" s="135"/>
      <c r="D100" s="135"/>
      <c r="E100" s="135"/>
      <c r="F100" s="135"/>
      <c r="G100" s="135"/>
      <c r="H100" s="135"/>
      <c r="I100" s="135"/>
      <c r="J100" s="135"/>
      <c r="K100" s="135"/>
      <c r="L100" s="135"/>
      <c r="M100" s="135"/>
      <c r="N100" s="135"/>
      <c r="O100" s="135"/>
      <c r="P100" s="155">
        <f>P97+P98</f>
        <v>27967</v>
      </c>
      <c r="Q100" s="113"/>
      <c r="R100" s="155">
        <f>R97+R98+R99</f>
        <v>3772</v>
      </c>
      <c r="S100" s="139"/>
      <c r="T100" s="2"/>
    </row>
    <row r="101" spans="1:21" ht="15.6" x14ac:dyDescent="0.3">
      <c r="A101" s="112"/>
      <c r="B101" s="160" t="s">
        <v>28</v>
      </c>
      <c r="C101" s="135"/>
      <c r="D101" s="135"/>
      <c r="E101" s="135"/>
      <c r="F101" s="135"/>
      <c r="G101" s="135"/>
      <c r="H101" s="135"/>
      <c r="I101" s="135"/>
      <c r="J101" s="135"/>
      <c r="K101" s="135"/>
      <c r="L101" s="135"/>
      <c r="M101" s="135"/>
      <c r="N101" s="135"/>
      <c r="O101" s="135"/>
      <c r="P101" s="155"/>
      <c r="Q101" s="113"/>
      <c r="R101" s="156"/>
      <c r="S101" s="139"/>
      <c r="T101" s="2"/>
    </row>
    <row r="102" spans="1:21" ht="15.6" x14ac:dyDescent="0.3">
      <c r="A102" s="122">
        <v>1</v>
      </c>
      <c r="B102" s="113" t="s">
        <v>174</v>
      </c>
      <c r="C102" s="135"/>
      <c r="D102" s="135"/>
      <c r="E102" s="135"/>
      <c r="F102" s="135"/>
      <c r="G102" s="135"/>
      <c r="H102" s="135"/>
      <c r="I102" s="135"/>
      <c r="J102" s="135"/>
      <c r="K102" s="135"/>
      <c r="L102" s="135"/>
      <c r="M102" s="135"/>
      <c r="N102" s="135"/>
      <c r="O102" s="135"/>
      <c r="P102" s="155"/>
      <c r="Q102" s="113"/>
      <c r="R102" s="156">
        <v>0</v>
      </c>
      <c r="S102" s="139"/>
      <c r="T102" s="2"/>
    </row>
    <row r="103" spans="1:21" ht="15.6" x14ac:dyDescent="0.3">
      <c r="A103" s="122">
        <v>2</v>
      </c>
      <c r="B103" s="113" t="s">
        <v>194</v>
      </c>
      <c r="C103" s="113"/>
      <c r="D103" s="135"/>
      <c r="E103" s="135"/>
      <c r="F103" s="135"/>
      <c r="G103" s="135"/>
      <c r="H103" s="135"/>
      <c r="I103" s="135"/>
      <c r="J103" s="135"/>
      <c r="K103" s="135"/>
      <c r="L103" s="135"/>
      <c r="M103" s="135"/>
      <c r="N103" s="135"/>
      <c r="O103" s="135"/>
      <c r="P103" s="113"/>
      <c r="Q103" s="113"/>
      <c r="R103" s="156">
        <v>-3</v>
      </c>
      <c r="S103" s="139"/>
      <c r="T103" s="2"/>
    </row>
    <row r="104" spans="1:21" ht="15.6" x14ac:dyDescent="0.3">
      <c r="A104" s="122">
        <v>3</v>
      </c>
      <c r="B104" s="113" t="s">
        <v>280</v>
      </c>
      <c r="C104" s="113"/>
      <c r="D104" s="135"/>
      <c r="E104" s="135"/>
      <c r="F104" s="135"/>
      <c r="G104" s="135"/>
      <c r="H104" s="135"/>
      <c r="I104" s="135"/>
      <c r="J104" s="135"/>
      <c r="K104" s="135"/>
      <c r="L104" s="135"/>
      <c r="M104" s="135"/>
      <c r="N104" s="135"/>
      <c r="O104" s="135"/>
      <c r="P104" s="113"/>
      <c r="Q104" s="113"/>
      <c r="R104" s="156">
        <f>-122-4-3</f>
        <v>-129</v>
      </c>
      <c r="S104" s="139"/>
      <c r="T104" s="2"/>
    </row>
    <row r="105" spans="1:21" ht="15.6" x14ac:dyDescent="0.3">
      <c r="A105" s="122">
        <v>4</v>
      </c>
      <c r="B105" s="113" t="s">
        <v>96</v>
      </c>
      <c r="C105" s="113"/>
      <c r="D105" s="135"/>
      <c r="E105" s="135"/>
      <c r="F105" s="135"/>
      <c r="G105" s="135"/>
      <c r="H105" s="135"/>
      <c r="I105" s="135"/>
      <c r="J105" s="135"/>
      <c r="K105" s="135"/>
      <c r="L105" s="135"/>
      <c r="M105" s="135"/>
      <c r="N105" s="135"/>
      <c r="O105" s="135"/>
      <c r="P105" s="113"/>
      <c r="Q105" s="113"/>
      <c r="R105" s="156">
        <v>-476</v>
      </c>
      <c r="S105" s="139"/>
      <c r="T105" s="2"/>
    </row>
    <row r="106" spans="1:21" ht="15.6" x14ac:dyDescent="0.3">
      <c r="A106" s="122" t="s">
        <v>239</v>
      </c>
      <c r="B106" s="113" t="s">
        <v>238</v>
      </c>
      <c r="C106" s="113"/>
      <c r="D106" s="135"/>
      <c r="E106" s="135"/>
      <c r="F106" s="135"/>
      <c r="G106" s="135"/>
      <c r="H106" s="135"/>
      <c r="I106" s="135"/>
      <c r="J106" s="135"/>
      <c r="K106" s="135"/>
      <c r="L106" s="135"/>
      <c r="M106" s="135"/>
      <c r="N106" s="135"/>
      <c r="O106" s="135"/>
      <c r="P106" s="113"/>
      <c r="Q106" s="113"/>
      <c r="R106" s="156">
        <v>-421</v>
      </c>
      <c r="S106" s="139"/>
      <c r="T106" s="2"/>
      <c r="U106" s="4"/>
    </row>
    <row r="107" spans="1:21" ht="15.6" x14ac:dyDescent="0.3">
      <c r="A107" s="122" t="s">
        <v>240</v>
      </c>
      <c r="B107" s="113" t="s">
        <v>234</v>
      </c>
      <c r="C107" s="113"/>
      <c r="D107" s="135"/>
      <c r="E107" s="135"/>
      <c r="F107" s="135"/>
      <c r="G107" s="135"/>
      <c r="H107" s="135"/>
      <c r="I107" s="135"/>
      <c r="J107" s="135"/>
      <c r="K107" s="135"/>
      <c r="L107" s="135"/>
      <c r="M107" s="135"/>
      <c r="N107" s="135"/>
      <c r="O107" s="135"/>
      <c r="P107" s="113"/>
      <c r="Q107" s="113"/>
      <c r="R107" s="156">
        <v>-875</v>
      </c>
      <c r="S107" s="139"/>
      <c r="T107" s="2"/>
      <c r="U107" s="4"/>
    </row>
    <row r="108" spans="1:21" ht="15.6" x14ac:dyDescent="0.3">
      <c r="A108" s="122">
        <v>6</v>
      </c>
      <c r="B108" s="113" t="s">
        <v>188</v>
      </c>
      <c r="C108" s="113"/>
      <c r="D108" s="135"/>
      <c r="E108" s="135"/>
      <c r="F108" s="135"/>
      <c r="G108" s="135"/>
      <c r="H108" s="135"/>
      <c r="I108" s="135"/>
      <c r="J108" s="135"/>
      <c r="K108" s="135"/>
      <c r="L108" s="135"/>
      <c r="M108" s="135"/>
      <c r="N108" s="135"/>
      <c r="O108" s="135"/>
      <c r="P108" s="113"/>
      <c r="Q108" s="113"/>
      <c r="R108" s="156">
        <v>-132</v>
      </c>
      <c r="S108" s="139"/>
      <c r="T108" s="2"/>
      <c r="U108" s="4"/>
    </row>
    <row r="109" spans="1:21" ht="15.6" x14ac:dyDescent="0.3">
      <c r="A109" s="122">
        <v>7</v>
      </c>
      <c r="B109" s="113" t="s">
        <v>189</v>
      </c>
      <c r="C109" s="113"/>
      <c r="D109" s="135"/>
      <c r="E109" s="135"/>
      <c r="F109" s="135"/>
      <c r="G109" s="135"/>
      <c r="H109" s="135"/>
      <c r="I109" s="135"/>
      <c r="J109" s="135"/>
      <c r="K109" s="135"/>
      <c r="L109" s="135"/>
      <c r="M109" s="135"/>
      <c r="N109" s="135"/>
      <c r="O109" s="135"/>
      <c r="P109" s="113"/>
      <c r="Q109" s="113"/>
      <c r="R109" s="156">
        <v>-221</v>
      </c>
      <c r="S109" s="139"/>
      <c r="T109" s="2"/>
      <c r="U109" s="4"/>
    </row>
    <row r="110" spans="1:21" ht="15.6" x14ac:dyDescent="0.3">
      <c r="A110" s="122">
        <v>8</v>
      </c>
      <c r="B110" s="113" t="s">
        <v>156</v>
      </c>
      <c r="C110" s="113"/>
      <c r="D110" s="135"/>
      <c r="E110" s="135"/>
      <c r="F110" s="135"/>
      <c r="G110" s="135"/>
      <c r="H110" s="135"/>
      <c r="I110" s="135"/>
      <c r="J110" s="135"/>
      <c r="K110" s="135"/>
      <c r="L110" s="135"/>
      <c r="M110" s="135"/>
      <c r="N110" s="135"/>
      <c r="O110" s="135"/>
      <c r="P110" s="113"/>
      <c r="Q110" s="113"/>
      <c r="R110" s="156">
        <v>0</v>
      </c>
      <c r="S110" s="139"/>
      <c r="T110" s="2"/>
      <c r="U110" s="4"/>
    </row>
    <row r="111" spans="1:21" ht="15.6" x14ac:dyDescent="0.3">
      <c r="A111" s="122">
        <v>9</v>
      </c>
      <c r="B111" s="113" t="s">
        <v>37</v>
      </c>
      <c r="C111" s="113"/>
      <c r="D111" s="135"/>
      <c r="E111" s="135"/>
      <c r="F111" s="135"/>
      <c r="G111" s="135"/>
      <c r="H111" s="135"/>
      <c r="I111" s="135"/>
      <c r="J111" s="135"/>
      <c r="K111" s="135"/>
      <c r="L111" s="135"/>
      <c r="M111" s="135"/>
      <c r="N111" s="135"/>
      <c r="O111" s="135"/>
      <c r="P111" s="155">
        <f>-R111</f>
        <v>0</v>
      </c>
      <c r="Q111" s="113"/>
      <c r="R111" s="156">
        <v>0</v>
      </c>
      <c r="S111" s="139"/>
      <c r="T111" s="2"/>
    </row>
    <row r="112" spans="1:21" ht="15.6" x14ac:dyDescent="0.3">
      <c r="A112" s="122">
        <v>10</v>
      </c>
      <c r="B112" s="113" t="s">
        <v>101</v>
      </c>
      <c r="C112" s="113"/>
      <c r="D112" s="135"/>
      <c r="E112" s="135"/>
      <c r="F112" s="135"/>
      <c r="G112" s="135"/>
      <c r="H112" s="135"/>
      <c r="I112" s="135"/>
      <c r="J112" s="135"/>
      <c r="K112" s="135"/>
      <c r="L112" s="135"/>
      <c r="M112" s="135"/>
      <c r="N112" s="135"/>
      <c r="O112" s="135"/>
      <c r="P112" s="113"/>
      <c r="Q112" s="113"/>
      <c r="R112" s="156">
        <v>0</v>
      </c>
      <c r="S112" s="139"/>
      <c r="T112" s="2"/>
    </row>
    <row r="113" spans="1:20" ht="15.6" x14ac:dyDescent="0.3">
      <c r="A113" s="122">
        <v>11</v>
      </c>
      <c r="B113" s="113" t="s">
        <v>29</v>
      </c>
      <c r="C113" s="113"/>
      <c r="D113" s="135"/>
      <c r="E113" s="135"/>
      <c r="F113" s="135"/>
      <c r="G113" s="135"/>
      <c r="H113" s="135"/>
      <c r="I113" s="135"/>
      <c r="J113" s="135"/>
      <c r="K113" s="135"/>
      <c r="L113" s="135"/>
      <c r="M113" s="135"/>
      <c r="N113" s="135"/>
      <c r="O113" s="135"/>
      <c r="P113" s="113"/>
      <c r="Q113" s="113"/>
      <c r="R113" s="156">
        <v>-25</v>
      </c>
      <c r="S113" s="139"/>
      <c r="T113" s="2"/>
    </row>
    <row r="114" spans="1:20" ht="15.6" x14ac:dyDescent="0.3">
      <c r="A114" s="122">
        <v>12</v>
      </c>
      <c r="B114" s="113" t="s">
        <v>138</v>
      </c>
      <c r="C114" s="113"/>
      <c r="D114" s="135"/>
      <c r="E114" s="135"/>
      <c r="F114" s="135"/>
      <c r="G114" s="135"/>
      <c r="H114" s="135"/>
      <c r="I114" s="135"/>
      <c r="J114" s="135"/>
      <c r="K114" s="135"/>
      <c r="L114" s="135"/>
      <c r="M114" s="135"/>
      <c r="N114" s="135"/>
      <c r="O114" s="135"/>
      <c r="P114" s="113"/>
      <c r="Q114" s="113"/>
      <c r="R114" s="156">
        <v>0</v>
      </c>
      <c r="S114" s="139"/>
      <c r="T114" s="2"/>
    </row>
    <row r="115" spans="1:20" ht="15.6" x14ac:dyDescent="0.3">
      <c r="A115" s="122">
        <v>13</v>
      </c>
      <c r="B115" s="113" t="s">
        <v>269</v>
      </c>
      <c r="C115" s="113"/>
      <c r="D115" s="135"/>
      <c r="E115" s="135"/>
      <c r="F115" s="135"/>
      <c r="G115" s="135"/>
      <c r="H115" s="135"/>
      <c r="I115" s="135"/>
      <c r="J115" s="135"/>
      <c r="K115" s="135"/>
      <c r="L115" s="135"/>
      <c r="M115" s="135"/>
      <c r="N115" s="135"/>
      <c r="O115" s="135"/>
      <c r="P115" s="113"/>
      <c r="Q115" s="113"/>
      <c r="R115" s="156">
        <v>-84</v>
      </c>
      <c r="S115" s="139"/>
      <c r="T115" s="2"/>
    </row>
    <row r="116" spans="1:20" ht="15.6" x14ac:dyDescent="0.3">
      <c r="A116" s="122">
        <v>14</v>
      </c>
      <c r="B116" s="113" t="s">
        <v>157</v>
      </c>
      <c r="C116" s="113"/>
      <c r="D116" s="135"/>
      <c r="E116" s="135"/>
      <c r="F116" s="135"/>
      <c r="G116" s="135"/>
      <c r="H116" s="135"/>
      <c r="I116" s="135"/>
      <c r="J116" s="135"/>
      <c r="K116" s="135"/>
      <c r="L116" s="135"/>
      <c r="M116" s="135"/>
      <c r="N116" s="135"/>
      <c r="O116" s="135"/>
      <c r="P116" s="113"/>
      <c r="Q116" s="113"/>
      <c r="R116" s="156">
        <v>0</v>
      </c>
      <c r="S116" s="139"/>
      <c r="T116" s="2"/>
    </row>
    <row r="117" spans="1:20" ht="15.6" x14ac:dyDescent="0.3">
      <c r="A117" s="122">
        <v>15</v>
      </c>
      <c r="B117" s="113" t="s">
        <v>206</v>
      </c>
      <c r="C117" s="113"/>
      <c r="D117" s="135"/>
      <c r="E117" s="135"/>
      <c r="F117" s="135"/>
      <c r="G117" s="135"/>
      <c r="H117" s="135"/>
      <c r="I117" s="135"/>
      <c r="J117" s="135"/>
      <c r="K117" s="135"/>
      <c r="L117" s="135"/>
      <c r="M117" s="135"/>
      <c r="N117" s="135"/>
      <c r="O117" s="135"/>
      <c r="P117" s="113"/>
      <c r="Q117" s="113"/>
      <c r="R117" s="156">
        <v>-122</v>
      </c>
      <c r="S117" s="139"/>
      <c r="T117" s="2"/>
    </row>
    <row r="118" spans="1:20" ht="15.6" x14ac:dyDescent="0.3">
      <c r="A118" s="122">
        <v>16</v>
      </c>
      <c r="B118" s="113" t="s">
        <v>167</v>
      </c>
      <c r="C118" s="113"/>
      <c r="D118" s="135"/>
      <c r="E118" s="135"/>
      <c r="F118" s="135"/>
      <c r="G118" s="135"/>
      <c r="H118" s="135"/>
      <c r="I118" s="135"/>
      <c r="J118" s="135"/>
      <c r="K118" s="135"/>
      <c r="L118" s="135"/>
      <c r="M118" s="135"/>
      <c r="N118" s="135"/>
      <c r="O118" s="135"/>
      <c r="P118" s="113"/>
      <c r="Q118" s="113"/>
      <c r="R118" s="156">
        <f>-23-179</f>
        <v>-202</v>
      </c>
      <c r="S118" s="139"/>
      <c r="T118" s="2"/>
    </row>
    <row r="119" spans="1:20" ht="15.6" x14ac:dyDescent="0.3">
      <c r="A119" s="122">
        <v>17</v>
      </c>
      <c r="B119" s="113" t="s">
        <v>235</v>
      </c>
      <c r="C119" s="113"/>
      <c r="D119" s="135"/>
      <c r="E119" s="135"/>
      <c r="F119" s="135"/>
      <c r="G119" s="135"/>
      <c r="H119" s="135"/>
      <c r="I119" s="135"/>
      <c r="J119" s="135"/>
      <c r="K119" s="135"/>
      <c r="L119" s="135"/>
      <c r="M119" s="135"/>
      <c r="N119" s="135"/>
      <c r="O119" s="135"/>
      <c r="P119" s="113"/>
      <c r="Q119" s="113"/>
      <c r="R119" s="156">
        <f>-R100-SUM(R102:R118)</f>
        <v>-1082</v>
      </c>
      <c r="S119" s="139"/>
      <c r="T119" s="2"/>
    </row>
    <row r="120" spans="1:20" ht="15.6" x14ac:dyDescent="0.3">
      <c r="A120" s="112"/>
      <c r="B120" s="160" t="s">
        <v>30</v>
      </c>
      <c r="C120" s="135"/>
      <c r="D120" s="135"/>
      <c r="E120" s="135"/>
      <c r="F120" s="135"/>
      <c r="G120" s="135"/>
      <c r="H120" s="135"/>
      <c r="I120" s="135"/>
      <c r="J120" s="135"/>
      <c r="K120" s="135"/>
      <c r="L120" s="135"/>
      <c r="M120" s="135"/>
      <c r="N120" s="135"/>
      <c r="O120" s="135"/>
      <c r="P120" s="113"/>
      <c r="Q120" s="113"/>
      <c r="R120" s="161"/>
      <c r="S120" s="139"/>
      <c r="T120" s="2"/>
    </row>
    <row r="121" spans="1:20" ht="15.6" x14ac:dyDescent="0.3">
      <c r="A121" s="112"/>
      <c r="B121" s="113" t="s">
        <v>207</v>
      </c>
      <c r="C121" s="135"/>
      <c r="D121" s="135"/>
      <c r="E121" s="135"/>
      <c r="F121" s="135"/>
      <c r="G121" s="135"/>
      <c r="H121" s="135"/>
      <c r="I121" s="135"/>
      <c r="J121" s="135"/>
      <c r="K121" s="135"/>
      <c r="L121" s="135"/>
      <c r="M121" s="135"/>
      <c r="N121" s="135"/>
      <c r="O121" s="135"/>
      <c r="P121" s="155">
        <f>-P188</f>
        <v>-28</v>
      </c>
      <c r="Q121" s="155"/>
      <c r="R121" s="156"/>
      <c r="S121" s="139"/>
      <c r="T121" s="2"/>
    </row>
    <row r="122" spans="1:20" ht="15.6" x14ac:dyDescent="0.3">
      <c r="A122" s="112"/>
      <c r="B122" s="113" t="s">
        <v>208</v>
      </c>
      <c r="C122" s="135"/>
      <c r="D122" s="135"/>
      <c r="E122" s="135"/>
      <c r="F122" s="135"/>
      <c r="G122" s="135"/>
      <c r="H122" s="135"/>
      <c r="I122" s="135"/>
      <c r="J122" s="135"/>
      <c r="K122" s="135"/>
      <c r="L122" s="135"/>
      <c r="M122" s="135"/>
      <c r="N122" s="135"/>
      <c r="O122" s="135"/>
      <c r="P122" s="155">
        <v>0</v>
      </c>
      <c r="Q122" s="155"/>
      <c r="R122" s="156"/>
      <c r="S122" s="139"/>
      <c r="T122" s="2"/>
    </row>
    <row r="123" spans="1:20" ht="15.6" x14ac:dyDescent="0.3">
      <c r="A123" s="112"/>
      <c r="B123" s="113" t="s">
        <v>237</v>
      </c>
      <c r="C123" s="135"/>
      <c r="D123" s="135"/>
      <c r="E123" s="135"/>
      <c r="F123" s="135"/>
      <c r="G123" s="135"/>
      <c r="H123" s="135"/>
      <c r="I123" s="135"/>
      <c r="J123" s="135"/>
      <c r="K123" s="135"/>
      <c r="L123" s="135"/>
      <c r="M123" s="135"/>
      <c r="N123" s="135"/>
      <c r="O123" s="135"/>
      <c r="P123" s="155">
        <v>-8321</v>
      </c>
      <c r="Q123" s="155"/>
      <c r="R123" s="156"/>
      <c r="S123" s="139"/>
      <c r="T123" s="2"/>
    </row>
    <row r="124" spans="1:20" ht="15.6" x14ac:dyDescent="0.3">
      <c r="A124" s="112"/>
      <c r="B124" s="113" t="s">
        <v>236</v>
      </c>
      <c r="C124" s="135"/>
      <c r="D124" s="135"/>
      <c r="E124" s="135"/>
      <c r="F124" s="135"/>
      <c r="G124" s="135"/>
      <c r="H124" s="135"/>
      <c r="I124" s="135"/>
      <c r="J124" s="135"/>
      <c r="K124" s="135"/>
      <c r="L124" s="135"/>
      <c r="M124" s="135"/>
      <c r="N124" s="135"/>
      <c r="O124" s="135"/>
      <c r="P124" s="155">
        <v>-19618</v>
      </c>
      <c r="Q124" s="155"/>
      <c r="R124" s="156"/>
      <c r="S124" s="139"/>
      <c r="T124" s="2"/>
    </row>
    <row r="125" spans="1:20" ht="15.6" x14ac:dyDescent="0.3">
      <c r="A125" s="112"/>
      <c r="B125" s="113" t="s">
        <v>180</v>
      </c>
      <c r="C125" s="135"/>
      <c r="D125" s="135"/>
      <c r="E125" s="135"/>
      <c r="F125" s="135"/>
      <c r="G125" s="135"/>
      <c r="H125" s="135"/>
      <c r="I125" s="135"/>
      <c r="J125" s="135"/>
      <c r="K125" s="135"/>
      <c r="L125" s="135"/>
      <c r="M125" s="135"/>
      <c r="N125" s="135"/>
      <c r="O125" s="135"/>
      <c r="P125" s="155">
        <v>0</v>
      </c>
      <c r="Q125" s="155"/>
      <c r="R125" s="156"/>
      <c r="S125" s="139"/>
      <c r="T125" s="2"/>
    </row>
    <row r="126" spans="1:20" ht="15.6" x14ac:dyDescent="0.3">
      <c r="A126" s="112"/>
      <c r="B126" s="113" t="s">
        <v>181</v>
      </c>
      <c r="C126" s="135"/>
      <c r="D126" s="135"/>
      <c r="E126" s="135"/>
      <c r="F126" s="135"/>
      <c r="G126" s="135"/>
      <c r="H126" s="135"/>
      <c r="I126" s="135"/>
      <c r="J126" s="135"/>
      <c r="K126" s="135"/>
      <c r="L126" s="135"/>
      <c r="M126" s="135"/>
      <c r="N126" s="135"/>
      <c r="O126" s="135"/>
      <c r="P126" s="155">
        <v>0</v>
      </c>
      <c r="Q126" s="155"/>
      <c r="R126" s="156"/>
      <c r="S126" s="139"/>
      <c r="T126" s="2"/>
    </row>
    <row r="127" spans="1:20" ht="15.6" x14ac:dyDescent="0.3">
      <c r="A127" s="112"/>
      <c r="B127" s="113" t="s">
        <v>270</v>
      </c>
      <c r="C127" s="135"/>
      <c r="D127" s="135"/>
      <c r="E127" s="135"/>
      <c r="F127" s="135"/>
      <c r="G127" s="135"/>
      <c r="H127" s="135"/>
      <c r="I127" s="135"/>
      <c r="J127" s="135"/>
      <c r="K127" s="135"/>
      <c r="L127" s="135"/>
      <c r="M127" s="135"/>
      <c r="N127" s="135"/>
      <c r="O127" s="135"/>
      <c r="P127" s="155">
        <v>0</v>
      </c>
      <c r="Q127" s="155"/>
      <c r="R127" s="156"/>
      <c r="S127" s="139"/>
      <c r="T127" s="2"/>
    </row>
    <row r="128" spans="1:20" ht="15.6" x14ac:dyDescent="0.3">
      <c r="A128" s="112"/>
      <c r="B128" s="113" t="s">
        <v>31</v>
      </c>
      <c r="C128" s="135"/>
      <c r="D128" s="135"/>
      <c r="E128" s="135"/>
      <c r="F128" s="135"/>
      <c r="G128" s="135"/>
      <c r="H128" s="135"/>
      <c r="I128" s="135"/>
      <c r="J128" s="135"/>
      <c r="K128" s="135"/>
      <c r="L128" s="135"/>
      <c r="M128" s="135"/>
      <c r="N128" s="135"/>
      <c r="O128" s="135"/>
      <c r="P128" s="155">
        <f>SUM(P121:P127)</f>
        <v>-27967</v>
      </c>
      <c r="Q128" s="155"/>
      <c r="R128" s="155">
        <f>SUM(R101:R127)</f>
        <v>-3772</v>
      </c>
      <c r="S128" s="139"/>
      <c r="T128" s="2"/>
    </row>
    <row r="129" spans="1:20" ht="15.6" x14ac:dyDescent="0.3">
      <c r="A129" s="112"/>
      <c r="B129" s="113" t="s">
        <v>32</v>
      </c>
      <c r="C129" s="135"/>
      <c r="D129" s="135"/>
      <c r="E129" s="135"/>
      <c r="F129" s="135"/>
      <c r="G129" s="135"/>
      <c r="H129" s="135"/>
      <c r="I129" s="135"/>
      <c r="J129" s="135"/>
      <c r="K129" s="135"/>
      <c r="L129" s="135"/>
      <c r="M129" s="135"/>
      <c r="N129" s="135"/>
      <c r="O129" s="135"/>
      <c r="P129" s="155">
        <f>P100+P128+P111</f>
        <v>0</v>
      </c>
      <c r="Q129" s="155"/>
      <c r="R129" s="155">
        <f>R100+R128</f>
        <v>0</v>
      </c>
      <c r="S129" s="139"/>
      <c r="T129" s="2"/>
    </row>
    <row r="130" spans="1:20" ht="15.6" x14ac:dyDescent="0.3">
      <c r="A130" s="12"/>
      <c r="B130" s="43"/>
      <c r="C130" s="43"/>
      <c r="D130" s="43"/>
      <c r="E130" s="43"/>
      <c r="F130" s="43"/>
      <c r="G130" s="43"/>
      <c r="H130" s="43"/>
      <c r="I130" s="43"/>
      <c r="J130" s="43"/>
      <c r="K130" s="43"/>
      <c r="L130" s="43"/>
      <c r="M130" s="43"/>
      <c r="N130" s="43"/>
      <c r="O130" s="43"/>
      <c r="P130" s="153"/>
      <c r="Q130" s="153"/>
      <c r="R130" s="153"/>
      <c r="S130" s="217"/>
      <c r="T130" s="2"/>
    </row>
    <row r="131" spans="1:20" ht="15.6" x14ac:dyDescent="0.3">
      <c r="A131" s="12"/>
      <c r="B131" s="14"/>
      <c r="C131" s="14"/>
      <c r="D131" s="14"/>
      <c r="E131" s="14"/>
      <c r="F131" s="14"/>
      <c r="G131" s="14"/>
      <c r="H131" s="14"/>
      <c r="I131" s="14"/>
      <c r="J131" s="14"/>
      <c r="K131" s="14"/>
      <c r="L131" s="14"/>
      <c r="M131" s="14"/>
      <c r="N131" s="14"/>
      <c r="O131" s="14"/>
      <c r="P131" s="14"/>
      <c r="Q131" s="14"/>
      <c r="R131" s="33"/>
      <c r="S131" s="217"/>
      <c r="T131" s="2"/>
    </row>
    <row r="132" spans="1:20" ht="18" thickBot="1" x14ac:dyDescent="0.35">
      <c r="A132" s="28"/>
      <c r="B132" s="97" t="str">
        <f>B60</f>
        <v>PM24 INVESTOR REPORT QUARTER ENDING JUNE 2017</v>
      </c>
      <c r="C132" s="29"/>
      <c r="D132" s="29"/>
      <c r="E132" s="29"/>
      <c r="F132" s="29"/>
      <c r="G132" s="29"/>
      <c r="H132" s="29"/>
      <c r="I132" s="29"/>
      <c r="J132" s="29"/>
      <c r="K132" s="29"/>
      <c r="L132" s="29"/>
      <c r="M132" s="29"/>
      <c r="N132" s="29"/>
      <c r="O132" s="29"/>
      <c r="P132" s="29"/>
      <c r="Q132" s="29"/>
      <c r="R132" s="40"/>
      <c r="S132" s="31"/>
      <c r="T132" s="2"/>
    </row>
    <row r="133" spans="1:20" ht="15.6" x14ac:dyDescent="0.3">
      <c r="A133" s="65"/>
      <c r="B133" s="66" t="s">
        <v>33</v>
      </c>
      <c r="C133" s="67"/>
      <c r="D133" s="67"/>
      <c r="E133" s="67"/>
      <c r="F133" s="67"/>
      <c r="G133" s="67"/>
      <c r="H133" s="67"/>
      <c r="I133" s="67"/>
      <c r="J133" s="67"/>
      <c r="K133" s="67"/>
      <c r="L133" s="67"/>
      <c r="M133" s="67"/>
      <c r="N133" s="67"/>
      <c r="O133" s="67"/>
      <c r="P133" s="67"/>
      <c r="Q133" s="67"/>
      <c r="R133" s="68"/>
      <c r="S133" s="223"/>
      <c r="T133" s="2"/>
    </row>
    <row r="134" spans="1:20" ht="15.6" x14ac:dyDescent="0.3">
      <c r="A134" s="12"/>
      <c r="B134" s="22"/>
      <c r="C134" s="14"/>
      <c r="D134" s="14"/>
      <c r="E134" s="14"/>
      <c r="F134" s="14"/>
      <c r="G134" s="14"/>
      <c r="H134" s="14"/>
      <c r="I134" s="14"/>
      <c r="J134" s="14"/>
      <c r="K134" s="14"/>
      <c r="L134" s="14"/>
      <c r="M134" s="14"/>
      <c r="N134" s="14"/>
      <c r="O134" s="14"/>
      <c r="P134" s="14"/>
      <c r="Q134" s="14"/>
      <c r="R134" s="33"/>
      <c r="S134" s="217"/>
      <c r="T134" s="2"/>
    </row>
    <row r="135" spans="1:20" ht="15.6" x14ac:dyDescent="0.3">
      <c r="A135" s="12"/>
      <c r="B135" s="41" t="s">
        <v>34</v>
      </c>
      <c r="C135" s="14"/>
      <c r="D135" s="14"/>
      <c r="E135" s="14"/>
      <c r="F135" s="14"/>
      <c r="G135" s="14"/>
      <c r="H135" s="14"/>
      <c r="I135" s="14"/>
      <c r="J135" s="14"/>
      <c r="K135" s="14"/>
      <c r="L135" s="14"/>
      <c r="M135" s="14"/>
      <c r="N135" s="14"/>
      <c r="O135" s="14"/>
      <c r="P135" s="14"/>
      <c r="Q135" s="14"/>
      <c r="R135" s="33"/>
      <c r="S135" s="217"/>
      <c r="T135" s="2"/>
    </row>
    <row r="136" spans="1:20" ht="15.6" x14ac:dyDescent="0.3">
      <c r="A136" s="112"/>
      <c r="B136" s="113" t="s">
        <v>35</v>
      </c>
      <c r="C136" s="113"/>
      <c r="D136" s="113"/>
      <c r="E136" s="113"/>
      <c r="F136" s="113"/>
      <c r="G136" s="113"/>
      <c r="H136" s="113"/>
      <c r="I136" s="113"/>
      <c r="J136" s="113"/>
      <c r="K136" s="113"/>
      <c r="L136" s="113"/>
      <c r="M136" s="113"/>
      <c r="N136" s="113"/>
      <c r="O136" s="113"/>
      <c r="P136" s="113"/>
      <c r="Q136" s="113"/>
      <c r="R136" s="156">
        <v>8753</v>
      </c>
      <c r="S136" s="116"/>
      <c r="T136" s="2"/>
    </row>
    <row r="137" spans="1:20" ht="15.6" x14ac:dyDescent="0.3">
      <c r="A137" s="112"/>
      <c r="B137" s="113" t="s">
        <v>36</v>
      </c>
      <c r="C137" s="113"/>
      <c r="D137" s="113"/>
      <c r="E137" s="113"/>
      <c r="F137" s="113"/>
      <c r="G137" s="113"/>
      <c r="H137" s="113"/>
      <c r="I137" s="113"/>
      <c r="J137" s="113"/>
      <c r="K137" s="113"/>
      <c r="L137" s="113"/>
      <c r="M137" s="113"/>
      <c r="N137" s="113"/>
      <c r="O137" s="113"/>
      <c r="P137" s="113"/>
      <c r="Q137" s="113"/>
      <c r="R137" s="156">
        <v>0</v>
      </c>
      <c r="S137" s="116"/>
      <c r="T137" s="2"/>
    </row>
    <row r="138" spans="1:20" ht="15.6" x14ac:dyDescent="0.3">
      <c r="A138" s="112"/>
      <c r="B138" s="113" t="s">
        <v>169</v>
      </c>
      <c r="C138" s="113"/>
      <c r="D138" s="113"/>
      <c r="E138" s="113"/>
      <c r="F138" s="113"/>
      <c r="G138" s="113"/>
      <c r="H138" s="113"/>
      <c r="I138" s="113"/>
      <c r="J138" s="113"/>
      <c r="K138" s="113"/>
      <c r="L138" s="113"/>
      <c r="M138" s="113"/>
      <c r="N138" s="113"/>
      <c r="O138" s="113"/>
      <c r="P138" s="113"/>
      <c r="Q138" s="113"/>
      <c r="R138" s="156">
        <f>R136-R139</f>
        <v>1451.5838923400006</v>
      </c>
      <c r="S138" s="116"/>
      <c r="T138" s="2"/>
    </row>
    <row r="139" spans="1:20" ht="15.6" x14ac:dyDescent="0.3">
      <c r="A139" s="112"/>
      <c r="B139" s="113" t="s">
        <v>209</v>
      </c>
      <c r="C139" s="113"/>
      <c r="D139" s="113"/>
      <c r="E139" s="113"/>
      <c r="F139" s="113"/>
      <c r="G139" s="113"/>
      <c r="H139" s="113"/>
      <c r="I139" s="113"/>
      <c r="J139" s="113"/>
      <c r="K139" s="113"/>
      <c r="L139" s="113"/>
      <c r="M139" s="113"/>
      <c r="N139" s="113"/>
      <c r="O139" s="113"/>
      <c r="P139" s="113"/>
      <c r="Q139" s="113"/>
      <c r="R139" s="156">
        <f>SUM(D33:J33)*0.025</f>
        <v>7301.4161076599994</v>
      </c>
      <c r="S139" s="116"/>
      <c r="T139" s="2"/>
    </row>
    <row r="140" spans="1:20" ht="15.6" x14ac:dyDescent="0.3">
      <c r="A140" s="112"/>
      <c r="B140" s="113" t="s">
        <v>108</v>
      </c>
      <c r="C140" s="113"/>
      <c r="D140" s="113"/>
      <c r="E140" s="113"/>
      <c r="F140" s="113"/>
      <c r="G140" s="113"/>
      <c r="H140" s="113"/>
      <c r="I140" s="113"/>
      <c r="J140" s="113"/>
      <c r="K140" s="113"/>
      <c r="L140" s="113"/>
      <c r="M140" s="113"/>
      <c r="N140" s="113"/>
      <c r="O140" s="113"/>
      <c r="P140" s="113"/>
      <c r="Q140" s="113"/>
      <c r="R140" s="156"/>
      <c r="S140" s="116"/>
      <c r="T140" s="2"/>
    </row>
    <row r="141" spans="1:20" ht="15.6" x14ac:dyDescent="0.3">
      <c r="A141" s="112"/>
      <c r="B141" s="113" t="s">
        <v>155</v>
      </c>
      <c r="C141" s="113"/>
      <c r="D141" s="113"/>
      <c r="E141" s="113"/>
      <c r="F141" s="113"/>
      <c r="G141" s="113"/>
      <c r="H141" s="113"/>
      <c r="I141" s="113"/>
      <c r="J141" s="113"/>
      <c r="K141" s="113"/>
      <c r="L141" s="113"/>
      <c r="M141" s="113"/>
      <c r="N141" s="113"/>
      <c r="O141" s="113"/>
      <c r="P141" s="113"/>
      <c r="Q141" s="113"/>
      <c r="R141" s="156">
        <v>0</v>
      </c>
      <c r="S141" s="116"/>
      <c r="T141" s="2"/>
    </row>
    <row r="142" spans="1:20" ht="15.6" x14ac:dyDescent="0.3">
      <c r="A142" s="112"/>
      <c r="B142" s="113" t="s">
        <v>188</v>
      </c>
      <c r="C142" s="113"/>
      <c r="D142" s="113"/>
      <c r="E142" s="113"/>
      <c r="F142" s="113"/>
      <c r="G142" s="113"/>
      <c r="H142" s="113"/>
      <c r="I142" s="113"/>
      <c r="J142" s="113"/>
      <c r="K142" s="113"/>
      <c r="L142" s="113"/>
      <c r="M142" s="113"/>
      <c r="N142" s="113"/>
      <c r="O142" s="113"/>
      <c r="P142" s="113"/>
      <c r="Q142" s="113"/>
      <c r="R142" s="156">
        <v>0</v>
      </c>
      <c r="S142" s="116"/>
      <c r="T142" s="2"/>
    </row>
    <row r="143" spans="1:20" ht="15.6" x14ac:dyDescent="0.3">
      <c r="A143" s="112"/>
      <c r="B143" s="113" t="s">
        <v>189</v>
      </c>
      <c r="C143" s="113"/>
      <c r="D143" s="113"/>
      <c r="E143" s="113"/>
      <c r="F143" s="113"/>
      <c r="G143" s="113"/>
      <c r="H143" s="113"/>
      <c r="I143" s="113"/>
      <c r="J143" s="113"/>
      <c r="K143" s="113"/>
      <c r="L143" s="113"/>
      <c r="M143" s="113"/>
      <c r="N143" s="113"/>
      <c r="O143" s="113"/>
      <c r="P143" s="113"/>
      <c r="Q143" s="113"/>
      <c r="R143" s="156">
        <v>0</v>
      </c>
      <c r="S143" s="116"/>
      <c r="T143" s="2"/>
    </row>
    <row r="144" spans="1:20" ht="15.6" x14ac:dyDescent="0.3">
      <c r="A144" s="112"/>
      <c r="B144" s="113" t="s">
        <v>37</v>
      </c>
      <c r="C144" s="113"/>
      <c r="D144" s="113"/>
      <c r="E144" s="113"/>
      <c r="F144" s="113"/>
      <c r="G144" s="113"/>
      <c r="H144" s="113"/>
      <c r="I144" s="113"/>
      <c r="J144" s="113"/>
      <c r="K144" s="113"/>
      <c r="L144" s="113"/>
      <c r="M144" s="113"/>
      <c r="N144" s="113"/>
      <c r="O144" s="113"/>
      <c r="P144" s="113"/>
      <c r="Q144" s="113"/>
      <c r="R144" s="156">
        <v>0</v>
      </c>
      <c r="S144" s="116"/>
      <c r="T144" s="2"/>
    </row>
    <row r="145" spans="1:21" ht="15.6" x14ac:dyDescent="0.3">
      <c r="A145" s="112"/>
      <c r="B145" s="113" t="s">
        <v>102</v>
      </c>
      <c r="C145" s="113"/>
      <c r="D145" s="113"/>
      <c r="E145" s="113"/>
      <c r="F145" s="113"/>
      <c r="G145" s="113"/>
      <c r="H145" s="113"/>
      <c r="I145" s="113"/>
      <c r="J145" s="113"/>
      <c r="K145" s="113"/>
      <c r="L145" s="113"/>
      <c r="M145" s="113"/>
      <c r="N145" s="113"/>
      <c r="O145" s="113"/>
      <c r="P145" s="113"/>
      <c r="Q145" s="113"/>
      <c r="R145" s="156">
        <v>0</v>
      </c>
      <c r="S145" s="116"/>
      <c r="T145" s="2"/>
    </row>
    <row r="146" spans="1:21" ht="15.6" x14ac:dyDescent="0.3">
      <c r="A146" s="112"/>
      <c r="B146" s="113" t="s">
        <v>271</v>
      </c>
      <c r="C146" s="113"/>
      <c r="D146" s="113"/>
      <c r="E146" s="113"/>
      <c r="F146" s="113"/>
      <c r="G146" s="113"/>
      <c r="H146" s="113"/>
      <c r="I146" s="113"/>
      <c r="J146" s="113"/>
      <c r="K146" s="113"/>
      <c r="L146" s="113"/>
      <c r="M146" s="113"/>
      <c r="N146" s="113"/>
      <c r="O146" s="113"/>
      <c r="P146" s="113"/>
      <c r="Q146" s="113"/>
      <c r="R146" s="156">
        <v>0</v>
      </c>
      <c r="S146" s="116"/>
      <c r="T146" s="2"/>
      <c r="U146" s="4"/>
    </row>
    <row r="147" spans="1:21" ht="15.6" x14ac:dyDescent="0.3">
      <c r="A147" s="112"/>
      <c r="B147" s="113" t="s">
        <v>38</v>
      </c>
      <c r="C147" s="113"/>
      <c r="D147" s="113"/>
      <c r="E147" s="113"/>
      <c r="F147" s="113"/>
      <c r="G147" s="113"/>
      <c r="H147" s="113"/>
      <c r="I147" s="113"/>
      <c r="J147" s="113"/>
      <c r="K147" s="113"/>
      <c r="L147" s="113"/>
      <c r="M147" s="113"/>
      <c r="N147" s="113"/>
      <c r="O147" s="113"/>
      <c r="P147" s="113"/>
      <c r="Q147" s="113"/>
      <c r="R147" s="156">
        <f>SUM(R137:R146)</f>
        <v>8753</v>
      </c>
      <c r="S147" s="116"/>
      <c r="T147" s="2"/>
    </row>
    <row r="148" spans="1:21" ht="15.6" x14ac:dyDescent="0.3">
      <c r="A148" s="12"/>
      <c r="B148" s="43"/>
      <c r="C148" s="43"/>
      <c r="D148" s="43"/>
      <c r="E148" s="43"/>
      <c r="F148" s="43"/>
      <c r="G148" s="43"/>
      <c r="H148" s="43"/>
      <c r="I148" s="43"/>
      <c r="J148" s="43"/>
      <c r="K148" s="43"/>
      <c r="L148" s="43"/>
      <c r="M148" s="43"/>
      <c r="N148" s="43"/>
      <c r="O148" s="43"/>
      <c r="P148" s="43"/>
      <c r="Q148" s="43"/>
      <c r="R148" s="162"/>
      <c r="S148" s="217"/>
      <c r="T148" s="2"/>
    </row>
    <row r="149" spans="1:21" ht="15.6" x14ac:dyDescent="0.3">
      <c r="A149" s="12"/>
      <c r="B149" s="41" t="s">
        <v>202</v>
      </c>
      <c r="C149" s="14"/>
      <c r="D149" s="14"/>
      <c r="E149" s="14"/>
      <c r="F149" s="14"/>
      <c r="G149" s="14"/>
      <c r="H149" s="14"/>
      <c r="I149" s="14"/>
      <c r="J149" s="14"/>
      <c r="K149" s="14"/>
      <c r="L149" s="14"/>
      <c r="M149" s="14"/>
      <c r="N149" s="14"/>
      <c r="O149" s="14"/>
      <c r="P149" s="14"/>
      <c r="Q149" s="14"/>
      <c r="R149" s="33"/>
      <c r="S149" s="217"/>
      <c r="T149" s="2"/>
    </row>
    <row r="150" spans="1:21" ht="15.6" x14ac:dyDescent="0.3">
      <c r="A150" s="112"/>
      <c r="B150" s="113" t="s">
        <v>168</v>
      </c>
      <c r="C150" s="113"/>
      <c r="D150" s="113"/>
      <c r="E150" s="113"/>
      <c r="F150" s="113"/>
      <c r="G150" s="113"/>
      <c r="H150" s="113"/>
      <c r="I150" s="113"/>
      <c r="J150" s="113"/>
      <c r="K150" s="113"/>
      <c r="L150" s="113"/>
      <c r="M150" s="113"/>
      <c r="N150" s="113"/>
      <c r="O150" s="113"/>
      <c r="P150" s="113"/>
      <c r="Q150" s="113"/>
      <c r="R150" s="156">
        <f>+F77</f>
        <v>0</v>
      </c>
      <c r="S150" s="139"/>
      <c r="T150" s="2"/>
    </row>
    <row r="151" spans="1:21" ht="15.6" x14ac:dyDescent="0.3">
      <c r="A151" s="112"/>
      <c r="B151" s="113" t="s">
        <v>190</v>
      </c>
      <c r="C151" s="115"/>
      <c r="D151" s="115"/>
      <c r="E151" s="115"/>
      <c r="F151" s="115"/>
      <c r="G151" s="115"/>
      <c r="H151" s="115"/>
      <c r="I151" s="115"/>
      <c r="J151" s="115"/>
      <c r="K151" s="115"/>
      <c r="L151" s="115"/>
      <c r="M151" s="115"/>
      <c r="N151" s="115"/>
      <c r="O151" s="115"/>
      <c r="P151" s="115"/>
      <c r="Q151" s="115"/>
      <c r="R151" s="156">
        <f>+J77</f>
        <v>0</v>
      </c>
      <c r="S151" s="139"/>
      <c r="T151" s="2"/>
    </row>
    <row r="152" spans="1:21" ht="15.6" x14ac:dyDescent="0.3">
      <c r="A152" s="112"/>
      <c r="B152" s="113" t="s">
        <v>204</v>
      </c>
      <c r="C152" s="113"/>
      <c r="D152" s="113"/>
      <c r="E152" s="113"/>
      <c r="F152" s="113"/>
      <c r="G152" s="113"/>
      <c r="H152" s="113"/>
      <c r="I152" s="113"/>
      <c r="J152" s="113"/>
      <c r="K152" s="113"/>
      <c r="L152" s="113"/>
      <c r="M152" s="113"/>
      <c r="N152" s="113"/>
      <c r="O152" s="113"/>
      <c r="P152" s="113"/>
      <c r="Q152" s="113"/>
      <c r="R152" s="156">
        <f>R150+R151</f>
        <v>0</v>
      </c>
      <c r="S152" s="139"/>
      <c r="T152" s="2"/>
    </row>
    <row r="153" spans="1:21" ht="15.6" x14ac:dyDescent="0.3">
      <c r="A153" s="12"/>
      <c r="B153" s="163"/>
      <c r="C153" s="163"/>
      <c r="D153" s="163"/>
      <c r="E153" s="163"/>
      <c r="F153" s="163"/>
      <c r="G153" s="163"/>
      <c r="H153" s="163"/>
      <c r="I153" s="163"/>
      <c r="J153" s="163"/>
      <c r="K153" s="163"/>
      <c r="L153" s="163"/>
      <c r="M153" s="163"/>
      <c r="N153" s="163"/>
      <c r="O153" s="163"/>
      <c r="P153" s="163"/>
      <c r="Q153" s="163"/>
      <c r="R153" s="195"/>
      <c r="S153" s="217"/>
      <c r="T153" s="2"/>
    </row>
    <row r="154" spans="1:21" ht="15.6" x14ac:dyDescent="0.3">
      <c r="A154" s="12"/>
      <c r="B154" s="41" t="s">
        <v>210</v>
      </c>
      <c r="C154" s="163"/>
      <c r="D154" s="163"/>
      <c r="E154" s="163"/>
      <c r="F154" s="163"/>
      <c r="G154" s="163"/>
      <c r="H154" s="163"/>
      <c r="I154" s="163"/>
      <c r="J154" s="163"/>
      <c r="K154" s="163"/>
      <c r="L154" s="163"/>
      <c r="M154" s="163"/>
      <c r="N154" s="163"/>
      <c r="O154" s="163"/>
      <c r="P154" s="163"/>
      <c r="Q154" s="163"/>
      <c r="R154" s="195"/>
      <c r="S154" s="217"/>
      <c r="T154" s="2"/>
    </row>
    <row r="155" spans="1:21" ht="15.6" x14ac:dyDescent="0.3">
      <c r="A155" s="231"/>
      <c r="B155" s="232" t="s">
        <v>279</v>
      </c>
      <c r="C155" s="232"/>
      <c r="D155" s="232"/>
      <c r="E155" s="232"/>
      <c r="F155" s="232"/>
      <c r="G155" s="232"/>
      <c r="H155" s="232"/>
      <c r="I155" s="232"/>
      <c r="J155" s="232"/>
      <c r="K155" s="232"/>
      <c r="L155" s="232"/>
      <c r="M155" s="232"/>
      <c r="N155" s="232"/>
      <c r="O155" s="232"/>
      <c r="P155" s="232"/>
      <c r="Q155" s="232"/>
      <c r="R155" s="233">
        <f>+'March 17'!R158</f>
        <v>1208</v>
      </c>
      <c r="S155" s="234"/>
      <c r="T155" s="2"/>
    </row>
    <row r="156" spans="1:21" ht="15.6" x14ac:dyDescent="0.3">
      <c r="A156" s="231"/>
      <c r="B156" s="232" t="s">
        <v>212</v>
      </c>
      <c r="C156" s="232"/>
      <c r="D156" s="232"/>
      <c r="E156" s="232"/>
      <c r="F156" s="232"/>
      <c r="G156" s="232"/>
      <c r="H156" s="232"/>
      <c r="I156" s="232"/>
      <c r="J156" s="232"/>
      <c r="K156" s="232"/>
      <c r="L156" s="232"/>
      <c r="M156" s="232"/>
      <c r="N156" s="232"/>
      <c r="O156" s="232"/>
      <c r="P156" s="232"/>
      <c r="Q156" s="232"/>
      <c r="R156" s="233">
        <f>N78</f>
        <v>-205</v>
      </c>
      <c r="S156" s="234"/>
      <c r="T156" s="2"/>
    </row>
    <row r="157" spans="1:21" ht="15.6" x14ac:dyDescent="0.3">
      <c r="A157" s="231"/>
      <c r="B157" s="232" t="s">
        <v>213</v>
      </c>
      <c r="C157" s="232"/>
      <c r="D157" s="232"/>
      <c r="E157" s="232"/>
      <c r="F157" s="232"/>
      <c r="G157" s="232"/>
      <c r="H157" s="232"/>
      <c r="I157" s="232"/>
      <c r="J157" s="232"/>
      <c r="K157" s="232"/>
      <c r="L157" s="232"/>
      <c r="M157" s="232"/>
      <c r="N157" s="232"/>
      <c r="O157" s="232"/>
      <c r="P157" s="232"/>
      <c r="Q157" s="232"/>
      <c r="R157" s="233">
        <v>0</v>
      </c>
      <c r="S157" s="234"/>
      <c r="T157" s="2"/>
    </row>
    <row r="158" spans="1:21" ht="15.6" x14ac:dyDescent="0.3">
      <c r="A158" s="231"/>
      <c r="B158" s="232" t="s">
        <v>214</v>
      </c>
      <c r="C158" s="232"/>
      <c r="D158" s="232"/>
      <c r="E158" s="232"/>
      <c r="F158" s="232"/>
      <c r="G158" s="232"/>
      <c r="H158" s="232"/>
      <c r="I158" s="232"/>
      <c r="J158" s="232"/>
      <c r="K158" s="232"/>
      <c r="L158" s="232"/>
      <c r="M158" s="232"/>
      <c r="N158" s="232"/>
      <c r="O158" s="232"/>
      <c r="P158" s="232"/>
      <c r="Q158" s="232"/>
      <c r="R158" s="233">
        <f>R155+R156</f>
        <v>1003</v>
      </c>
      <c r="S158" s="234"/>
      <c r="T158" s="2"/>
    </row>
    <row r="159" spans="1:21" ht="15.6" x14ac:dyDescent="0.3">
      <c r="A159" s="12"/>
      <c r="B159" s="43"/>
      <c r="C159" s="43"/>
      <c r="D159" s="43"/>
      <c r="E159" s="43"/>
      <c r="F159" s="43"/>
      <c r="G159" s="43"/>
      <c r="H159" s="43"/>
      <c r="I159" s="43"/>
      <c r="J159" s="43"/>
      <c r="K159" s="43"/>
      <c r="L159" s="43"/>
      <c r="M159" s="43"/>
      <c r="N159" s="43"/>
      <c r="O159" s="43"/>
      <c r="P159" s="43"/>
      <c r="Q159" s="43"/>
      <c r="R159" s="162"/>
      <c r="S159" s="217"/>
      <c r="T159" s="2"/>
    </row>
    <row r="160" spans="1:21" ht="15.6" x14ac:dyDescent="0.3">
      <c r="A160" s="12"/>
      <c r="B160" s="41" t="s">
        <v>39</v>
      </c>
      <c r="C160" s="14"/>
      <c r="D160" s="14"/>
      <c r="E160" s="14"/>
      <c r="F160" s="14"/>
      <c r="G160" s="14"/>
      <c r="H160" s="14"/>
      <c r="I160" s="14"/>
      <c r="J160" s="14"/>
      <c r="K160" s="14"/>
      <c r="L160" s="14"/>
      <c r="M160" s="14"/>
      <c r="N160" s="14"/>
      <c r="O160" s="14"/>
      <c r="P160" s="14"/>
      <c r="Q160" s="14"/>
      <c r="R160" s="42"/>
      <c r="S160" s="217"/>
      <c r="T160" s="2"/>
    </row>
    <row r="161" spans="1:252" ht="15.6" x14ac:dyDescent="0.3">
      <c r="A161" s="112"/>
      <c r="B161" s="113" t="s">
        <v>40</v>
      </c>
      <c r="C161" s="113"/>
      <c r="D161" s="113"/>
      <c r="E161" s="113"/>
      <c r="F161" s="113"/>
      <c r="G161" s="113"/>
      <c r="H161" s="113"/>
      <c r="I161" s="113"/>
      <c r="J161" s="113"/>
      <c r="K161" s="113"/>
      <c r="L161" s="113"/>
      <c r="M161" s="113"/>
      <c r="N161" s="113"/>
      <c r="O161" s="113"/>
      <c r="P161" s="113"/>
      <c r="Q161" s="113"/>
      <c r="R161" s="156">
        <v>0</v>
      </c>
      <c r="S161" s="116"/>
      <c r="T161" s="2"/>
    </row>
    <row r="162" spans="1:252" ht="15.6" x14ac:dyDescent="0.3">
      <c r="A162" s="112"/>
      <c r="B162" s="113" t="s">
        <v>41</v>
      </c>
      <c r="C162" s="113"/>
      <c r="D162" s="113"/>
      <c r="E162" s="113"/>
      <c r="F162" s="113"/>
      <c r="G162" s="113"/>
      <c r="H162" s="113"/>
      <c r="I162" s="113"/>
      <c r="J162" s="113"/>
      <c r="K162" s="113"/>
      <c r="L162" s="113"/>
      <c r="M162" s="113"/>
      <c r="N162" s="113"/>
      <c r="O162" s="113"/>
      <c r="P162" s="113"/>
      <c r="Q162" s="113"/>
      <c r="R162" s="156">
        <v>0</v>
      </c>
      <c r="S162" s="116"/>
      <c r="T162" s="2"/>
    </row>
    <row r="163" spans="1:252" ht="15.6" x14ac:dyDescent="0.3">
      <c r="A163" s="112"/>
      <c r="B163" s="113" t="s">
        <v>42</v>
      </c>
      <c r="C163" s="113"/>
      <c r="D163" s="113"/>
      <c r="E163" s="113"/>
      <c r="F163" s="113"/>
      <c r="G163" s="113"/>
      <c r="H163" s="113"/>
      <c r="I163" s="113"/>
      <c r="J163" s="113"/>
      <c r="K163" s="113"/>
      <c r="L163" s="113"/>
      <c r="M163" s="113"/>
      <c r="N163" s="113"/>
      <c r="O163" s="113"/>
      <c r="P163" s="113"/>
      <c r="Q163" s="113"/>
      <c r="R163" s="156">
        <f>R162+R161</f>
        <v>0</v>
      </c>
      <c r="S163" s="116"/>
      <c r="T163" s="2"/>
    </row>
    <row r="164" spans="1:252" ht="15.6" x14ac:dyDescent="0.3">
      <c r="A164" s="112"/>
      <c r="B164" s="113" t="s">
        <v>173</v>
      </c>
      <c r="C164" s="113"/>
      <c r="D164" s="113"/>
      <c r="E164" s="113"/>
      <c r="F164" s="113"/>
      <c r="G164" s="113"/>
      <c r="H164" s="113"/>
      <c r="I164" s="113"/>
      <c r="J164" s="113"/>
      <c r="K164" s="113"/>
      <c r="L164" s="113"/>
      <c r="M164" s="113"/>
      <c r="N164" s="113"/>
      <c r="O164" s="113"/>
      <c r="P164" s="113"/>
      <c r="Q164" s="113"/>
      <c r="R164" s="156">
        <f>R111</f>
        <v>0</v>
      </c>
      <c r="S164" s="116"/>
      <c r="T164" s="2"/>
    </row>
    <row r="165" spans="1:252" ht="15.6" x14ac:dyDescent="0.3">
      <c r="A165" s="112"/>
      <c r="B165" s="113" t="s">
        <v>43</v>
      </c>
      <c r="C165" s="113"/>
      <c r="D165" s="113"/>
      <c r="E165" s="113"/>
      <c r="F165" s="113"/>
      <c r="G165" s="113"/>
      <c r="H165" s="113"/>
      <c r="I165" s="113"/>
      <c r="J165" s="113"/>
      <c r="K165" s="113"/>
      <c r="L165" s="113"/>
      <c r="M165" s="113"/>
      <c r="N165" s="113"/>
      <c r="O165" s="113"/>
      <c r="P165" s="113"/>
      <c r="Q165" s="113"/>
      <c r="R165" s="156">
        <f>R163+R164</f>
        <v>0</v>
      </c>
      <c r="S165" s="116"/>
      <c r="T165" s="2"/>
    </row>
    <row r="166" spans="1:252" ht="15.6" x14ac:dyDescent="0.3">
      <c r="A166" s="112"/>
      <c r="B166" s="113" t="s">
        <v>150</v>
      </c>
      <c r="C166" s="113"/>
      <c r="D166" s="113"/>
      <c r="E166" s="113"/>
      <c r="F166" s="113"/>
      <c r="G166" s="113"/>
      <c r="H166" s="113"/>
      <c r="I166" s="113"/>
      <c r="J166" s="113"/>
      <c r="K166" s="113"/>
      <c r="L166" s="113"/>
      <c r="M166" s="113"/>
      <c r="N166" s="113"/>
      <c r="O166" s="113"/>
      <c r="P166" s="113"/>
      <c r="Q166" s="113"/>
      <c r="R166" s="156">
        <f>-R99</f>
        <v>0</v>
      </c>
      <c r="S166" s="116"/>
      <c r="T166" s="2"/>
    </row>
    <row r="167" spans="1:252" ht="16.2" thickBot="1" x14ac:dyDescent="0.35">
      <c r="A167" s="12"/>
      <c r="B167" s="43"/>
      <c r="C167" s="43"/>
      <c r="D167" s="43"/>
      <c r="E167" s="43"/>
      <c r="F167" s="43"/>
      <c r="G167" s="43"/>
      <c r="H167" s="43"/>
      <c r="I167" s="43"/>
      <c r="J167" s="43"/>
      <c r="K167" s="43"/>
      <c r="L167" s="43"/>
      <c r="M167" s="43"/>
      <c r="N167" s="43"/>
      <c r="O167" s="43"/>
      <c r="P167" s="43"/>
      <c r="Q167" s="43"/>
      <c r="R167" s="162"/>
      <c r="S167" s="217"/>
      <c r="T167" s="2"/>
    </row>
    <row r="168" spans="1:252" ht="15.6" x14ac:dyDescent="0.3">
      <c r="A168" s="10"/>
      <c r="B168" s="11"/>
      <c r="C168" s="11"/>
      <c r="D168" s="11"/>
      <c r="E168" s="11"/>
      <c r="F168" s="11"/>
      <c r="G168" s="11"/>
      <c r="H168" s="11"/>
      <c r="I168" s="11"/>
      <c r="J168" s="11"/>
      <c r="K168" s="11"/>
      <c r="L168" s="11"/>
      <c r="M168" s="11"/>
      <c r="N168" s="11"/>
      <c r="O168" s="11"/>
      <c r="P168" s="11"/>
      <c r="Q168" s="11"/>
      <c r="R168" s="32"/>
      <c r="S168" s="216"/>
      <c r="T168" s="2"/>
    </row>
    <row r="169" spans="1:252" s="6" customFormat="1" ht="15.6" x14ac:dyDescent="0.3">
      <c r="A169" s="12"/>
      <c r="B169" s="41" t="s">
        <v>203</v>
      </c>
      <c r="C169" s="43"/>
      <c r="D169" s="43"/>
      <c r="E169" s="43"/>
      <c r="F169" s="43"/>
      <c r="G169" s="43"/>
      <c r="H169" s="43"/>
      <c r="I169" s="43"/>
      <c r="J169" s="43"/>
      <c r="K169" s="43"/>
      <c r="L169" s="43"/>
      <c r="M169" s="43"/>
      <c r="N169" s="43"/>
      <c r="O169" s="43"/>
      <c r="P169" s="43"/>
      <c r="Q169" s="43"/>
      <c r="R169" s="44"/>
      <c r="S169" s="217"/>
      <c r="T169" s="2"/>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row>
    <row r="170" spans="1:252" s="7" customFormat="1" ht="15.6" x14ac:dyDescent="0.3">
      <c r="A170" s="112"/>
      <c r="B170" s="113" t="s">
        <v>141</v>
      </c>
      <c r="C170" s="113"/>
      <c r="D170" s="113"/>
      <c r="E170" s="113"/>
      <c r="F170" s="113"/>
      <c r="G170" s="113"/>
      <c r="H170" s="113"/>
      <c r="I170" s="113"/>
      <c r="J170" s="113"/>
      <c r="K170" s="113"/>
      <c r="L170" s="113"/>
      <c r="M170" s="113"/>
      <c r="N170" s="113"/>
      <c r="O170" s="113"/>
      <c r="P170" s="113"/>
      <c r="Q170" s="113"/>
      <c r="R170" s="156">
        <f>+'March 17'!R173</f>
        <v>204</v>
      </c>
      <c r="S170" s="116"/>
      <c r="T170" s="2"/>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row>
    <row r="171" spans="1:252" s="7" customFormat="1" ht="15.6" x14ac:dyDescent="0.3">
      <c r="A171" s="112"/>
      <c r="B171" s="113" t="s">
        <v>282</v>
      </c>
      <c r="C171" s="113"/>
      <c r="D171" s="113"/>
      <c r="E171" s="113"/>
      <c r="F171" s="113"/>
      <c r="G171" s="113"/>
      <c r="H171" s="113"/>
      <c r="I171" s="113"/>
      <c r="J171" s="113"/>
      <c r="K171" s="113"/>
      <c r="L171" s="113"/>
      <c r="M171" s="113"/>
      <c r="N171" s="113"/>
      <c r="O171" s="113"/>
      <c r="P171" s="113"/>
      <c r="Q171" s="113"/>
      <c r="R171" s="156">
        <v>960</v>
      </c>
      <c r="S171" s="116"/>
      <c r="T171" s="2"/>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row>
    <row r="172" spans="1:252" s="7" customFormat="1" ht="15.6" x14ac:dyDescent="0.3">
      <c r="A172" s="112"/>
      <c r="B172" s="113" t="s">
        <v>144</v>
      </c>
      <c r="C172" s="113"/>
      <c r="D172" s="113"/>
      <c r="E172" s="113"/>
      <c r="F172" s="113"/>
      <c r="G172" s="113"/>
      <c r="H172" s="113"/>
      <c r="I172" s="113"/>
      <c r="J172" s="113"/>
      <c r="K172" s="113"/>
      <c r="L172" s="113"/>
      <c r="M172" s="113"/>
      <c r="N172" s="113"/>
      <c r="O172" s="113"/>
      <c r="P172" s="113"/>
      <c r="Q172" s="113"/>
      <c r="R172" s="156">
        <f>+R92</f>
        <v>85</v>
      </c>
      <c r="S172" s="116"/>
      <c r="T172" s="2"/>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row>
    <row r="173" spans="1:252" s="7" customFormat="1" ht="15.6" x14ac:dyDescent="0.3">
      <c r="A173" s="112"/>
      <c r="B173" s="113" t="s">
        <v>142</v>
      </c>
      <c r="C173" s="113"/>
      <c r="D173" s="113"/>
      <c r="E173" s="113"/>
      <c r="F173" s="113"/>
      <c r="G173" s="113"/>
      <c r="H173" s="113"/>
      <c r="I173" s="113"/>
      <c r="J173" s="113"/>
      <c r="K173" s="113"/>
      <c r="L173" s="113"/>
      <c r="M173" s="113"/>
      <c r="N173" s="113"/>
      <c r="O173" s="113"/>
      <c r="P173" s="113"/>
      <c r="Q173" s="113"/>
      <c r="R173" s="156">
        <f>+R170+R171-R172</f>
        <v>1079</v>
      </c>
      <c r="S173" s="116"/>
      <c r="T173" s="2"/>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row>
    <row r="174" spans="1:252" s="8" customFormat="1" ht="16.2" thickBot="1" x14ac:dyDescent="0.35">
      <c r="A174" s="28"/>
      <c r="B174" s="43"/>
      <c r="C174" s="43"/>
      <c r="D174" s="43"/>
      <c r="E174" s="43"/>
      <c r="F174" s="43"/>
      <c r="G174" s="43"/>
      <c r="H174" s="43"/>
      <c r="I174" s="43"/>
      <c r="J174" s="43"/>
      <c r="K174" s="43"/>
      <c r="L174" s="43"/>
      <c r="M174" s="43"/>
      <c r="N174" s="43"/>
      <c r="O174" s="43"/>
      <c r="P174" s="43"/>
      <c r="Q174" s="43"/>
      <c r="R174" s="162"/>
      <c r="S174" s="217"/>
      <c r="T174" s="2"/>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row>
    <row r="175" spans="1:252" s="9" customFormat="1" ht="15.6" x14ac:dyDescent="0.3">
      <c r="A175" s="10"/>
      <c r="B175" s="11"/>
      <c r="C175" s="11"/>
      <c r="D175" s="11"/>
      <c r="E175" s="11"/>
      <c r="F175" s="11"/>
      <c r="G175" s="11"/>
      <c r="H175" s="11"/>
      <c r="I175" s="11"/>
      <c r="J175" s="11"/>
      <c r="K175" s="11"/>
      <c r="L175" s="11"/>
      <c r="M175" s="11"/>
      <c r="N175" s="11"/>
      <c r="O175" s="11"/>
      <c r="P175" s="11"/>
      <c r="Q175" s="11"/>
      <c r="R175" s="32"/>
      <c r="S175" s="216"/>
      <c r="T175" s="2"/>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row>
    <row r="176" spans="1:252" ht="15.6" x14ac:dyDescent="0.3">
      <c r="A176" s="12"/>
      <c r="B176" s="41" t="s">
        <v>44</v>
      </c>
      <c r="C176" s="14"/>
      <c r="D176" s="14"/>
      <c r="E176" s="14"/>
      <c r="F176" s="14"/>
      <c r="G176" s="14"/>
      <c r="H176" s="14"/>
      <c r="I176" s="14"/>
      <c r="J176" s="14"/>
      <c r="K176" s="14"/>
      <c r="L176" s="14"/>
      <c r="M176" s="14"/>
      <c r="N176" s="14"/>
      <c r="O176" s="14"/>
      <c r="P176" s="14"/>
      <c r="Q176" s="14"/>
      <c r="R176" s="33"/>
      <c r="S176" s="217"/>
      <c r="T176" s="2"/>
    </row>
    <row r="177" spans="1:20" ht="15.6" x14ac:dyDescent="0.3">
      <c r="A177" s="12"/>
      <c r="B177" s="22"/>
      <c r="C177" s="14"/>
      <c r="D177" s="14"/>
      <c r="E177" s="14"/>
      <c r="F177" s="14"/>
      <c r="G177" s="14"/>
      <c r="H177" s="14"/>
      <c r="I177" s="14"/>
      <c r="J177" s="14"/>
      <c r="K177" s="14"/>
      <c r="L177" s="14"/>
      <c r="M177" s="14"/>
      <c r="N177" s="14"/>
      <c r="O177" s="14"/>
      <c r="P177" s="14"/>
      <c r="Q177" s="14"/>
      <c r="R177" s="33"/>
      <c r="S177" s="217"/>
      <c r="T177" s="2"/>
    </row>
    <row r="178" spans="1:20" ht="15.6" x14ac:dyDescent="0.3">
      <c r="A178" s="112"/>
      <c r="B178" s="113" t="s">
        <v>171</v>
      </c>
      <c r="C178" s="113"/>
      <c r="D178" s="113"/>
      <c r="E178" s="113"/>
      <c r="F178" s="113"/>
      <c r="G178" s="113"/>
      <c r="H178" s="113"/>
      <c r="I178" s="113"/>
      <c r="J178" s="113"/>
      <c r="K178" s="113"/>
      <c r="L178" s="113"/>
      <c r="M178" s="113"/>
      <c r="N178" s="113"/>
      <c r="O178" s="113"/>
      <c r="P178" s="113"/>
      <c r="Q178" s="113"/>
      <c r="R178" s="156">
        <f>+R67</f>
        <v>299807</v>
      </c>
      <c r="S178" s="116"/>
      <c r="T178" s="2"/>
    </row>
    <row r="179" spans="1:20" ht="15.6" x14ac:dyDescent="0.3">
      <c r="A179" s="112"/>
      <c r="B179" s="113" t="s">
        <v>172</v>
      </c>
      <c r="C179" s="113"/>
      <c r="D179" s="113"/>
      <c r="E179" s="113"/>
      <c r="F179" s="113"/>
      <c r="G179" s="113"/>
      <c r="H179" s="113"/>
      <c r="I179" s="113"/>
      <c r="J179" s="113"/>
      <c r="K179" s="113"/>
      <c r="L179" s="113"/>
      <c r="M179" s="113"/>
      <c r="N179" s="113"/>
      <c r="O179" s="113"/>
      <c r="P179" s="113"/>
      <c r="Q179" s="113"/>
      <c r="R179" s="156">
        <f>+R77</f>
        <v>0</v>
      </c>
      <c r="S179" s="116"/>
      <c r="T179" s="2"/>
    </row>
    <row r="180" spans="1:20" ht="15.6" x14ac:dyDescent="0.3">
      <c r="A180" s="112"/>
      <c r="B180" s="113" t="s">
        <v>215</v>
      </c>
      <c r="C180" s="113"/>
      <c r="D180" s="113"/>
      <c r="E180" s="113"/>
      <c r="F180" s="113"/>
      <c r="G180" s="113"/>
      <c r="H180" s="113"/>
      <c r="I180" s="113"/>
      <c r="J180" s="113"/>
      <c r="K180" s="113"/>
      <c r="L180" s="113"/>
      <c r="M180" s="113"/>
      <c r="N180" s="113"/>
      <c r="O180" s="113"/>
      <c r="P180" s="113"/>
      <c r="Q180" s="113"/>
      <c r="R180" s="156">
        <f>+R78</f>
        <v>1003</v>
      </c>
      <c r="S180" s="116"/>
      <c r="T180" s="2"/>
    </row>
    <row r="181" spans="1:20" ht="15.6" x14ac:dyDescent="0.3">
      <c r="A181" s="112"/>
      <c r="B181" s="113" t="s">
        <v>126</v>
      </c>
      <c r="C181" s="113"/>
      <c r="D181" s="113"/>
      <c r="E181" s="113"/>
      <c r="F181" s="113"/>
      <c r="G181" s="113"/>
      <c r="H181" s="113"/>
      <c r="I181" s="113"/>
      <c r="J181" s="113"/>
      <c r="K181" s="113"/>
      <c r="L181" s="113"/>
      <c r="M181" s="113"/>
      <c r="N181" s="113"/>
      <c r="O181" s="113"/>
      <c r="P181" s="113"/>
      <c r="Q181" s="113"/>
      <c r="R181" s="156">
        <f>+R178+R179+R180</f>
        <v>300810</v>
      </c>
      <c r="S181" s="116"/>
      <c r="T181" s="2"/>
    </row>
    <row r="182" spans="1:20" ht="15.6" x14ac:dyDescent="0.3">
      <c r="A182" s="112"/>
      <c r="B182" s="113" t="s">
        <v>45</v>
      </c>
      <c r="C182" s="113"/>
      <c r="D182" s="113"/>
      <c r="E182" s="113"/>
      <c r="F182" s="113"/>
      <c r="G182" s="113"/>
      <c r="H182" s="113"/>
      <c r="I182" s="113"/>
      <c r="J182" s="113"/>
      <c r="K182" s="113"/>
      <c r="L182" s="113"/>
      <c r="M182" s="113"/>
      <c r="N182" s="113"/>
      <c r="O182" s="113"/>
      <c r="P182" s="113"/>
      <c r="Q182" s="113"/>
      <c r="R182" s="156">
        <f>R80</f>
        <v>300810</v>
      </c>
      <c r="S182" s="116"/>
      <c r="T182" s="2"/>
    </row>
    <row r="183" spans="1:20" ht="16.2" thickBot="1" x14ac:dyDescent="0.35">
      <c r="A183" s="12"/>
      <c r="B183" s="43"/>
      <c r="C183" s="43"/>
      <c r="D183" s="43"/>
      <c r="E183" s="43"/>
      <c r="F183" s="43"/>
      <c r="G183" s="43"/>
      <c r="H183" s="43"/>
      <c r="I183" s="43"/>
      <c r="J183" s="43"/>
      <c r="K183" s="43"/>
      <c r="L183" s="43"/>
      <c r="M183" s="43"/>
      <c r="N183" s="43"/>
      <c r="O183" s="43"/>
      <c r="P183" s="43"/>
      <c r="Q183" s="43"/>
      <c r="R183" s="162"/>
      <c r="S183" s="217"/>
      <c r="T183" s="2"/>
    </row>
    <row r="184" spans="1:20" ht="15.6" x14ac:dyDescent="0.3">
      <c r="A184" s="10"/>
      <c r="B184" s="11"/>
      <c r="C184" s="11"/>
      <c r="D184" s="11"/>
      <c r="E184" s="11"/>
      <c r="F184" s="11"/>
      <c r="G184" s="11"/>
      <c r="H184" s="11"/>
      <c r="I184" s="11"/>
      <c r="J184" s="11"/>
      <c r="K184" s="11"/>
      <c r="L184" s="11"/>
      <c r="M184" s="11"/>
      <c r="N184" s="11"/>
      <c r="O184" s="11"/>
      <c r="P184" s="11"/>
      <c r="Q184" s="11"/>
      <c r="R184" s="32"/>
      <c r="S184" s="216"/>
      <c r="T184" s="2"/>
    </row>
    <row r="185" spans="1:20" ht="15.6" x14ac:dyDescent="0.3">
      <c r="A185" s="12"/>
      <c r="B185" s="41" t="s">
        <v>46</v>
      </c>
      <c r="C185" s="37"/>
      <c r="D185" s="45"/>
      <c r="E185" s="45"/>
      <c r="F185" s="45"/>
      <c r="G185" s="45"/>
      <c r="H185" s="45"/>
      <c r="I185" s="45"/>
      <c r="J185" s="45"/>
      <c r="K185" s="45"/>
      <c r="L185" s="45"/>
      <c r="M185" s="45"/>
      <c r="N185" s="45"/>
      <c r="O185" s="45" t="s">
        <v>82</v>
      </c>
      <c r="P185" s="45" t="s">
        <v>170</v>
      </c>
      <c r="Q185" s="16"/>
      <c r="R185" s="46" t="s">
        <v>94</v>
      </c>
      <c r="S185" s="224"/>
      <c r="T185" s="2"/>
    </row>
    <row r="186" spans="1:20" ht="15.6" x14ac:dyDescent="0.3">
      <c r="A186" s="112"/>
      <c r="B186" s="113" t="s">
        <v>47</v>
      </c>
      <c r="C186" s="113"/>
      <c r="D186" s="113"/>
      <c r="E186" s="113"/>
      <c r="F186" s="113"/>
      <c r="G186" s="113"/>
      <c r="H186" s="113"/>
      <c r="I186" s="113"/>
      <c r="J186" s="113"/>
      <c r="K186" s="113"/>
      <c r="L186" s="113"/>
      <c r="M186" s="113"/>
      <c r="N186" s="113"/>
      <c r="O186" s="156">
        <f>+R31*0.08</f>
        <v>28008.880000000001</v>
      </c>
      <c r="P186" s="145"/>
      <c r="Q186" s="113"/>
      <c r="R186" s="156"/>
      <c r="S186" s="116"/>
      <c r="T186" s="2"/>
    </row>
    <row r="187" spans="1:20" ht="15.6" x14ac:dyDescent="0.3">
      <c r="A187" s="112"/>
      <c r="B187" s="113" t="s">
        <v>48</v>
      </c>
      <c r="C187" s="113"/>
      <c r="D187" s="113"/>
      <c r="E187" s="113"/>
      <c r="F187" s="113"/>
      <c r="G187" s="113"/>
      <c r="H187" s="113"/>
      <c r="I187" s="113"/>
      <c r="J187" s="113"/>
      <c r="K187" s="113"/>
      <c r="L187" s="113"/>
      <c r="M187" s="113"/>
      <c r="N187" s="113"/>
      <c r="O187" s="156">
        <f>+'March 17'!O189</f>
        <v>292</v>
      </c>
      <c r="P187" s="156">
        <f>+'March 17'!P189</f>
        <v>699</v>
      </c>
      <c r="Q187" s="113"/>
      <c r="R187" s="156">
        <f>O187+P187</f>
        <v>991</v>
      </c>
      <c r="S187" s="116"/>
      <c r="T187" s="2"/>
    </row>
    <row r="188" spans="1:20" ht="15.6" x14ac:dyDescent="0.3">
      <c r="A188" s="112"/>
      <c r="B188" s="113" t="s">
        <v>49</v>
      </c>
      <c r="C188" s="113"/>
      <c r="D188" s="113"/>
      <c r="E188" s="113"/>
      <c r="F188" s="113"/>
      <c r="G188" s="113"/>
      <c r="H188" s="113"/>
      <c r="I188" s="113"/>
      <c r="J188" s="113"/>
      <c r="K188" s="113"/>
      <c r="L188" s="113"/>
      <c r="M188" s="113"/>
      <c r="N188" s="113"/>
      <c r="O188" s="155">
        <v>205</v>
      </c>
      <c r="P188" s="155">
        <v>28</v>
      </c>
      <c r="Q188" s="113"/>
      <c r="R188" s="156">
        <f>O188+P188</f>
        <v>233</v>
      </c>
      <c r="S188" s="116"/>
      <c r="T188" s="2"/>
    </row>
    <row r="189" spans="1:20" ht="15.6" x14ac:dyDescent="0.3">
      <c r="A189" s="112"/>
      <c r="B189" s="113" t="s">
        <v>50</v>
      </c>
      <c r="C189" s="113"/>
      <c r="D189" s="113"/>
      <c r="E189" s="113"/>
      <c r="F189" s="113"/>
      <c r="G189" s="113"/>
      <c r="H189" s="113"/>
      <c r="I189" s="113"/>
      <c r="J189" s="113"/>
      <c r="K189" s="113"/>
      <c r="L189" s="113"/>
      <c r="M189" s="113"/>
      <c r="N189" s="113"/>
      <c r="O189" s="156">
        <f>O187+O188</f>
        <v>497</v>
      </c>
      <c r="P189" s="156">
        <f>P188+P187</f>
        <v>727</v>
      </c>
      <c r="Q189" s="113"/>
      <c r="R189" s="156">
        <f>O189+P189</f>
        <v>1224</v>
      </c>
      <c r="S189" s="116"/>
      <c r="T189" s="2"/>
    </row>
    <row r="190" spans="1:20" ht="15.6" x14ac:dyDescent="0.3">
      <c r="A190" s="112"/>
      <c r="B190" s="113" t="s">
        <v>51</v>
      </c>
      <c r="C190" s="113"/>
      <c r="D190" s="113"/>
      <c r="E190" s="113"/>
      <c r="F190" s="113"/>
      <c r="G190" s="113"/>
      <c r="H190" s="113"/>
      <c r="I190" s="113"/>
      <c r="J190" s="113"/>
      <c r="K190" s="113"/>
      <c r="L190" s="113"/>
      <c r="M190" s="113"/>
      <c r="N190" s="113"/>
      <c r="O190" s="156">
        <f>O186-O189-P189</f>
        <v>26784.880000000001</v>
      </c>
      <c r="P190" s="145"/>
      <c r="Q190" s="113"/>
      <c r="R190" s="156"/>
      <c r="S190" s="116"/>
      <c r="T190" s="2"/>
    </row>
    <row r="191" spans="1:20" ht="16.2" thickBot="1" x14ac:dyDescent="0.35">
      <c r="A191" s="12"/>
      <c r="B191" s="43"/>
      <c r="C191" s="43"/>
      <c r="D191" s="43"/>
      <c r="E191" s="43"/>
      <c r="F191" s="43"/>
      <c r="G191" s="43"/>
      <c r="H191" s="43"/>
      <c r="I191" s="43"/>
      <c r="J191" s="43"/>
      <c r="K191" s="43"/>
      <c r="L191" s="43"/>
      <c r="M191" s="43"/>
      <c r="N191" s="43"/>
      <c r="O191" s="43"/>
      <c r="P191" s="43"/>
      <c r="Q191" s="43"/>
      <c r="R191" s="162"/>
      <c r="S191" s="217"/>
      <c r="T191" s="2"/>
    </row>
    <row r="192" spans="1:20" ht="15.6" x14ac:dyDescent="0.3">
      <c r="A192" s="10"/>
      <c r="B192" s="11"/>
      <c r="C192" s="11"/>
      <c r="D192" s="11"/>
      <c r="E192" s="11"/>
      <c r="F192" s="11"/>
      <c r="G192" s="11"/>
      <c r="H192" s="11"/>
      <c r="I192" s="11"/>
      <c r="J192" s="11"/>
      <c r="K192" s="11"/>
      <c r="L192" s="11"/>
      <c r="M192" s="11"/>
      <c r="N192" s="11"/>
      <c r="O192" s="11"/>
      <c r="P192" s="11"/>
      <c r="Q192" s="11"/>
      <c r="R192" s="32"/>
      <c r="S192" s="216"/>
      <c r="T192" s="2"/>
    </row>
    <row r="193" spans="1:20" ht="15.6" x14ac:dyDescent="0.3">
      <c r="A193" s="12"/>
      <c r="B193" s="41" t="s">
        <v>52</v>
      </c>
      <c r="C193" s="14"/>
      <c r="D193" s="14"/>
      <c r="E193" s="14"/>
      <c r="F193" s="14"/>
      <c r="G193" s="14"/>
      <c r="H193" s="14"/>
      <c r="I193" s="14"/>
      <c r="J193" s="14"/>
      <c r="K193" s="14"/>
      <c r="L193" s="14"/>
      <c r="M193" s="14"/>
      <c r="N193" s="14"/>
      <c r="O193" s="14"/>
      <c r="P193" s="14"/>
      <c r="Q193" s="14"/>
      <c r="R193" s="47"/>
      <c r="S193" s="217"/>
      <c r="T193" s="2"/>
    </row>
    <row r="194" spans="1:20" ht="15.6" x14ac:dyDescent="0.3">
      <c r="A194" s="112"/>
      <c r="B194" s="113" t="s">
        <v>53</v>
      </c>
      <c r="C194" s="113"/>
      <c r="D194" s="113"/>
      <c r="E194" s="113"/>
      <c r="F194" s="113"/>
      <c r="G194" s="113"/>
      <c r="H194" s="113"/>
      <c r="I194" s="113"/>
      <c r="J194" s="113"/>
      <c r="K194" s="113"/>
      <c r="L194" s="113"/>
      <c r="M194" s="113"/>
      <c r="N194" s="113"/>
      <c r="O194" s="113"/>
      <c r="P194" s="113"/>
      <c r="Q194" s="113"/>
      <c r="R194" s="161">
        <f>(R100+R102+R103+R104+R105)/-(R106+R107)</f>
        <v>2.441358024691358</v>
      </c>
      <c r="S194" s="116" t="s">
        <v>95</v>
      </c>
      <c r="T194" s="2"/>
    </row>
    <row r="195" spans="1:20" ht="15.6" x14ac:dyDescent="0.3">
      <c r="A195" s="112"/>
      <c r="B195" s="113" t="s">
        <v>54</v>
      </c>
      <c r="C195" s="113"/>
      <c r="D195" s="113"/>
      <c r="E195" s="113"/>
      <c r="F195" s="113"/>
      <c r="G195" s="113"/>
      <c r="H195" s="113"/>
      <c r="I195" s="113"/>
      <c r="J195" s="113"/>
      <c r="K195" s="113"/>
      <c r="L195" s="113"/>
      <c r="M195" s="113"/>
      <c r="N195" s="113"/>
      <c r="O195" s="113"/>
      <c r="P195" s="113"/>
      <c r="Q195" s="113"/>
      <c r="R195" s="251">
        <v>2.36</v>
      </c>
      <c r="S195" s="116" t="s">
        <v>95</v>
      </c>
      <c r="T195" s="2"/>
    </row>
    <row r="196" spans="1:20" ht="15.6" x14ac:dyDescent="0.3">
      <c r="A196" s="112"/>
      <c r="B196" s="113" t="s">
        <v>182</v>
      </c>
      <c r="C196" s="113"/>
      <c r="D196" s="113"/>
      <c r="E196" s="113"/>
      <c r="F196" s="113"/>
      <c r="G196" s="113"/>
      <c r="H196" s="113"/>
      <c r="I196" s="113"/>
      <c r="J196" s="113"/>
      <c r="K196" s="113"/>
      <c r="L196" s="113"/>
      <c r="M196" s="113"/>
      <c r="N196" s="113"/>
      <c r="O196" s="113"/>
      <c r="P196" s="113"/>
      <c r="Q196" s="113"/>
      <c r="R196" s="240">
        <f>(R100+R102+R103+R104+R105+R106+R107)/-(R108)</f>
        <v>14.151515151515152</v>
      </c>
      <c r="S196" s="116" t="s">
        <v>95</v>
      </c>
      <c r="T196" s="2"/>
    </row>
    <row r="197" spans="1:20" ht="15.6" x14ac:dyDescent="0.3">
      <c r="A197" s="112"/>
      <c r="B197" s="113" t="s">
        <v>183</v>
      </c>
      <c r="C197" s="113"/>
      <c r="D197" s="113"/>
      <c r="E197" s="113"/>
      <c r="F197" s="113"/>
      <c r="G197" s="113"/>
      <c r="H197" s="113"/>
      <c r="I197" s="113"/>
      <c r="J197" s="113"/>
      <c r="K197" s="113"/>
      <c r="L197" s="113"/>
      <c r="M197" s="113"/>
      <c r="N197" s="113"/>
      <c r="O197" s="113"/>
      <c r="P197" s="113"/>
      <c r="Q197" s="113"/>
      <c r="R197" s="251">
        <v>14.24</v>
      </c>
      <c r="S197" s="116" t="s">
        <v>95</v>
      </c>
      <c r="T197" s="2"/>
    </row>
    <row r="198" spans="1:20" ht="15.6" x14ac:dyDescent="0.3">
      <c r="A198" s="112"/>
      <c r="B198" s="113" t="s">
        <v>184</v>
      </c>
      <c r="C198" s="113"/>
      <c r="D198" s="113"/>
      <c r="E198" s="113"/>
      <c r="F198" s="113"/>
      <c r="G198" s="113"/>
      <c r="H198" s="113"/>
      <c r="I198" s="113"/>
      <c r="J198" s="113"/>
      <c r="K198" s="113"/>
      <c r="L198" s="113"/>
      <c r="M198" s="113"/>
      <c r="N198" s="113"/>
      <c r="O198" s="113"/>
      <c r="P198" s="113"/>
      <c r="Q198" s="113"/>
      <c r="R198" s="240">
        <f>(R100+R102+R103+R104+R105+R106+R107+R108)/-(R109)</f>
        <v>7.8552036199095019</v>
      </c>
      <c r="S198" s="116" t="s">
        <v>95</v>
      </c>
      <c r="T198" s="2"/>
    </row>
    <row r="199" spans="1:20" ht="15.6" x14ac:dyDescent="0.3">
      <c r="A199" s="112"/>
      <c r="B199" s="113" t="s">
        <v>185</v>
      </c>
      <c r="C199" s="113"/>
      <c r="D199" s="113"/>
      <c r="E199" s="113"/>
      <c r="F199" s="113"/>
      <c r="G199" s="113"/>
      <c r="H199" s="113"/>
      <c r="I199" s="113"/>
      <c r="J199" s="113"/>
      <c r="K199" s="113"/>
      <c r="L199" s="113"/>
      <c r="M199" s="113"/>
      <c r="N199" s="113"/>
      <c r="O199" s="113"/>
      <c r="P199" s="113"/>
      <c r="Q199" s="113"/>
      <c r="R199" s="251">
        <v>8.01</v>
      </c>
      <c r="S199" s="116" t="s">
        <v>95</v>
      </c>
      <c r="T199" s="2"/>
    </row>
    <row r="200" spans="1:20" ht="15.6" x14ac:dyDescent="0.3">
      <c r="A200" s="112"/>
      <c r="B200" s="113" t="s">
        <v>272</v>
      </c>
      <c r="C200" s="113"/>
      <c r="D200" s="113"/>
      <c r="E200" s="113"/>
      <c r="F200" s="113"/>
      <c r="G200" s="113"/>
      <c r="H200" s="113"/>
      <c r="I200" s="113"/>
      <c r="J200" s="113"/>
      <c r="K200" s="113"/>
      <c r="L200" s="113"/>
      <c r="M200" s="113"/>
      <c r="N200" s="113"/>
      <c r="O200" s="113"/>
      <c r="P200" s="113"/>
      <c r="Q200" s="113"/>
      <c r="R200" s="240">
        <f>(R100+R102+R103+R104+R105+R106+R107+R108+R109+R110+R111+R112+R113+R114)/-(R115)</f>
        <v>17.738095238095237</v>
      </c>
      <c r="S200" s="116" t="s">
        <v>95</v>
      </c>
      <c r="T200" s="2"/>
    </row>
    <row r="201" spans="1:20" ht="15.6" x14ac:dyDescent="0.3">
      <c r="A201" s="112"/>
      <c r="B201" s="113" t="s">
        <v>273</v>
      </c>
      <c r="C201" s="113"/>
      <c r="D201" s="113"/>
      <c r="E201" s="113"/>
      <c r="F201" s="113"/>
      <c r="G201" s="113"/>
      <c r="H201" s="113"/>
      <c r="I201" s="113"/>
      <c r="J201" s="113"/>
      <c r="K201" s="113"/>
      <c r="L201" s="113"/>
      <c r="M201" s="113"/>
      <c r="N201" s="113"/>
      <c r="O201" s="113"/>
      <c r="P201" s="113"/>
      <c r="Q201" s="113"/>
      <c r="R201" s="251">
        <v>18.350000000000001</v>
      </c>
      <c r="S201" s="116" t="s">
        <v>95</v>
      </c>
      <c r="T201" s="2"/>
    </row>
    <row r="202" spans="1:20" ht="15.6" x14ac:dyDescent="0.3">
      <c r="A202" s="112"/>
      <c r="B202" s="113"/>
      <c r="C202" s="113"/>
      <c r="D202" s="113"/>
      <c r="E202" s="113"/>
      <c r="F202" s="113"/>
      <c r="G202" s="113"/>
      <c r="H202" s="113"/>
      <c r="I202" s="113"/>
      <c r="J202" s="113"/>
      <c r="K202" s="113"/>
      <c r="L202" s="113"/>
      <c r="M202" s="113"/>
      <c r="N202" s="113"/>
      <c r="O202" s="113"/>
      <c r="P202" s="113"/>
      <c r="Q202" s="113"/>
      <c r="R202" s="113"/>
      <c r="S202" s="116"/>
      <c r="T202" s="2"/>
    </row>
    <row r="203" spans="1:20" ht="15.6" x14ac:dyDescent="0.3">
      <c r="A203" s="12"/>
      <c r="B203" s="163"/>
      <c r="C203" s="163"/>
      <c r="D203" s="163"/>
      <c r="E203" s="163"/>
      <c r="F203" s="163"/>
      <c r="G203" s="163"/>
      <c r="H203" s="163"/>
      <c r="I203" s="163"/>
      <c r="J203" s="163"/>
      <c r="K203" s="163"/>
      <c r="L203" s="163"/>
      <c r="M203" s="163"/>
      <c r="N203" s="163"/>
      <c r="O203" s="163"/>
      <c r="P203" s="163"/>
      <c r="Q203" s="163"/>
      <c r="R203" s="163"/>
      <c r="S203" s="218"/>
      <c r="T203" s="2"/>
    </row>
    <row r="204" spans="1:20" ht="15.6" x14ac:dyDescent="0.3">
      <c r="A204" s="12"/>
      <c r="B204" s="84"/>
      <c r="C204" s="84"/>
      <c r="D204" s="84"/>
      <c r="E204" s="84"/>
      <c r="F204" s="84"/>
      <c r="G204" s="84"/>
      <c r="H204" s="84"/>
      <c r="I204" s="84"/>
      <c r="J204" s="84"/>
      <c r="K204" s="84"/>
      <c r="L204" s="84"/>
      <c r="M204" s="84"/>
      <c r="N204" s="84"/>
      <c r="O204" s="84"/>
      <c r="P204" s="84"/>
      <c r="Q204" s="84"/>
      <c r="R204" s="84"/>
      <c r="S204" s="218"/>
      <c r="T204" s="2"/>
    </row>
    <row r="205" spans="1:20" ht="18" thickBot="1" x14ac:dyDescent="0.35">
      <c r="A205" s="28"/>
      <c r="B205" s="97" t="str">
        <f>B132</f>
        <v>PM24 INVESTOR REPORT QUARTER ENDING JUNE 2017</v>
      </c>
      <c r="C205" s="98"/>
      <c r="D205" s="98"/>
      <c r="E205" s="98"/>
      <c r="F205" s="98"/>
      <c r="G205" s="98"/>
      <c r="H205" s="98"/>
      <c r="I205" s="98"/>
      <c r="J205" s="98"/>
      <c r="K205" s="98"/>
      <c r="L205" s="98"/>
      <c r="M205" s="98"/>
      <c r="N205" s="98"/>
      <c r="O205" s="98"/>
      <c r="P205" s="98"/>
      <c r="Q205" s="98"/>
      <c r="R205" s="98"/>
      <c r="S205" s="99"/>
      <c r="T205" s="2"/>
    </row>
    <row r="206" spans="1:20" ht="15.6" x14ac:dyDescent="0.3">
      <c r="A206" s="65"/>
      <c r="B206" s="66" t="s">
        <v>55</v>
      </c>
      <c r="C206" s="69"/>
      <c r="D206" s="70"/>
      <c r="E206" s="70"/>
      <c r="F206" s="70"/>
      <c r="G206" s="70"/>
      <c r="H206" s="70"/>
      <c r="I206" s="70"/>
      <c r="J206" s="70"/>
      <c r="K206" s="70"/>
      <c r="L206" s="70"/>
      <c r="M206" s="70"/>
      <c r="N206" s="70"/>
      <c r="O206" s="70"/>
      <c r="P206" s="70">
        <v>42916</v>
      </c>
      <c r="Q206" s="67"/>
      <c r="R206" s="67"/>
      <c r="S206" s="223"/>
      <c r="T206" s="2"/>
    </row>
    <row r="207" spans="1:20" ht="15.6" x14ac:dyDescent="0.3">
      <c r="A207" s="48"/>
      <c r="B207" s="49"/>
      <c r="C207" s="50"/>
      <c r="D207" s="51"/>
      <c r="E207" s="51"/>
      <c r="F207" s="51"/>
      <c r="G207" s="51"/>
      <c r="H207" s="51"/>
      <c r="I207" s="51"/>
      <c r="J207" s="51"/>
      <c r="K207" s="51"/>
      <c r="L207" s="51"/>
      <c r="M207" s="51"/>
      <c r="N207" s="51"/>
      <c r="O207" s="51"/>
      <c r="P207" s="51"/>
      <c r="Q207" s="14"/>
      <c r="R207" s="14"/>
      <c r="S207" s="217"/>
      <c r="T207" s="2"/>
    </row>
    <row r="208" spans="1:20" ht="15.6" x14ac:dyDescent="0.3">
      <c r="A208" s="166"/>
      <c r="B208" s="113" t="s">
        <v>56</v>
      </c>
      <c r="C208" s="167"/>
      <c r="D208" s="148"/>
      <c r="E208" s="148"/>
      <c r="F208" s="148"/>
      <c r="G208" s="148"/>
      <c r="H208" s="148"/>
      <c r="I208" s="148"/>
      <c r="J208" s="148"/>
      <c r="K208" s="148"/>
      <c r="L208" s="148"/>
      <c r="M208" s="148"/>
      <c r="N208" s="148"/>
      <c r="O208" s="148"/>
      <c r="P208" s="142">
        <v>3.8129999999999997E-2</v>
      </c>
      <c r="Q208" s="113"/>
      <c r="R208" s="113"/>
      <c r="S208" s="116"/>
      <c r="T208" s="2"/>
    </row>
    <row r="209" spans="1:20" ht="15.6" x14ac:dyDescent="0.3">
      <c r="A209" s="166"/>
      <c r="B209" s="113" t="s">
        <v>158</v>
      </c>
      <c r="C209" s="167"/>
      <c r="D209" s="148"/>
      <c r="E209" s="148"/>
      <c r="F209" s="148"/>
      <c r="G209" s="148"/>
      <c r="H209" s="148"/>
      <c r="I209" s="148"/>
      <c r="J209" s="148"/>
      <c r="K209" s="148"/>
      <c r="L209" s="148"/>
      <c r="M209" s="148"/>
      <c r="N209" s="148"/>
      <c r="O209" s="148"/>
      <c r="P209" s="142">
        <v>2.4610284713705084E-2</v>
      </c>
      <c r="Q209" s="113"/>
      <c r="R209" s="113"/>
      <c r="S209" s="116"/>
      <c r="T209" s="2"/>
    </row>
    <row r="210" spans="1:20" ht="15.6" x14ac:dyDescent="0.3">
      <c r="A210" s="166"/>
      <c r="B210" s="113" t="s">
        <v>57</v>
      </c>
      <c r="C210" s="167"/>
      <c r="D210" s="148"/>
      <c r="E210" s="148"/>
      <c r="F210" s="148"/>
      <c r="G210" s="148"/>
      <c r="H210" s="148"/>
      <c r="I210" s="148"/>
      <c r="J210" s="148"/>
      <c r="K210" s="148"/>
      <c r="L210" s="148"/>
      <c r="M210" s="148"/>
      <c r="N210" s="148"/>
      <c r="O210" s="148"/>
      <c r="P210" s="210">
        <f>P208-P209</f>
        <v>1.3519715286294913E-2</v>
      </c>
      <c r="Q210" s="113"/>
      <c r="R210" s="113"/>
      <c r="S210" s="116"/>
      <c r="T210" s="2"/>
    </row>
    <row r="211" spans="1:20" ht="15.6" x14ac:dyDescent="0.3">
      <c r="A211" s="166"/>
      <c r="B211" s="113" t="s">
        <v>161</v>
      </c>
      <c r="C211" s="167"/>
      <c r="D211" s="148"/>
      <c r="E211" s="148"/>
      <c r="F211" s="148"/>
      <c r="G211" s="148"/>
      <c r="H211" s="148"/>
      <c r="I211" s="148"/>
      <c r="J211" s="148"/>
      <c r="K211" s="148"/>
      <c r="L211" s="148"/>
      <c r="M211" s="148"/>
      <c r="N211" s="148"/>
      <c r="O211" s="148"/>
      <c r="P211" s="210">
        <v>4.3355600000000001E-2</v>
      </c>
      <c r="Q211" s="113"/>
      <c r="R211" s="113"/>
      <c r="S211" s="116"/>
      <c r="T211" s="2"/>
    </row>
    <row r="212" spans="1:20" ht="15.6" x14ac:dyDescent="0.3">
      <c r="A212" s="166"/>
      <c r="B212" s="113" t="s">
        <v>58</v>
      </c>
      <c r="C212" s="167"/>
      <c r="D212" s="148"/>
      <c r="E212" s="148"/>
      <c r="F212" s="148"/>
      <c r="G212" s="148"/>
      <c r="H212" s="148"/>
      <c r="I212" s="148"/>
      <c r="J212" s="148"/>
      <c r="K212" s="148"/>
      <c r="L212" s="148"/>
      <c r="M212" s="148"/>
      <c r="N212" s="148"/>
      <c r="O212" s="148"/>
      <c r="P212" s="208">
        <v>4.2410000000000003E-2</v>
      </c>
      <c r="Q212" s="113"/>
      <c r="R212" s="113"/>
      <c r="S212" s="116"/>
      <c r="T212" s="2"/>
    </row>
    <row r="213" spans="1:20" ht="15.6" x14ac:dyDescent="0.3">
      <c r="A213" s="166"/>
      <c r="B213" s="113" t="s">
        <v>159</v>
      </c>
      <c r="C213" s="167"/>
      <c r="D213" s="148"/>
      <c r="E213" s="148"/>
      <c r="F213" s="148"/>
      <c r="G213" s="148"/>
      <c r="H213" s="148"/>
      <c r="I213" s="148"/>
      <c r="J213" s="148"/>
      <c r="K213" s="148"/>
      <c r="L213" s="148"/>
      <c r="M213" s="148"/>
      <c r="N213" s="148"/>
      <c r="O213" s="148"/>
      <c r="P213" s="142">
        <f>R40</f>
        <v>2.1388660751925068E-2</v>
      </c>
      <c r="Q213" s="113"/>
      <c r="R213" s="113"/>
      <c r="S213" s="116"/>
      <c r="T213" s="2"/>
    </row>
    <row r="214" spans="1:20" ht="15.6" x14ac:dyDescent="0.3">
      <c r="A214" s="166"/>
      <c r="B214" s="113" t="s">
        <v>59</v>
      </c>
      <c r="C214" s="167"/>
      <c r="D214" s="148"/>
      <c r="E214" s="148"/>
      <c r="F214" s="148"/>
      <c r="G214" s="148"/>
      <c r="H214" s="148"/>
      <c r="I214" s="148"/>
      <c r="J214" s="148"/>
      <c r="K214" s="148"/>
      <c r="L214" s="148"/>
      <c r="M214" s="148"/>
      <c r="N214" s="148"/>
      <c r="O214" s="148"/>
      <c r="P214" s="142">
        <f>P212-P213</f>
        <v>2.1021339248074936E-2</v>
      </c>
      <c r="Q214" s="113"/>
      <c r="R214" s="113"/>
      <c r="S214" s="116"/>
      <c r="T214" s="2"/>
    </row>
    <row r="215" spans="1:20" ht="15.6" x14ac:dyDescent="0.3">
      <c r="A215" s="166"/>
      <c r="B215" s="113" t="s">
        <v>139</v>
      </c>
      <c r="C215" s="167"/>
      <c r="D215" s="148"/>
      <c r="E215" s="148"/>
      <c r="F215" s="148"/>
      <c r="G215" s="148"/>
      <c r="H215" s="148"/>
      <c r="I215" s="148"/>
      <c r="J215" s="148"/>
      <c r="K215" s="148"/>
      <c r="L215" s="148"/>
      <c r="M215" s="148"/>
      <c r="N215" s="148"/>
      <c r="O215" s="148"/>
      <c r="P215" s="142">
        <f>(+R100+R102)/H80</f>
        <v>1.1473799159845354E-2</v>
      </c>
      <c r="Q215" s="113"/>
      <c r="R215" s="113"/>
      <c r="S215" s="116"/>
      <c r="T215" s="2"/>
    </row>
    <row r="216" spans="1:20" ht="15.6" x14ac:dyDescent="0.3">
      <c r="A216" s="166"/>
      <c r="B216" s="113" t="s">
        <v>132</v>
      </c>
      <c r="C216" s="167"/>
      <c r="D216" s="148"/>
      <c r="E216" s="148"/>
      <c r="F216" s="148"/>
      <c r="G216" s="148"/>
      <c r="H216" s="148"/>
      <c r="I216" s="148"/>
      <c r="J216" s="148"/>
      <c r="K216" s="148"/>
      <c r="L216" s="148"/>
      <c r="M216" s="148"/>
      <c r="N216" s="148"/>
      <c r="O216" s="148"/>
      <c r="P216" s="168">
        <v>52427</v>
      </c>
      <c r="Q216" s="113"/>
      <c r="R216" s="113"/>
      <c r="S216" s="116"/>
      <c r="T216" s="2"/>
    </row>
    <row r="217" spans="1:20" ht="15.6" x14ac:dyDescent="0.3">
      <c r="A217" s="166"/>
      <c r="B217" s="113" t="s">
        <v>186</v>
      </c>
      <c r="C217" s="167"/>
      <c r="D217" s="148"/>
      <c r="E217" s="148"/>
      <c r="F217" s="148"/>
      <c r="G217" s="148"/>
      <c r="H217" s="148"/>
      <c r="I217" s="148"/>
      <c r="J217" s="148"/>
      <c r="K217" s="148"/>
      <c r="L217" s="148"/>
      <c r="M217" s="148"/>
      <c r="N217" s="148"/>
      <c r="O217" s="148"/>
      <c r="P217" s="168">
        <v>52427</v>
      </c>
      <c r="Q217" s="113"/>
      <c r="R217" s="113"/>
      <c r="S217" s="116"/>
      <c r="T217" s="2"/>
    </row>
    <row r="218" spans="1:20" ht="15.6" x14ac:dyDescent="0.3">
      <c r="A218" s="166"/>
      <c r="B218" s="113" t="s">
        <v>187</v>
      </c>
      <c r="C218" s="167"/>
      <c r="D218" s="148"/>
      <c r="E218" s="148"/>
      <c r="F218" s="148"/>
      <c r="G218" s="148"/>
      <c r="H218" s="148"/>
      <c r="I218" s="148"/>
      <c r="J218" s="148"/>
      <c r="K218" s="148"/>
      <c r="L218" s="148"/>
      <c r="M218" s="148"/>
      <c r="N218" s="148"/>
      <c r="O218" s="148"/>
      <c r="P218" s="168">
        <v>52427</v>
      </c>
      <c r="Q218" s="113"/>
      <c r="R218" s="113"/>
      <c r="S218" s="116"/>
      <c r="T218" s="2"/>
    </row>
    <row r="219" spans="1:20" ht="15.6" x14ac:dyDescent="0.3">
      <c r="A219" s="166"/>
      <c r="B219" s="113" t="s">
        <v>274</v>
      </c>
      <c r="C219" s="167"/>
      <c r="D219" s="148"/>
      <c r="E219" s="148"/>
      <c r="F219" s="148"/>
      <c r="G219" s="148"/>
      <c r="H219" s="148"/>
      <c r="I219" s="148"/>
      <c r="J219" s="148"/>
      <c r="K219" s="148"/>
      <c r="L219" s="148"/>
      <c r="M219" s="148"/>
      <c r="N219" s="148"/>
      <c r="O219" s="148"/>
      <c r="P219" s="168">
        <v>52427</v>
      </c>
      <c r="Q219" s="113"/>
      <c r="R219" s="113"/>
      <c r="S219" s="116"/>
      <c r="T219" s="2"/>
    </row>
    <row r="220" spans="1:20" ht="15.6" x14ac:dyDescent="0.3">
      <c r="A220" s="166"/>
      <c r="B220" s="113" t="s">
        <v>60</v>
      </c>
      <c r="C220" s="167"/>
      <c r="D220" s="148"/>
      <c r="E220" s="148"/>
      <c r="F220" s="148"/>
      <c r="G220" s="148"/>
      <c r="H220" s="148"/>
      <c r="I220" s="148"/>
      <c r="J220" s="148"/>
      <c r="K220" s="148"/>
      <c r="L220" s="148"/>
      <c r="M220" s="148"/>
      <c r="N220" s="148"/>
      <c r="O220" s="148"/>
      <c r="P220" s="146">
        <v>20.96</v>
      </c>
      <c r="Q220" s="113" t="s">
        <v>90</v>
      </c>
      <c r="R220" s="113"/>
      <c r="S220" s="116"/>
      <c r="T220" s="2"/>
    </row>
    <row r="221" spans="1:20" ht="15.6" x14ac:dyDescent="0.3">
      <c r="A221" s="166"/>
      <c r="B221" s="113" t="s">
        <v>61</v>
      </c>
      <c r="C221" s="167"/>
      <c r="D221" s="148"/>
      <c r="E221" s="148"/>
      <c r="F221" s="148"/>
      <c r="G221" s="148"/>
      <c r="H221" s="148"/>
      <c r="I221" s="148"/>
      <c r="J221" s="148"/>
      <c r="K221" s="148"/>
      <c r="L221" s="148"/>
      <c r="M221" s="148"/>
      <c r="N221" s="148"/>
      <c r="O221" s="148"/>
      <c r="P221" s="209">
        <v>19.399999999999999</v>
      </c>
      <c r="Q221" s="113" t="s">
        <v>90</v>
      </c>
      <c r="R221" s="113"/>
      <c r="S221" s="116"/>
      <c r="T221" s="2"/>
    </row>
    <row r="222" spans="1:20" ht="15.6" x14ac:dyDescent="0.3">
      <c r="A222" s="166"/>
      <c r="B222" s="113" t="s">
        <v>62</v>
      </c>
      <c r="C222" s="167"/>
      <c r="D222" s="148"/>
      <c r="E222" s="148"/>
      <c r="F222" s="148"/>
      <c r="G222" s="148"/>
      <c r="H222" s="148"/>
      <c r="I222" s="148"/>
      <c r="J222" s="148"/>
      <c r="K222" s="148"/>
      <c r="L222" s="148"/>
      <c r="M222" s="148"/>
      <c r="N222" s="148"/>
      <c r="O222" s="148"/>
      <c r="P222" s="142">
        <f>(+J64+L64)/(H64+H77)</f>
        <v>8.5384730461224703E-2</v>
      </c>
      <c r="Q222" s="113"/>
      <c r="R222" s="113"/>
      <c r="S222" s="116"/>
      <c r="T222" s="2"/>
    </row>
    <row r="223" spans="1:20" ht="15.6" x14ac:dyDescent="0.3">
      <c r="A223" s="166"/>
      <c r="B223" s="113" t="s">
        <v>63</v>
      </c>
      <c r="C223" s="167"/>
      <c r="D223" s="148"/>
      <c r="E223" s="148"/>
      <c r="F223" s="148"/>
      <c r="G223" s="148"/>
      <c r="H223" s="148"/>
      <c r="I223" s="148"/>
      <c r="J223" s="148"/>
      <c r="K223" s="148"/>
      <c r="L223" s="148"/>
      <c r="M223" s="148"/>
      <c r="N223" s="148"/>
      <c r="O223" s="148"/>
      <c r="P223" s="210">
        <v>8.8900000000000007E-2</v>
      </c>
      <c r="Q223" s="113"/>
      <c r="R223" s="113"/>
      <c r="S223" s="116"/>
      <c r="T223" s="2"/>
    </row>
    <row r="224" spans="1:20" ht="15.6" x14ac:dyDescent="0.3">
      <c r="A224" s="48"/>
      <c r="B224" s="164"/>
      <c r="C224" s="164"/>
      <c r="D224" s="43"/>
      <c r="E224" s="43"/>
      <c r="F224" s="43"/>
      <c r="G224" s="43"/>
      <c r="H224" s="43"/>
      <c r="I224" s="43"/>
      <c r="J224" s="43"/>
      <c r="K224" s="43"/>
      <c r="L224" s="43"/>
      <c r="M224" s="43"/>
      <c r="N224" s="43"/>
      <c r="O224" s="43"/>
      <c r="P224" s="162"/>
      <c r="Q224" s="43"/>
      <c r="R224" s="165"/>
      <c r="S224" s="217"/>
      <c r="T224" s="2"/>
    </row>
    <row r="225" spans="1:20" ht="15.6" x14ac:dyDescent="0.3">
      <c r="A225" s="71"/>
      <c r="B225" s="61" t="s">
        <v>64</v>
      </c>
      <c r="C225" s="62"/>
      <c r="D225" s="62"/>
      <c r="E225" s="62"/>
      <c r="F225" s="62"/>
      <c r="G225" s="62"/>
      <c r="H225" s="62"/>
      <c r="I225" s="62"/>
      <c r="J225" s="62"/>
      <c r="K225" s="62"/>
      <c r="L225" s="62"/>
      <c r="M225" s="62"/>
      <c r="N225" s="62"/>
      <c r="O225" s="62" t="s">
        <v>83</v>
      </c>
      <c r="P225" s="72" t="s">
        <v>88</v>
      </c>
      <c r="Q225" s="54"/>
      <c r="R225" s="54"/>
      <c r="S225" s="219"/>
      <c r="T225" s="2"/>
    </row>
    <row r="226" spans="1:20" ht="15.6" x14ac:dyDescent="0.3">
      <c r="A226" s="52"/>
      <c r="B226" s="79" t="s">
        <v>65</v>
      </c>
      <c r="C226" s="78"/>
      <c r="D226" s="95"/>
      <c r="E226" s="95"/>
      <c r="F226" s="95"/>
      <c r="G226" s="95"/>
      <c r="H226" s="95"/>
      <c r="I226" s="95"/>
      <c r="J226" s="95"/>
      <c r="K226" s="95"/>
      <c r="L226" s="95"/>
      <c r="M226" s="95"/>
      <c r="N226" s="95"/>
      <c r="O226" s="95">
        <v>0</v>
      </c>
      <c r="P226" s="96">
        <v>0</v>
      </c>
      <c r="Q226" s="79"/>
      <c r="R226" s="94"/>
      <c r="S226" s="225"/>
      <c r="T226" s="2"/>
    </row>
    <row r="227" spans="1:20" ht="15.6" x14ac:dyDescent="0.3">
      <c r="A227" s="172"/>
      <c r="B227" s="113" t="s">
        <v>113</v>
      </c>
      <c r="C227" s="155"/>
      <c r="D227" s="123"/>
      <c r="E227" s="123"/>
      <c r="F227" s="123"/>
      <c r="G227" s="123"/>
      <c r="H227" s="123"/>
      <c r="I227" s="123"/>
      <c r="J227" s="123"/>
      <c r="K227" s="123"/>
      <c r="L227" s="123"/>
      <c r="M227" s="123"/>
      <c r="N227" s="123"/>
      <c r="O227" s="173">
        <f>+N279</f>
        <v>0</v>
      </c>
      <c r="P227" s="174">
        <f>+P279</f>
        <v>0</v>
      </c>
      <c r="Q227" s="113"/>
      <c r="R227" s="175"/>
      <c r="S227" s="176"/>
      <c r="T227" s="2"/>
    </row>
    <row r="228" spans="1:20" ht="15.6" x14ac:dyDescent="0.3">
      <c r="A228" s="172"/>
      <c r="B228" s="113" t="s">
        <v>66</v>
      </c>
      <c r="C228" s="155"/>
      <c r="D228" s="123"/>
      <c r="E228" s="123"/>
      <c r="F228" s="123"/>
      <c r="G228" s="123"/>
      <c r="H228" s="123"/>
      <c r="I228" s="123"/>
      <c r="J228" s="123"/>
      <c r="K228" s="123"/>
      <c r="L228" s="123"/>
      <c r="M228" s="123"/>
      <c r="N228" s="123"/>
      <c r="O228" s="173">
        <f>+N291</f>
        <v>0</v>
      </c>
      <c r="P228" s="174">
        <f>+P291</f>
        <v>0</v>
      </c>
      <c r="Q228" s="113"/>
      <c r="R228" s="175"/>
      <c r="S228" s="176"/>
      <c r="T228" s="2"/>
    </row>
    <row r="229" spans="1:20" ht="15.6" x14ac:dyDescent="0.3">
      <c r="A229" s="172"/>
      <c r="B229" s="134" t="s">
        <v>277</v>
      </c>
      <c r="C229" s="177"/>
      <c r="D229" s="135"/>
      <c r="E229" s="135"/>
      <c r="F229" s="135"/>
      <c r="G229" s="135"/>
      <c r="H229" s="135"/>
      <c r="I229" s="135"/>
      <c r="J229" s="135"/>
      <c r="K229" s="135"/>
      <c r="L229" s="135"/>
      <c r="M229" s="135"/>
      <c r="N229" s="135"/>
      <c r="O229" s="113"/>
      <c r="P229" s="174">
        <v>0</v>
      </c>
      <c r="Q229" s="135"/>
      <c r="R229" s="178"/>
      <c r="S229" s="176"/>
      <c r="T229" s="2"/>
    </row>
    <row r="230" spans="1:20" ht="15.6" x14ac:dyDescent="0.3">
      <c r="A230" s="172"/>
      <c r="B230" s="134" t="s">
        <v>140</v>
      </c>
      <c r="C230" s="177"/>
      <c r="D230" s="135"/>
      <c r="E230" s="135"/>
      <c r="F230" s="135"/>
      <c r="G230" s="135"/>
      <c r="H230" s="135"/>
      <c r="I230" s="135"/>
      <c r="J230" s="135"/>
      <c r="K230" s="135"/>
      <c r="L230" s="135"/>
      <c r="M230" s="135"/>
      <c r="N230" s="135"/>
      <c r="O230" s="113"/>
      <c r="P230" s="174">
        <f>-J77</f>
        <v>0</v>
      </c>
      <c r="Q230" s="135"/>
      <c r="R230" s="178"/>
      <c r="S230" s="176"/>
      <c r="T230" s="2"/>
    </row>
    <row r="231" spans="1:20" ht="15.6" x14ac:dyDescent="0.3">
      <c r="A231" s="179"/>
      <c r="B231" s="134" t="s">
        <v>67</v>
      </c>
      <c r="C231" s="180"/>
      <c r="D231" s="135"/>
      <c r="E231" s="135"/>
      <c r="F231" s="135"/>
      <c r="G231" s="135"/>
      <c r="H231" s="135"/>
      <c r="I231" s="135"/>
      <c r="J231" s="135"/>
      <c r="K231" s="135"/>
      <c r="L231" s="135"/>
      <c r="M231" s="135"/>
      <c r="N231" s="135"/>
      <c r="O231" s="113"/>
      <c r="P231" s="174"/>
      <c r="Q231" s="135"/>
      <c r="R231" s="178"/>
      <c r="S231" s="181"/>
      <c r="T231" s="2"/>
    </row>
    <row r="232" spans="1:20" ht="15.6" x14ac:dyDescent="0.3">
      <c r="A232" s="179"/>
      <c r="B232" s="118" t="s">
        <v>68</v>
      </c>
      <c r="C232" s="180"/>
      <c r="D232" s="135"/>
      <c r="E232" s="135"/>
      <c r="F232" s="135"/>
      <c r="G232" s="135"/>
      <c r="H232" s="135"/>
      <c r="I232" s="135"/>
      <c r="J232" s="135"/>
      <c r="K232" s="135"/>
      <c r="L232" s="135"/>
      <c r="M232" s="135"/>
      <c r="N232" s="135"/>
      <c r="O232" s="123"/>
      <c r="P232" s="174">
        <f>R162</f>
        <v>0</v>
      </c>
      <c r="Q232" s="135"/>
      <c r="R232" s="178"/>
      <c r="S232" s="181"/>
      <c r="T232" s="2"/>
    </row>
    <row r="233" spans="1:20" ht="15.6" x14ac:dyDescent="0.3">
      <c r="A233" s="172"/>
      <c r="B233" s="113" t="s">
        <v>69</v>
      </c>
      <c r="C233" s="177"/>
      <c r="D233" s="135"/>
      <c r="E233" s="135"/>
      <c r="F233" s="135"/>
      <c r="G233" s="135"/>
      <c r="H233" s="135"/>
      <c r="I233" s="135"/>
      <c r="J233" s="135"/>
      <c r="K233" s="135"/>
      <c r="L233" s="135"/>
      <c r="M233" s="135"/>
      <c r="N233" s="135"/>
      <c r="O233" s="123"/>
      <c r="P233" s="174">
        <f>'March 17'!P233+P232</f>
        <v>0</v>
      </c>
      <c r="Q233" s="135"/>
      <c r="R233" s="178"/>
      <c r="S233" s="181"/>
      <c r="T233" s="2"/>
    </row>
    <row r="234" spans="1:20" ht="15.6" x14ac:dyDescent="0.3">
      <c r="A234" s="179"/>
      <c r="B234" s="134" t="s">
        <v>151</v>
      </c>
      <c r="C234" s="180"/>
      <c r="D234" s="135"/>
      <c r="E234" s="135"/>
      <c r="F234" s="135"/>
      <c r="G234" s="135"/>
      <c r="H234" s="135"/>
      <c r="I234" s="135"/>
      <c r="J234" s="135"/>
      <c r="K234" s="135"/>
      <c r="L234" s="135"/>
      <c r="M234" s="135"/>
      <c r="N234" s="135"/>
      <c r="O234" s="123"/>
      <c r="P234" s="174"/>
      <c r="Q234" s="135"/>
      <c r="R234" s="178"/>
      <c r="S234" s="181"/>
      <c r="T234" s="2"/>
    </row>
    <row r="235" spans="1:20" ht="15.6" x14ac:dyDescent="0.3">
      <c r="A235" s="179"/>
      <c r="B235" s="113" t="s">
        <v>160</v>
      </c>
      <c r="C235" s="180"/>
      <c r="D235" s="135"/>
      <c r="E235" s="135"/>
      <c r="F235" s="135"/>
      <c r="G235" s="135"/>
      <c r="H235" s="135"/>
      <c r="I235" s="135"/>
      <c r="J235" s="135"/>
      <c r="K235" s="135"/>
      <c r="L235" s="135"/>
      <c r="M235" s="135"/>
      <c r="N235" s="135"/>
      <c r="O235" s="123">
        <v>0</v>
      </c>
      <c r="P235" s="174">
        <v>0</v>
      </c>
      <c r="Q235" s="135"/>
      <c r="R235" s="178"/>
      <c r="S235" s="181"/>
      <c r="T235" s="2"/>
    </row>
    <row r="236" spans="1:20" ht="15.6" x14ac:dyDescent="0.3">
      <c r="A236" s="172"/>
      <c r="B236" s="113" t="s">
        <v>70</v>
      </c>
      <c r="C236" s="182"/>
      <c r="D236" s="135"/>
      <c r="E236" s="135"/>
      <c r="F236" s="135"/>
      <c r="G236" s="135"/>
      <c r="H236" s="135"/>
      <c r="I236" s="135"/>
      <c r="J236" s="135"/>
      <c r="K236" s="135"/>
      <c r="L236" s="135"/>
      <c r="M236" s="135"/>
      <c r="N236" s="135"/>
      <c r="O236" s="113"/>
      <c r="P236" s="183">
        <v>0</v>
      </c>
      <c r="Q236" s="135"/>
      <c r="R236" s="178"/>
      <c r="S236" s="181"/>
      <c r="T236" s="2"/>
    </row>
    <row r="237" spans="1:20" ht="15.6" x14ac:dyDescent="0.3">
      <c r="A237" s="172"/>
      <c r="B237" s="113" t="s">
        <v>71</v>
      </c>
      <c r="C237" s="182"/>
      <c r="D237" s="135"/>
      <c r="E237" s="135"/>
      <c r="F237" s="135"/>
      <c r="G237" s="135"/>
      <c r="H237" s="135"/>
      <c r="I237" s="135"/>
      <c r="J237" s="135"/>
      <c r="K237" s="135"/>
      <c r="L237" s="135"/>
      <c r="M237" s="135"/>
      <c r="N237" s="135"/>
      <c r="O237" s="113"/>
      <c r="P237" s="183">
        <v>0</v>
      </c>
      <c r="Q237" s="135"/>
      <c r="R237" s="178"/>
      <c r="S237" s="181"/>
      <c r="T237" s="2"/>
    </row>
    <row r="238" spans="1:20" ht="15.6" x14ac:dyDescent="0.3">
      <c r="A238" s="172"/>
      <c r="B238" s="134" t="s">
        <v>136</v>
      </c>
      <c r="C238" s="182"/>
      <c r="D238" s="135"/>
      <c r="E238" s="135"/>
      <c r="F238" s="135"/>
      <c r="G238" s="135"/>
      <c r="H238" s="135"/>
      <c r="I238" s="135"/>
      <c r="J238" s="135"/>
      <c r="K238" s="135"/>
      <c r="L238" s="135"/>
      <c r="M238" s="135"/>
      <c r="N238" s="135"/>
      <c r="O238" s="113"/>
      <c r="P238" s="184"/>
      <c r="Q238" s="135"/>
      <c r="R238" s="178"/>
      <c r="S238" s="181"/>
      <c r="T238" s="2"/>
    </row>
    <row r="239" spans="1:20" ht="15.6" x14ac:dyDescent="0.3">
      <c r="A239" s="172"/>
      <c r="B239" s="113" t="s">
        <v>160</v>
      </c>
      <c r="C239" s="182"/>
      <c r="D239" s="135"/>
      <c r="E239" s="135"/>
      <c r="F239" s="135"/>
      <c r="G239" s="135"/>
      <c r="H239" s="135"/>
      <c r="I239" s="135"/>
      <c r="J239" s="135"/>
      <c r="K239" s="135"/>
      <c r="L239" s="135"/>
      <c r="M239" s="135"/>
      <c r="N239" s="135"/>
      <c r="O239" s="123">
        <v>0</v>
      </c>
      <c r="P239" s="174">
        <v>0</v>
      </c>
      <c r="Q239" s="135"/>
      <c r="R239" s="178"/>
      <c r="S239" s="181"/>
      <c r="T239" s="2"/>
    </row>
    <row r="240" spans="1:20" ht="15.6" x14ac:dyDescent="0.3">
      <c r="A240" s="172"/>
      <c r="B240" s="113" t="s">
        <v>137</v>
      </c>
      <c r="C240" s="182"/>
      <c r="D240" s="135"/>
      <c r="E240" s="135"/>
      <c r="F240" s="135"/>
      <c r="G240" s="135"/>
      <c r="H240" s="135"/>
      <c r="I240" s="135"/>
      <c r="J240" s="135"/>
      <c r="K240" s="135"/>
      <c r="L240" s="135"/>
      <c r="M240" s="135"/>
      <c r="N240" s="135"/>
      <c r="O240" s="113"/>
      <c r="P240" s="183">
        <v>0</v>
      </c>
      <c r="Q240" s="135"/>
      <c r="R240" s="178"/>
      <c r="S240" s="181"/>
      <c r="T240" s="2"/>
    </row>
    <row r="241" spans="1:20" ht="15.6" x14ac:dyDescent="0.3">
      <c r="A241" s="172"/>
      <c r="B241" s="180"/>
      <c r="C241" s="182"/>
      <c r="D241" s="135"/>
      <c r="E241" s="135"/>
      <c r="F241" s="135"/>
      <c r="G241" s="135"/>
      <c r="H241" s="135"/>
      <c r="I241" s="135"/>
      <c r="J241" s="135"/>
      <c r="K241" s="135"/>
      <c r="L241" s="135"/>
      <c r="M241" s="135"/>
      <c r="N241" s="135"/>
      <c r="O241" s="113"/>
      <c r="P241" s="184"/>
      <c r="Q241" s="135"/>
      <c r="R241" s="178"/>
      <c r="S241" s="181"/>
      <c r="T241" s="2"/>
    </row>
    <row r="242" spans="1:20" ht="15.6" x14ac:dyDescent="0.3">
      <c r="A242" s="172"/>
      <c r="B242" s="180"/>
      <c r="C242" s="182"/>
      <c r="D242" s="135"/>
      <c r="E242" s="135"/>
      <c r="F242" s="135"/>
      <c r="G242" s="135"/>
      <c r="H242" s="135"/>
      <c r="I242" s="135"/>
      <c r="J242" s="135"/>
      <c r="K242" s="135"/>
      <c r="L242" s="135"/>
      <c r="M242" s="135"/>
      <c r="N242" s="135"/>
      <c r="O242" s="135"/>
      <c r="P242" s="185"/>
      <c r="Q242" s="135"/>
      <c r="R242" s="178"/>
      <c r="S242" s="181"/>
      <c r="T242" s="2"/>
    </row>
    <row r="243" spans="1:20" ht="17.399999999999999" x14ac:dyDescent="0.3">
      <c r="A243" s="172"/>
      <c r="B243" s="186" t="s">
        <v>129</v>
      </c>
      <c r="C243" s="182"/>
      <c r="D243" s="135"/>
      <c r="E243" s="135"/>
      <c r="F243" s="135"/>
      <c r="G243" s="135"/>
      <c r="H243" s="135"/>
      <c r="I243" s="135"/>
      <c r="J243" s="135"/>
      <c r="K243" s="135"/>
      <c r="L243" s="187"/>
      <c r="M243" s="135"/>
      <c r="N243" s="187" t="s">
        <v>128</v>
      </c>
      <c r="O243" s="187"/>
      <c r="P243" s="185"/>
      <c r="Q243" s="135"/>
      <c r="R243" s="178"/>
      <c r="S243" s="181"/>
      <c r="T243" s="2"/>
    </row>
    <row r="244" spans="1:20" ht="17.399999999999999" x14ac:dyDescent="0.3">
      <c r="A244" s="169"/>
      <c r="B244" s="199"/>
      <c r="C244" s="170"/>
      <c r="D244" s="43"/>
      <c r="E244" s="43"/>
      <c r="F244" s="43"/>
      <c r="G244" s="43"/>
      <c r="H244" s="43"/>
      <c r="I244" s="43"/>
      <c r="J244" s="43"/>
      <c r="K244" s="43"/>
      <c r="L244" s="200"/>
      <c r="M244" s="43"/>
      <c r="N244" s="43"/>
      <c r="O244" s="43"/>
      <c r="P244" s="171"/>
      <c r="Q244" s="43"/>
      <c r="R244" s="165"/>
      <c r="S244" s="226"/>
      <c r="T244" s="2"/>
    </row>
    <row r="245" spans="1:20" ht="15.6" x14ac:dyDescent="0.3">
      <c r="A245" s="53"/>
      <c r="B245" s="61" t="s">
        <v>152</v>
      </c>
      <c r="C245" s="62"/>
      <c r="D245" s="62"/>
      <c r="E245" s="62"/>
      <c r="F245" s="62"/>
      <c r="G245" s="62"/>
      <c r="H245" s="62"/>
      <c r="I245" s="62"/>
      <c r="J245" s="62"/>
      <c r="K245" s="62"/>
      <c r="L245" s="62"/>
      <c r="M245" s="62"/>
      <c r="N245" s="72" t="s">
        <v>83</v>
      </c>
      <c r="O245" s="62" t="s">
        <v>84</v>
      </c>
      <c r="P245" s="72" t="s">
        <v>89</v>
      </c>
      <c r="Q245" s="62" t="s">
        <v>84</v>
      </c>
      <c r="R245" s="54"/>
      <c r="S245" s="227"/>
      <c r="T245" s="2"/>
    </row>
    <row r="246" spans="1:20" ht="15.6" x14ac:dyDescent="0.3">
      <c r="A246" s="24"/>
      <c r="B246" s="78" t="s">
        <v>72</v>
      </c>
      <c r="C246" s="93"/>
      <c r="D246" s="93"/>
      <c r="E246" s="93"/>
      <c r="F246" s="93"/>
      <c r="G246" s="93"/>
      <c r="H246" s="93"/>
      <c r="I246" s="93"/>
      <c r="J246" s="93"/>
      <c r="K246" s="93"/>
      <c r="L246" s="93"/>
      <c r="M246" s="93"/>
      <c r="N246" s="78">
        <f>+N258+N270+N282</f>
        <v>1801</v>
      </c>
      <c r="O246" s="81">
        <f>N246/$N$255</f>
        <v>1</v>
      </c>
      <c r="P246" s="82">
        <f>+P258+P270+P282</f>
        <v>299807</v>
      </c>
      <c r="Q246" s="81">
        <f t="shared" ref="Q246:Q253" si="5">P246/$P$255</f>
        <v>1</v>
      </c>
      <c r="R246" s="94"/>
      <c r="S246" s="228"/>
      <c r="T246" s="2"/>
    </row>
    <row r="247" spans="1:20" ht="15.6" x14ac:dyDescent="0.3">
      <c r="A247" s="112"/>
      <c r="B247" s="155" t="s">
        <v>73</v>
      </c>
      <c r="C247" s="191"/>
      <c r="D247" s="191"/>
      <c r="E247" s="191"/>
      <c r="F247" s="191"/>
      <c r="G247" s="191"/>
      <c r="H247" s="191"/>
      <c r="I247" s="191"/>
      <c r="J247" s="191"/>
      <c r="K247" s="191"/>
      <c r="L247" s="191"/>
      <c r="M247" s="191"/>
      <c r="N247" s="242">
        <f t="shared" ref="N247:N252" si="6">+N259+N271+N283</f>
        <v>0</v>
      </c>
      <c r="O247" s="244">
        <f t="shared" ref="O247:O253" si="7">N247/$N$255</f>
        <v>0</v>
      </c>
      <c r="P247" s="243">
        <f t="shared" ref="P247:P253" si="8">+P259+P271+P283</f>
        <v>0</v>
      </c>
      <c r="Q247" s="192">
        <f t="shared" si="5"/>
        <v>0</v>
      </c>
      <c r="R247" s="175"/>
      <c r="S247" s="193"/>
      <c r="T247" s="2"/>
    </row>
    <row r="248" spans="1:20" ht="15.6" x14ac:dyDescent="0.3">
      <c r="A248" s="112"/>
      <c r="B248" s="155" t="s">
        <v>74</v>
      </c>
      <c r="C248" s="191"/>
      <c r="D248" s="191"/>
      <c r="E248" s="191"/>
      <c r="F248" s="191"/>
      <c r="G248" s="191"/>
      <c r="H248" s="191"/>
      <c r="I248" s="191"/>
      <c r="J248" s="191"/>
      <c r="K248" s="191"/>
      <c r="L248" s="191"/>
      <c r="M248" s="191"/>
      <c r="N248" s="248">
        <f t="shared" si="6"/>
        <v>0</v>
      </c>
      <c r="O248" s="249">
        <f t="shared" si="7"/>
        <v>0</v>
      </c>
      <c r="P248" s="233">
        <f t="shared" si="8"/>
        <v>0</v>
      </c>
      <c r="Q248" s="192">
        <f t="shared" si="5"/>
        <v>0</v>
      </c>
      <c r="R248" s="175"/>
      <c r="S248" s="193"/>
      <c r="T248" s="2"/>
    </row>
    <row r="249" spans="1:20" ht="15.6" x14ac:dyDescent="0.3">
      <c r="A249" s="112"/>
      <c r="B249" s="155" t="s">
        <v>119</v>
      </c>
      <c r="C249" s="191"/>
      <c r="D249" s="191"/>
      <c r="E249" s="191"/>
      <c r="F249" s="191"/>
      <c r="G249" s="191"/>
      <c r="H249" s="191"/>
      <c r="I249" s="191"/>
      <c r="J249" s="191"/>
      <c r="K249" s="191"/>
      <c r="L249" s="191"/>
      <c r="M249" s="191"/>
      <c r="N249" s="248">
        <f t="shared" si="6"/>
        <v>0</v>
      </c>
      <c r="O249" s="249">
        <f t="shared" si="7"/>
        <v>0</v>
      </c>
      <c r="P249" s="233">
        <f t="shared" si="8"/>
        <v>0</v>
      </c>
      <c r="Q249" s="192">
        <f t="shared" si="5"/>
        <v>0</v>
      </c>
      <c r="R249" s="175"/>
      <c r="S249" s="193"/>
      <c r="T249" s="2"/>
    </row>
    <row r="250" spans="1:20" ht="15.6" x14ac:dyDescent="0.3">
      <c r="A250" s="112"/>
      <c r="B250" s="155" t="s">
        <v>120</v>
      </c>
      <c r="C250" s="191"/>
      <c r="D250" s="191"/>
      <c r="E250" s="191"/>
      <c r="F250" s="191"/>
      <c r="G250" s="191"/>
      <c r="H250" s="191"/>
      <c r="I250" s="191"/>
      <c r="J250" s="191"/>
      <c r="K250" s="191"/>
      <c r="L250" s="191"/>
      <c r="M250" s="191"/>
      <c r="N250" s="248">
        <f t="shared" si="6"/>
        <v>0</v>
      </c>
      <c r="O250" s="249">
        <f t="shared" si="7"/>
        <v>0</v>
      </c>
      <c r="P250" s="233">
        <f t="shared" si="8"/>
        <v>0</v>
      </c>
      <c r="Q250" s="192">
        <f t="shared" si="5"/>
        <v>0</v>
      </c>
      <c r="R250" s="175"/>
      <c r="S250" s="193"/>
      <c r="T250" s="2"/>
    </row>
    <row r="251" spans="1:20" ht="15.6" x14ac:dyDescent="0.3">
      <c r="A251" s="112"/>
      <c r="B251" s="155" t="s">
        <v>121</v>
      </c>
      <c r="C251" s="191"/>
      <c r="D251" s="191"/>
      <c r="E251" s="191"/>
      <c r="F251" s="191"/>
      <c r="G251" s="191"/>
      <c r="H251" s="191"/>
      <c r="I251" s="191"/>
      <c r="J251" s="191"/>
      <c r="K251" s="191"/>
      <c r="L251" s="191"/>
      <c r="M251" s="191"/>
      <c r="N251" s="248">
        <f t="shared" si="6"/>
        <v>0</v>
      </c>
      <c r="O251" s="249">
        <f t="shared" si="7"/>
        <v>0</v>
      </c>
      <c r="P251" s="233">
        <f t="shared" si="8"/>
        <v>0</v>
      </c>
      <c r="Q251" s="192">
        <f t="shared" si="5"/>
        <v>0</v>
      </c>
      <c r="R251" s="175"/>
      <c r="S251" s="193"/>
      <c r="T251" s="2"/>
    </row>
    <row r="252" spans="1:20" ht="15.6" x14ac:dyDescent="0.3">
      <c r="A252" s="112"/>
      <c r="B252" s="155" t="s">
        <v>122</v>
      </c>
      <c r="C252" s="191"/>
      <c r="D252" s="191"/>
      <c r="E252" s="191"/>
      <c r="F252" s="191"/>
      <c r="G252" s="191"/>
      <c r="H252" s="191"/>
      <c r="I252" s="191"/>
      <c r="J252" s="191"/>
      <c r="K252" s="191"/>
      <c r="L252" s="191"/>
      <c r="M252" s="191"/>
      <c r="N252" s="245">
        <f t="shared" si="6"/>
        <v>0</v>
      </c>
      <c r="O252" s="246">
        <f t="shared" si="7"/>
        <v>0</v>
      </c>
      <c r="P252" s="247">
        <f t="shared" si="8"/>
        <v>0</v>
      </c>
      <c r="Q252" s="192">
        <f t="shared" si="5"/>
        <v>0</v>
      </c>
      <c r="R252" s="175"/>
      <c r="S252" s="193"/>
      <c r="T252" s="2"/>
    </row>
    <row r="253" spans="1:20" ht="15.6" x14ac:dyDescent="0.3">
      <c r="A253" s="112"/>
      <c r="B253" s="155" t="s">
        <v>123</v>
      </c>
      <c r="C253" s="191"/>
      <c r="D253" s="191"/>
      <c r="E253" s="191"/>
      <c r="F253" s="191"/>
      <c r="G253" s="191"/>
      <c r="H253" s="191"/>
      <c r="I253" s="191"/>
      <c r="J253" s="191"/>
      <c r="K253" s="191"/>
      <c r="L253" s="191"/>
      <c r="M253" s="191"/>
      <c r="N253" s="241">
        <f>+N265+N277+N289</f>
        <v>0</v>
      </c>
      <c r="O253" s="192">
        <f t="shared" si="7"/>
        <v>0</v>
      </c>
      <c r="P253" s="195">
        <f t="shared" si="8"/>
        <v>0</v>
      </c>
      <c r="Q253" s="192">
        <f t="shared" si="5"/>
        <v>0</v>
      </c>
      <c r="R253" s="175"/>
      <c r="S253" s="193"/>
      <c r="T253" s="2"/>
    </row>
    <row r="254" spans="1:20" ht="15.6" x14ac:dyDescent="0.3">
      <c r="A254" s="112"/>
      <c r="B254" s="155"/>
      <c r="C254" s="191"/>
      <c r="D254" s="191"/>
      <c r="E254" s="191"/>
      <c r="F254" s="191"/>
      <c r="G254" s="191"/>
      <c r="H254" s="191"/>
      <c r="I254" s="191"/>
      <c r="J254" s="191"/>
      <c r="K254" s="191"/>
      <c r="L254" s="191"/>
      <c r="M254" s="191"/>
      <c r="N254" s="155"/>
      <c r="O254" s="192"/>
      <c r="P254" s="156"/>
      <c r="Q254" s="192"/>
      <c r="R254" s="175"/>
      <c r="S254" s="193"/>
      <c r="T254" s="2"/>
    </row>
    <row r="255" spans="1:20" ht="15.6" x14ac:dyDescent="0.3">
      <c r="A255" s="112"/>
      <c r="B255" s="113" t="s">
        <v>94</v>
      </c>
      <c r="C255" s="113"/>
      <c r="D255" s="194"/>
      <c r="E255" s="194"/>
      <c r="F255" s="194"/>
      <c r="G255" s="194"/>
      <c r="H255" s="194"/>
      <c r="I255" s="194"/>
      <c r="J255" s="194"/>
      <c r="K255" s="194"/>
      <c r="L255" s="194"/>
      <c r="M255" s="194"/>
      <c r="N255" s="155">
        <f>SUM(N246:N254)</f>
        <v>1801</v>
      </c>
      <c r="O255" s="192">
        <f>SUM(O246:O254)</f>
        <v>1</v>
      </c>
      <c r="P255" s="156">
        <f>SUM(P246:P254)</f>
        <v>299807</v>
      </c>
      <c r="Q255" s="192">
        <f>SUM(Q246:Q254)</f>
        <v>1</v>
      </c>
      <c r="R255" s="113"/>
      <c r="S255" s="116"/>
      <c r="T255" s="2"/>
    </row>
    <row r="256" spans="1:20" ht="15.6" x14ac:dyDescent="0.3">
      <c r="A256" s="12"/>
      <c r="B256" s="164"/>
      <c r="C256" s="170"/>
      <c r="D256" s="43"/>
      <c r="E256" s="43"/>
      <c r="F256" s="43"/>
      <c r="G256" s="43"/>
      <c r="H256" s="43"/>
      <c r="I256" s="43"/>
      <c r="J256" s="43"/>
      <c r="K256" s="43"/>
      <c r="L256" s="43"/>
      <c r="M256" s="43"/>
      <c r="N256" s="43"/>
      <c r="O256" s="43"/>
      <c r="P256" s="171"/>
      <c r="Q256" s="43"/>
      <c r="R256" s="43"/>
      <c r="S256" s="217"/>
      <c r="T256" s="2"/>
    </row>
    <row r="257" spans="1:21" ht="15.6" x14ac:dyDescent="0.3">
      <c r="A257" s="53"/>
      <c r="B257" s="61" t="s">
        <v>124</v>
      </c>
      <c r="C257" s="62"/>
      <c r="D257" s="62"/>
      <c r="E257" s="62"/>
      <c r="F257" s="62"/>
      <c r="G257" s="62"/>
      <c r="H257" s="62"/>
      <c r="I257" s="62"/>
      <c r="J257" s="62"/>
      <c r="K257" s="62"/>
      <c r="L257" s="62"/>
      <c r="M257" s="62"/>
      <c r="N257" s="72" t="s">
        <v>83</v>
      </c>
      <c r="O257" s="62" t="s">
        <v>84</v>
      </c>
      <c r="P257" s="72" t="s">
        <v>89</v>
      </c>
      <c r="Q257" s="62" t="s">
        <v>84</v>
      </c>
      <c r="R257" s="54"/>
      <c r="S257" s="227"/>
      <c r="T257" s="2"/>
    </row>
    <row r="258" spans="1:21" ht="15.6" x14ac:dyDescent="0.3">
      <c r="A258" s="24"/>
      <c r="B258" s="78" t="s">
        <v>72</v>
      </c>
      <c r="C258" s="93"/>
      <c r="D258" s="93"/>
      <c r="E258" s="93"/>
      <c r="F258" s="93"/>
      <c r="G258" s="93"/>
      <c r="H258" s="93"/>
      <c r="I258" s="93"/>
      <c r="J258" s="93"/>
      <c r="K258" s="93"/>
      <c r="L258" s="93"/>
      <c r="M258" s="93"/>
      <c r="N258" s="78">
        <v>1801</v>
      </c>
      <c r="O258" s="81">
        <f>N258/$N$267</f>
        <v>1</v>
      </c>
      <c r="P258" s="82">
        <v>299807</v>
      </c>
      <c r="Q258" s="81">
        <f>P258/$P$267</f>
        <v>1</v>
      </c>
      <c r="R258" s="94"/>
      <c r="S258" s="228"/>
      <c r="T258" s="2"/>
    </row>
    <row r="259" spans="1:21" ht="15.6" x14ac:dyDescent="0.3">
      <c r="A259" s="112"/>
      <c r="B259" s="155" t="s">
        <v>73</v>
      </c>
      <c r="C259" s="191"/>
      <c r="D259" s="191"/>
      <c r="E259" s="191"/>
      <c r="F259" s="191"/>
      <c r="G259" s="191"/>
      <c r="H259" s="191"/>
      <c r="I259" s="191"/>
      <c r="J259" s="191"/>
      <c r="K259" s="191"/>
      <c r="L259" s="191"/>
      <c r="M259" s="191"/>
      <c r="N259" s="155">
        <v>0</v>
      </c>
      <c r="O259" s="192">
        <f t="shared" ref="O259:O265" si="9">N259/$N$267</f>
        <v>0</v>
      </c>
      <c r="P259" s="156">
        <v>0</v>
      </c>
      <c r="Q259" s="192">
        <f t="shared" ref="Q259:Q265" si="10">P259/$P$267</f>
        <v>0</v>
      </c>
      <c r="R259" s="175"/>
      <c r="S259" s="193"/>
      <c r="T259" s="2"/>
      <c r="U259" s="4"/>
    </row>
    <row r="260" spans="1:21" ht="15.6" x14ac:dyDescent="0.3">
      <c r="A260" s="112"/>
      <c r="B260" s="155" t="s">
        <v>74</v>
      </c>
      <c r="C260" s="191"/>
      <c r="D260" s="191"/>
      <c r="E260" s="191"/>
      <c r="F260" s="191"/>
      <c r="G260" s="191"/>
      <c r="H260" s="191"/>
      <c r="I260" s="191"/>
      <c r="J260" s="191"/>
      <c r="K260" s="191"/>
      <c r="L260" s="191"/>
      <c r="M260" s="191"/>
      <c r="N260" s="155">
        <v>0</v>
      </c>
      <c r="O260" s="192">
        <f t="shared" si="9"/>
        <v>0</v>
      </c>
      <c r="P260" s="156">
        <v>0</v>
      </c>
      <c r="Q260" s="192">
        <f t="shared" si="10"/>
        <v>0</v>
      </c>
      <c r="R260" s="175"/>
      <c r="S260" s="193"/>
      <c r="T260" s="2"/>
    </row>
    <row r="261" spans="1:21" ht="15.6" x14ac:dyDescent="0.3">
      <c r="A261" s="112"/>
      <c r="B261" s="155" t="s">
        <v>119</v>
      </c>
      <c r="C261" s="191"/>
      <c r="D261" s="191"/>
      <c r="E261" s="191"/>
      <c r="F261" s="191"/>
      <c r="G261" s="191"/>
      <c r="H261" s="191"/>
      <c r="I261" s="191"/>
      <c r="J261" s="191"/>
      <c r="K261" s="191"/>
      <c r="L261" s="191"/>
      <c r="M261" s="191"/>
      <c r="N261" s="155">
        <v>0</v>
      </c>
      <c r="O261" s="192">
        <f t="shared" si="9"/>
        <v>0</v>
      </c>
      <c r="P261" s="156">
        <v>0</v>
      </c>
      <c r="Q261" s="192">
        <f t="shared" si="10"/>
        <v>0</v>
      </c>
      <c r="R261" s="175"/>
      <c r="S261" s="193"/>
      <c r="T261" s="2"/>
      <c r="U261" s="4"/>
    </row>
    <row r="262" spans="1:21" ht="15.6" x14ac:dyDescent="0.3">
      <c r="A262" s="112"/>
      <c r="B262" s="155" t="s">
        <v>120</v>
      </c>
      <c r="C262" s="191"/>
      <c r="D262" s="191"/>
      <c r="E262" s="191"/>
      <c r="F262" s="191"/>
      <c r="G262" s="191"/>
      <c r="H262" s="191"/>
      <c r="I262" s="191"/>
      <c r="J262" s="191"/>
      <c r="K262" s="191"/>
      <c r="L262" s="191"/>
      <c r="M262" s="191"/>
      <c r="N262" s="155">
        <v>0</v>
      </c>
      <c r="O262" s="192">
        <f t="shared" si="9"/>
        <v>0</v>
      </c>
      <c r="P262" s="156">
        <v>0</v>
      </c>
      <c r="Q262" s="192">
        <f t="shared" si="10"/>
        <v>0</v>
      </c>
      <c r="R262" s="175"/>
      <c r="S262" s="193"/>
      <c r="T262" s="2"/>
    </row>
    <row r="263" spans="1:21" ht="15.6" x14ac:dyDescent="0.3">
      <c r="A263" s="112"/>
      <c r="B263" s="155" t="s">
        <v>121</v>
      </c>
      <c r="C263" s="191"/>
      <c r="D263" s="191"/>
      <c r="E263" s="191"/>
      <c r="F263" s="191"/>
      <c r="G263" s="191"/>
      <c r="H263" s="191"/>
      <c r="I263" s="191"/>
      <c r="J263" s="191"/>
      <c r="K263" s="191"/>
      <c r="L263" s="191"/>
      <c r="M263" s="191"/>
      <c r="N263" s="155">
        <v>0</v>
      </c>
      <c r="O263" s="192">
        <f t="shared" si="9"/>
        <v>0</v>
      </c>
      <c r="P263" s="156">
        <v>0</v>
      </c>
      <c r="Q263" s="192">
        <f t="shared" si="10"/>
        <v>0</v>
      </c>
      <c r="R263" s="175"/>
      <c r="S263" s="193"/>
      <c r="T263" s="2"/>
      <c r="U263" s="4"/>
    </row>
    <row r="264" spans="1:21" ht="15.6" x14ac:dyDescent="0.3">
      <c r="A264" s="112"/>
      <c r="B264" s="155" t="s">
        <v>122</v>
      </c>
      <c r="C264" s="191"/>
      <c r="D264" s="191"/>
      <c r="E264" s="191"/>
      <c r="F264" s="191"/>
      <c r="G264" s="191"/>
      <c r="H264" s="191"/>
      <c r="I264" s="191"/>
      <c r="J264" s="191"/>
      <c r="K264" s="191"/>
      <c r="L264" s="191"/>
      <c r="M264" s="191"/>
      <c r="N264" s="155">
        <v>0</v>
      </c>
      <c r="O264" s="192">
        <f t="shared" si="9"/>
        <v>0</v>
      </c>
      <c r="P264" s="156">
        <v>0</v>
      </c>
      <c r="Q264" s="192">
        <f t="shared" si="10"/>
        <v>0</v>
      </c>
      <c r="R264" s="175"/>
      <c r="S264" s="193"/>
      <c r="T264" s="2"/>
    </row>
    <row r="265" spans="1:21" ht="15.6" x14ac:dyDescent="0.3">
      <c r="A265" s="112"/>
      <c r="B265" s="155" t="s">
        <v>123</v>
      </c>
      <c r="C265" s="191"/>
      <c r="D265" s="191"/>
      <c r="E265" s="191"/>
      <c r="F265" s="191"/>
      <c r="G265" s="191"/>
      <c r="H265" s="191"/>
      <c r="I265" s="191"/>
      <c r="J265" s="191"/>
      <c r="K265" s="191"/>
      <c r="L265" s="191"/>
      <c r="M265" s="191"/>
      <c r="N265" s="155">
        <v>0</v>
      </c>
      <c r="O265" s="192">
        <f t="shared" si="9"/>
        <v>0</v>
      </c>
      <c r="P265" s="156">
        <v>0</v>
      </c>
      <c r="Q265" s="192">
        <f t="shared" si="10"/>
        <v>0</v>
      </c>
      <c r="R265" s="175"/>
      <c r="S265" s="193"/>
      <c r="T265" s="2"/>
      <c r="U265" s="4"/>
    </row>
    <row r="266" spans="1:21" ht="15.6" x14ac:dyDescent="0.3">
      <c r="A266" s="112"/>
      <c r="B266" s="155"/>
      <c r="C266" s="191"/>
      <c r="D266" s="191"/>
      <c r="E266" s="191"/>
      <c r="F266" s="191"/>
      <c r="G266" s="191"/>
      <c r="H266" s="191"/>
      <c r="I266" s="191"/>
      <c r="J266" s="191"/>
      <c r="K266" s="191"/>
      <c r="L266" s="191"/>
      <c r="M266" s="191"/>
      <c r="N266" s="155"/>
      <c r="O266" s="192"/>
      <c r="P266" s="156"/>
      <c r="Q266" s="192"/>
      <c r="R266" s="175"/>
      <c r="S266" s="193"/>
      <c r="T266" s="2"/>
    </row>
    <row r="267" spans="1:21" ht="15.6" x14ac:dyDescent="0.3">
      <c r="A267" s="112"/>
      <c r="B267" s="113" t="s">
        <v>94</v>
      </c>
      <c r="C267" s="113"/>
      <c r="D267" s="194"/>
      <c r="E267" s="194"/>
      <c r="F267" s="194"/>
      <c r="G267" s="194"/>
      <c r="H267" s="194"/>
      <c r="I267" s="194"/>
      <c r="J267" s="194"/>
      <c r="K267" s="194"/>
      <c r="L267" s="194"/>
      <c r="M267" s="194"/>
      <c r="N267" s="155">
        <f>SUM(N258:N266)</f>
        <v>1801</v>
      </c>
      <c r="O267" s="192">
        <f>SUM(O258:O266)</f>
        <v>1</v>
      </c>
      <c r="P267" s="156">
        <f>SUM(P258:P266)</f>
        <v>299807</v>
      </c>
      <c r="Q267" s="192">
        <f>SUM(Q258:Q266)</f>
        <v>1</v>
      </c>
      <c r="R267" s="113"/>
      <c r="S267" s="116"/>
      <c r="T267" s="2"/>
    </row>
    <row r="268" spans="1:21" ht="15.6" x14ac:dyDescent="0.3">
      <c r="A268" s="12"/>
      <c r="B268" s="43"/>
      <c r="C268" s="43"/>
      <c r="D268" s="188"/>
      <c r="E268" s="188"/>
      <c r="F268" s="188"/>
      <c r="G268" s="188"/>
      <c r="H268" s="188"/>
      <c r="I268" s="188"/>
      <c r="J268" s="188"/>
      <c r="K268" s="188"/>
      <c r="L268" s="188"/>
      <c r="M268" s="188"/>
      <c r="N268" s="153"/>
      <c r="O268" s="189"/>
      <c r="P268" s="190"/>
      <c r="Q268" s="189"/>
      <c r="R268" s="43"/>
      <c r="S268" s="217"/>
      <c r="T268" s="2"/>
    </row>
    <row r="269" spans="1:21" ht="15.6" x14ac:dyDescent="0.3">
      <c r="A269" s="73"/>
      <c r="B269" s="61" t="s">
        <v>146</v>
      </c>
      <c r="C269" s="62"/>
      <c r="D269" s="62"/>
      <c r="E269" s="62"/>
      <c r="F269" s="62"/>
      <c r="G269" s="62"/>
      <c r="H269" s="62"/>
      <c r="I269" s="62"/>
      <c r="J269" s="62"/>
      <c r="K269" s="62"/>
      <c r="L269" s="62"/>
      <c r="M269" s="62"/>
      <c r="N269" s="72" t="s">
        <v>83</v>
      </c>
      <c r="O269" s="62" t="s">
        <v>84</v>
      </c>
      <c r="P269" s="72" t="s">
        <v>89</v>
      </c>
      <c r="Q269" s="62" t="s">
        <v>84</v>
      </c>
      <c r="R269" s="74"/>
      <c r="S269" s="75"/>
      <c r="T269" s="2"/>
    </row>
    <row r="270" spans="1:21" ht="15.6" x14ac:dyDescent="0.3">
      <c r="A270" s="24"/>
      <c r="B270" s="78" t="s">
        <v>72</v>
      </c>
      <c r="C270" s="93"/>
      <c r="D270" s="93"/>
      <c r="E270" s="93"/>
      <c r="F270" s="93"/>
      <c r="G270" s="93"/>
      <c r="H270" s="93"/>
      <c r="I270" s="93"/>
      <c r="J270" s="93"/>
      <c r="K270" s="93"/>
      <c r="L270" s="93"/>
      <c r="M270" s="93"/>
      <c r="N270" s="78">
        <v>0</v>
      </c>
      <c r="O270" s="81">
        <v>0</v>
      </c>
      <c r="P270" s="82">
        <v>0</v>
      </c>
      <c r="Q270" s="81">
        <v>0</v>
      </c>
      <c r="R270" s="79"/>
      <c r="S270" s="220"/>
      <c r="T270" s="2"/>
    </row>
    <row r="271" spans="1:21" ht="15.6" x14ac:dyDescent="0.3">
      <c r="A271" s="112"/>
      <c r="B271" s="155" t="s">
        <v>73</v>
      </c>
      <c r="C271" s="191"/>
      <c r="D271" s="191"/>
      <c r="E271" s="191"/>
      <c r="F271" s="191"/>
      <c r="G271" s="191"/>
      <c r="H271" s="191"/>
      <c r="I271" s="191"/>
      <c r="J271" s="191"/>
      <c r="K271" s="191"/>
      <c r="L271" s="191"/>
      <c r="M271" s="191"/>
      <c r="N271" s="155">
        <v>0</v>
      </c>
      <c r="O271" s="192">
        <v>0</v>
      </c>
      <c r="P271" s="156">
        <v>0</v>
      </c>
      <c r="Q271" s="192">
        <v>0</v>
      </c>
      <c r="R271" s="113"/>
      <c r="S271" s="116"/>
      <c r="T271" s="2"/>
    </row>
    <row r="272" spans="1:21" ht="15.6" x14ac:dyDescent="0.3">
      <c r="A272" s="112"/>
      <c r="B272" s="155" t="s">
        <v>74</v>
      </c>
      <c r="C272" s="191"/>
      <c r="D272" s="191"/>
      <c r="E272" s="191"/>
      <c r="F272" s="191"/>
      <c r="G272" s="191"/>
      <c r="H272" s="191"/>
      <c r="I272" s="191"/>
      <c r="J272" s="191"/>
      <c r="K272" s="191"/>
      <c r="L272" s="191"/>
      <c r="M272" s="191"/>
      <c r="N272" s="155">
        <v>0</v>
      </c>
      <c r="O272" s="192">
        <v>0</v>
      </c>
      <c r="P272" s="156">
        <v>0</v>
      </c>
      <c r="Q272" s="192">
        <v>0</v>
      </c>
      <c r="R272" s="113"/>
      <c r="S272" s="116"/>
      <c r="T272" s="2"/>
    </row>
    <row r="273" spans="1:20" ht="15.6" x14ac:dyDescent="0.3">
      <c r="A273" s="112"/>
      <c r="B273" s="155" t="s">
        <v>119</v>
      </c>
      <c r="C273" s="191"/>
      <c r="D273" s="191"/>
      <c r="E273" s="191"/>
      <c r="F273" s="191"/>
      <c r="G273" s="191"/>
      <c r="H273" s="191"/>
      <c r="I273" s="191"/>
      <c r="J273" s="191"/>
      <c r="K273" s="191"/>
      <c r="L273" s="191"/>
      <c r="M273" s="191"/>
      <c r="N273" s="155">
        <v>0</v>
      </c>
      <c r="O273" s="192">
        <v>0</v>
      </c>
      <c r="P273" s="156">
        <v>0</v>
      </c>
      <c r="Q273" s="192">
        <v>0</v>
      </c>
      <c r="R273" s="113"/>
      <c r="S273" s="116"/>
      <c r="T273" s="2"/>
    </row>
    <row r="274" spans="1:20" ht="15.6" x14ac:dyDescent="0.3">
      <c r="A274" s="112"/>
      <c r="B274" s="155" t="s">
        <v>120</v>
      </c>
      <c r="C274" s="191"/>
      <c r="D274" s="191"/>
      <c r="E274" s="191"/>
      <c r="F274" s="191"/>
      <c r="G274" s="191"/>
      <c r="H274" s="191"/>
      <c r="I274" s="191"/>
      <c r="J274" s="191"/>
      <c r="K274" s="191"/>
      <c r="L274" s="191"/>
      <c r="M274" s="191"/>
      <c r="N274" s="155">
        <v>0</v>
      </c>
      <c r="O274" s="192">
        <v>0</v>
      </c>
      <c r="P274" s="156">
        <v>0</v>
      </c>
      <c r="Q274" s="192">
        <v>0</v>
      </c>
      <c r="R274" s="113"/>
      <c r="S274" s="116"/>
      <c r="T274" s="2"/>
    </row>
    <row r="275" spans="1:20" ht="15.6" x14ac:dyDescent="0.3">
      <c r="A275" s="112"/>
      <c r="B275" s="155" t="s">
        <v>121</v>
      </c>
      <c r="C275" s="191"/>
      <c r="D275" s="191"/>
      <c r="E275" s="191"/>
      <c r="F275" s="191"/>
      <c r="G275" s="191"/>
      <c r="H275" s="191"/>
      <c r="I275" s="191"/>
      <c r="J275" s="191"/>
      <c r="K275" s="191"/>
      <c r="L275" s="191"/>
      <c r="M275" s="191"/>
      <c r="N275" s="155">
        <v>0</v>
      </c>
      <c r="O275" s="192">
        <v>0</v>
      </c>
      <c r="P275" s="156">
        <v>0</v>
      </c>
      <c r="Q275" s="192">
        <v>0</v>
      </c>
      <c r="R275" s="113"/>
      <c r="S275" s="116"/>
      <c r="T275" s="2"/>
    </row>
    <row r="276" spans="1:20" ht="15.6" x14ac:dyDescent="0.3">
      <c r="A276" s="112"/>
      <c r="B276" s="155" t="s">
        <v>122</v>
      </c>
      <c r="C276" s="191"/>
      <c r="D276" s="191"/>
      <c r="E276" s="191"/>
      <c r="F276" s="191"/>
      <c r="G276" s="191"/>
      <c r="H276" s="191"/>
      <c r="I276" s="191"/>
      <c r="J276" s="191"/>
      <c r="K276" s="191"/>
      <c r="L276" s="191"/>
      <c r="M276" s="191"/>
      <c r="N276" s="155">
        <v>0</v>
      </c>
      <c r="O276" s="192">
        <v>0</v>
      </c>
      <c r="P276" s="156">
        <v>0</v>
      </c>
      <c r="Q276" s="192">
        <v>0</v>
      </c>
      <c r="R276" s="113"/>
      <c r="S276" s="116"/>
      <c r="T276" s="2"/>
    </row>
    <row r="277" spans="1:20" ht="15.6" x14ac:dyDescent="0.3">
      <c r="A277" s="112"/>
      <c r="B277" s="155" t="s">
        <v>123</v>
      </c>
      <c r="C277" s="191"/>
      <c r="D277" s="191"/>
      <c r="E277" s="191"/>
      <c r="F277" s="191"/>
      <c r="G277" s="191"/>
      <c r="H277" s="191"/>
      <c r="I277" s="191"/>
      <c r="J277" s="191"/>
      <c r="K277" s="191"/>
      <c r="L277" s="191"/>
      <c r="M277" s="191"/>
      <c r="N277" s="155">
        <v>0</v>
      </c>
      <c r="O277" s="192">
        <v>0</v>
      </c>
      <c r="P277" s="156">
        <v>0</v>
      </c>
      <c r="Q277" s="192">
        <v>0</v>
      </c>
      <c r="R277" s="113"/>
      <c r="S277" s="116"/>
      <c r="T277" s="2"/>
    </row>
    <row r="278" spans="1:20" ht="15.6" x14ac:dyDescent="0.3">
      <c r="A278" s="112"/>
      <c r="B278" s="155"/>
      <c r="C278" s="191"/>
      <c r="D278" s="191"/>
      <c r="E278" s="191"/>
      <c r="F278" s="191"/>
      <c r="G278" s="191"/>
      <c r="H278" s="191"/>
      <c r="I278" s="191"/>
      <c r="J278" s="191"/>
      <c r="K278" s="191"/>
      <c r="L278" s="191"/>
      <c r="M278" s="191"/>
      <c r="N278" s="155"/>
      <c r="O278" s="192"/>
      <c r="P278" s="156"/>
      <c r="Q278" s="192"/>
      <c r="R278" s="113"/>
      <c r="S278" s="116"/>
      <c r="T278" s="2"/>
    </row>
    <row r="279" spans="1:20" ht="15.6" x14ac:dyDescent="0.3">
      <c r="A279" s="112"/>
      <c r="B279" s="113" t="s">
        <v>94</v>
      </c>
      <c r="C279" s="113"/>
      <c r="D279" s="194"/>
      <c r="E279" s="194"/>
      <c r="F279" s="194"/>
      <c r="G279" s="194"/>
      <c r="H279" s="194"/>
      <c r="I279" s="194"/>
      <c r="J279" s="194"/>
      <c r="K279" s="194"/>
      <c r="L279" s="194"/>
      <c r="M279" s="194"/>
      <c r="N279" s="155">
        <f>SUM(N270:N278)</f>
        <v>0</v>
      </c>
      <c r="O279" s="192">
        <f>SUM(O270:O278)</f>
        <v>0</v>
      </c>
      <c r="P279" s="156">
        <f>SUM(P270:P278)</f>
        <v>0</v>
      </c>
      <c r="Q279" s="192">
        <f>SUM(Q270:Q278)</f>
        <v>0</v>
      </c>
      <c r="R279" s="113"/>
      <c r="S279" s="116"/>
      <c r="T279" s="2"/>
    </row>
    <row r="280" spans="1:20" ht="15.6" x14ac:dyDescent="0.3">
      <c r="A280" s="12"/>
      <c r="B280" s="43"/>
      <c r="C280" s="43"/>
      <c r="D280" s="188"/>
      <c r="E280" s="188"/>
      <c r="F280" s="188"/>
      <c r="G280" s="188"/>
      <c r="H280" s="188"/>
      <c r="I280" s="188"/>
      <c r="J280" s="188"/>
      <c r="K280" s="188"/>
      <c r="L280" s="188"/>
      <c r="M280" s="188"/>
      <c r="N280" s="153"/>
      <c r="O280" s="189"/>
      <c r="P280" s="190"/>
      <c r="Q280" s="189"/>
      <c r="R280" s="43"/>
      <c r="S280" s="217"/>
      <c r="T280" s="2"/>
    </row>
    <row r="281" spans="1:20" ht="15.6" x14ac:dyDescent="0.3">
      <c r="A281" s="73"/>
      <c r="B281" s="61" t="s">
        <v>125</v>
      </c>
      <c r="C281" s="74"/>
      <c r="D281" s="76"/>
      <c r="E281" s="76"/>
      <c r="F281" s="76"/>
      <c r="G281" s="76"/>
      <c r="H281" s="76"/>
      <c r="I281" s="76"/>
      <c r="J281" s="76"/>
      <c r="K281" s="76"/>
      <c r="L281" s="76"/>
      <c r="M281" s="76"/>
      <c r="N281" s="72" t="s">
        <v>83</v>
      </c>
      <c r="O281" s="62" t="s">
        <v>84</v>
      </c>
      <c r="P281" s="72" t="s">
        <v>89</v>
      </c>
      <c r="Q281" s="62" t="s">
        <v>84</v>
      </c>
      <c r="R281" s="74"/>
      <c r="S281" s="75"/>
      <c r="T281" s="2"/>
    </row>
    <row r="282" spans="1:20" ht="15.6" x14ac:dyDescent="0.3">
      <c r="A282" s="77"/>
      <c r="B282" s="78" t="s">
        <v>72</v>
      </c>
      <c r="C282" s="79"/>
      <c r="D282" s="80"/>
      <c r="E282" s="80"/>
      <c r="F282" s="80"/>
      <c r="G282" s="80"/>
      <c r="H282" s="80"/>
      <c r="I282" s="80"/>
      <c r="J282" s="80"/>
      <c r="K282" s="80"/>
      <c r="L282" s="80"/>
      <c r="M282" s="80"/>
      <c r="N282" s="78">
        <v>0</v>
      </c>
      <c r="O282" s="81">
        <v>0</v>
      </c>
      <c r="P282" s="82">
        <v>0</v>
      </c>
      <c r="Q282" s="81">
        <v>0</v>
      </c>
      <c r="R282" s="79"/>
      <c r="S282" s="220"/>
      <c r="T282" s="2"/>
    </row>
    <row r="283" spans="1:20" ht="15.6" x14ac:dyDescent="0.3">
      <c r="A283" s="122"/>
      <c r="B283" s="155" t="s">
        <v>73</v>
      </c>
      <c r="C283" s="113"/>
      <c r="D283" s="194"/>
      <c r="E283" s="194"/>
      <c r="F283" s="194"/>
      <c r="G283" s="194"/>
      <c r="H283" s="194"/>
      <c r="I283" s="194"/>
      <c r="J283" s="194"/>
      <c r="K283" s="194"/>
      <c r="L283" s="194"/>
      <c r="M283" s="194"/>
      <c r="N283" s="155">
        <v>0</v>
      </c>
      <c r="O283" s="192">
        <v>0</v>
      </c>
      <c r="P283" s="156">
        <v>0</v>
      </c>
      <c r="Q283" s="192">
        <v>0</v>
      </c>
      <c r="R283" s="113"/>
      <c r="S283" s="116"/>
      <c r="T283" s="2"/>
    </row>
    <row r="284" spans="1:20" ht="15.6" x14ac:dyDescent="0.3">
      <c r="A284" s="122"/>
      <c r="B284" s="155" t="s">
        <v>74</v>
      </c>
      <c r="C284" s="113"/>
      <c r="D284" s="194"/>
      <c r="E284" s="194"/>
      <c r="F284" s="194"/>
      <c r="G284" s="194"/>
      <c r="H284" s="194"/>
      <c r="I284" s="194"/>
      <c r="J284" s="194"/>
      <c r="K284" s="194"/>
      <c r="L284" s="194"/>
      <c r="M284" s="194"/>
      <c r="N284" s="155">
        <v>0</v>
      </c>
      <c r="O284" s="192">
        <v>0</v>
      </c>
      <c r="P284" s="156">
        <v>0</v>
      </c>
      <c r="Q284" s="192">
        <v>0</v>
      </c>
      <c r="R284" s="113"/>
      <c r="S284" s="116"/>
      <c r="T284" s="2"/>
    </row>
    <row r="285" spans="1:20" ht="15.6" x14ac:dyDescent="0.3">
      <c r="A285" s="122"/>
      <c r="B285" s="155" t="s">
        <v>119</v>
      </c>
      <c r="C285" s="113"/>
      <c r="D285" s="194"/>
      <c r="E285" s="194"/>
      <c r="F285" s="194"/>
      <c r="G285" s="194"/>
      <c r="H285" s="194"/>
      <c r="I285" s="194"/>
      <c r="J285" s="194"/>
      <c r="K285" s="194"/>
      <c r="L285" s="194"/>
      <c r="M285" s="194"/>
      <c r="N285" s="155">
        <v>0</v>
      </c>
      <c r="O285" s="192">
        <v>0</v>
      </c>
      <c r="P285" s="156">
        <v>0</v>
      </c>
      <c r="Q285" s="192">
        <v>0</v>
      </c>
      <c r="R285" s="113"/>
      <c r="S285" s="116"/>
      <c r="T285" s="2"/>
    </row>
    <row r="286" spans="1:20" ht="15.6" x14ac:dyDescent="0.3">
      <c r="A286" s="122"/>
      <c r="B286" s="155" t="s">
        <v>120</v>
      </c>
      <c r="C286" s="113"/>
      <c r="D286" s="194"/>
      <c r="E286" s="194"/>
      <c r="F286" s="194"/>
      <c r="G286" s="194"/>
      <c r="H286" s="194"/>
      <c r="I286" s="194"/>
      <c r="J286" s="194"/>
      <c r="K286" s="194"/>
      <c r="L286" s="194"/>
      <c r="M286" s="194"/>
      <c r="N286" s="155">
        <v>0</v>
      </c>
      <c r="O286" s="192">
        <v>0</v>
      </c>
      <c r="P286" s="156">
        <v>0</v>
      </c>
      <c r="Q286" s="192">
        <v>0</v>
      </c>
      <c r="R286" s="113"/>
      <c r="S286" s="116"/>
      <c r="T286" s="2"/>
    </row>
    <row r="287" spans="1:20" ht="15.6" x14ac:dyDescent="0.3">
      <c r="A287" s="122"/>
      <c r="B287" s="155" t="s">
        <v>121</v>
      </c>
      <c r="C287" s="113"/>
      <c r="D287" s="194"/>
      <c r="E287" s="194"/>
      <c r="F287" s="194"/>
      <c r="G287" s="194"/>
      <c r="H287" s="194"/>
      <c r="I287" s="194"/>
      <c r="J287" s="194"/>
      <c r="K287" s="194"/>
      <c r="L287" s="194"/>
      <c r="M287" s="194"/>
      <c r="N287" s="155">
        <v>0</v>
      </c>
      <c r="O287" s="192">
        <v>0</v>
      </c>
      <c r="P287" s="156">
        <v>0</v>
      </c>
      <c r="Q287" s="192">
        <v>0</v>
      </c>
      <c r="R287" s="113"/>
      <c r="S287" s="116"/>
      <c r="T287" s="2"/>
    </row>
    <row r="288" spans="1:20" ht="15.6" x14ac:dyDescent="0.3">
      <c r="A288" s="122"/>
      <c r="B288" s="155" t="s">
        <v>122</v>
      </c>
      <c r="C288" s="113"/>
      <c r="D288" s="194"/>
      <c r="E288" s="194"/>
      <c r="F288" s="194"/>
      <c r="G288" s="194"/>
      <c r="H288" s="194"/>
      <c r="I288" s="194"/>
      <c r="J288" s="194"/>
      <c r="K288" s="194"/>
      <c r="L288" s="194"/>
      <c r="M288" s="194"/>
      <c r="N288" s="155">
        <v>0</v>
      </c>
      <c r="O288" s="192">
        <v>0</v>
      </c>
      <c r="P288" s="156">
        <v>0</v>
      </c>
      <c r="Q288" s="192">
        <v>0</v>
      </c>
      <c r="R288" s="113"/>
      <c r="S288" s="116"/>
      <c r="T288" s="2"/>
    </row>
    <row r="289" spans="1:20" ht="15.6" x14ac:dyDescent="0.3">
      <c r="A289" s="122"/>
      <c r="B289" s="155" t="s">
        <v>123</v>
      </c>
      <c r="C289" s="113"/>
      <c r="D289" s="194"/>
      <c r="E289" s="194"/>
      <c r="F289" s="194"/>
      <c r="G289" s="194"/>
      <c r="H289" s="194"/>
      <c r="I289" s="194"/>
      <c r="J289" s="194"/>
      <c r="K289" s="194"/>
      <c r="L289" s="194"/>
      <c r="M289" s="194"/>
      <c r="N289" s="155">
        <v>0</v>
      </c>
      <c r="O289" s="192">
        <v>0</v>
      </c>
      <c r="P289" s="156">
        <v>0</v>
      </c>
      <c r="Q289" s="192">
        <v>0</v>
      </c>
      <c r="R289" s="113"/>
      <c r="S289" s="116"/>
      <c r="T289" s="2"/>
    </row>
    <row r="290" spans="1:20" ht="15.6" x14ac:dyDescent="0.3">
      <c r="A290" s="122"/>
      <c r="B290" s="155"/>
      <c r="C290" s="113"/>
      <c r="D290" s="194"/>
      <c r="E290" s="194"/>
      <c r="F290" s="194"/>
      <c r="G290" s="194"/>
      <c r="H290" s="194"/>
      <c r="I290" s="194"/>
      <c r="J290" s="194"/>
      <c r="K290" s="194"/>
      <c r="L290" s="194"/>
      <c r="M290" s="194"/>
      <c r="N290" s="155"/>
      <c r="O290" s="192"/>
      <c r="P290" s="156"/>
      <c r="Q290" s="192"/>
      <c r="R290" s="113"/>
      <c r="S290" s="116"/>
      <c r="T290" s="2"/>
    </row>
    <row r="291" spans="1:20" ht="15.6" x14ac:dyDescent="0.3">
      <c r="A291" s="122"/>
      <c r="B291" s="113" t="s">
        <v>94</v>
      </c>
      <c r="C291" s="113"/>
      <c r="D291" s="194"/>
      <c r="E291" s="194"/>
      <c r="F291" s="194"/>
      <c r="G291" s="194"/>
      <c r="H291" s="194"/>
      <c r="I291" s="194"/>
      <c r="J291" s="194"/>
      <c r="K291" s="194"/>
      <c r="L291" s="194"/>
      <c r="M291" s="194"/>
      <c r="N291" s="155">
        <f>SUM(N282:N289)</f>
        <v>0</v>
      </c>
      <c r="O291" s="192">
        <f>SUM(O282:O289)</f>
        <v>0</v>
      </c>
      <c r="P291" s="156">
        <f>SUM(P282:P289)</f>
        <v>0</v>
      </c>
      <c r="Q291" s="192">
        <f>SUM(Q282:Q289)</f>
        <v>0</v>
      </c>
      <c r="R291" s="113"/>
      <c r="S291" s="116"/>
      <c r="T291" s="2"/>
    </row>
    <row r="292" spans="1:20" ht="15.6" x14ac:dyDescent="0.3">
      <c r="A292" s="122"/>
      <c r="B292" s="113"/>
      <c r="C292" s="113"/>
      <c r="D292" s="194"/>
      <c r="E292" s="194"/>
      <c r="F292" s="194"/>
      <c r="G292" s="194"/>
      <c r="H292" s="194"/>
      <c r="I292" s="194"/>
      <c r="J292" s="194"/>
      <c r="K292" s="194"/>
      <c r="L292" s="194"/>
      <c r="M292" s="194"/>
      <c r="N292" s="155"/>
      <c r="O292" s="192"/>
      <c r="P292" s="156"/>
      <c r="Q292" s="192"/>
      <c r="R292" s="113"/>
      <c r="S292" s="116"/>
      <c r="T292" s="2"/>
    </row>
    <row r="293" spans="1:20" ht="15.6" x14ac:dyDescent="0.3">
      <c r="A293" s="122"/>
      <c r="B293" s="124" t="s">
        <v>176</v>
      </c>
      <c r="C293" s="113"/>
      <c r="D293" s="194"/>
      <c r="E293" s="194"/>
      <c r="F293" s="194"/>
      <c r="G293" s="194"/>
      <c r="H293" s="194"/>
      <c r="I293" s="194"/>
      <c r="J293" s="194"/>
      <c r="K293" s="194"/>
      <c r="L293" s="194"/>
      <c r="M293" s="194"/>
      <c r="N293" s="196">
        <f>N291+N279+N267</f>
        <v>1801</v>
      </c>
      <c r="O293" s="192"/>
      <c r="P293" s="197">
        <f>+P291+P279+P267</f>
        <v>299807</v>
      </c>
      <c r="Q293" s="192"/>
      <c r="R293" s="113"/>
      <c r="S293" s="116"/>
      <c r="T293" s="2"/>
    </row>
    <row r="294" spans="1:20" ht="15.6" x14ac:dyDescent="0.3">
      <c r="A294" s="122"/>
      <c r="B294" s="124" t="s">
        <v>216</v>
      </c>
      <c r="C294" s="124"/>
      <c r="D294" s="205"/>
      <c r="E294" s="205"/>
      <c r="F294" s="205"/>
      <c r="G294" s="205"/>
      <c r="H294" s="205"/>
      <c r="I294" s="205"/>
      <c r="J294" s="205"/>
      <c r="K294" s="205"/>
      <c r="L294" s="205"/>
      <c r="M294" s="205"/>
      <c r="N294" s="196"/>
      <c r="O294" s="206"/>
      <c r="P294" s="207">
        <f>+R180</f>
        <v>1003</v>
      </c>
      <c r="Q294" s="192"/>
      <c r="R294" s="113"/>
      <c r="S294" s="116"/>
      <c r="T294" s="2"/>
    </row>
    <row r="295" spans="1:20" ht="15.6" x14ac:dyDescent="0.3">
      <c r="A295" s="122"/>
      <c r="B295" s="124" t="s">
        <v>126</v>
      </c>
      <c r="C295" s="124"/>
      <c r="D295" s="205"/>
      <c r="E295" s="205"/>
      <c r="F295" s="205"/>
      <c r="G295" s="205"/>
      <c r="H295" s="205"/>
      <c r="I295" s="205"/>
      <c r="J295" s="205"/>
      <c r="K295" s="205"/>
      <c r="L295" s="205"/>
      <c r="M295" s="205"/>
      <c r="N295" s="196"/>
      <c r="O295" s="206"/>
      <c r="P295" s="207">
        <f>+P293+P294</f>
        <v>300810</v>
      </c>
      <c r="Q295" s="192"/>
      <c r="R295" s="113"/>
      <c r="S295" s="116"/>
      <c r="T295" s="2"/>
    </row>
    <row r="296" spans="1:20" ht="15.6" x14ac:dyDescent="0.3">
      <c r="A296" s="122"/>
      <c r="B296" s="124" t="s">
        <v>175</v>
      </c>
      <c r="C296" s="113"/>
      <c r="D296" s="194"/>
      <c r="E296" s="194"/>
      <c r="F296" s="194"/>
      <c r="G296" s="194"/>
      <c r="H296" s="194"/>
      <c r="I296" s="194"/>
      <c r="J296" s="194"/>
      <c r="K296" s="194"/>
      <c r="L296" s="194"/>
      <c r="M296" s="194"/>
      <c r="N296" s="196"/>
      <c r="O296" s="192"/>
      <c r="P296" s="197">
        <f>+R80</f>
        <v>300810</v>
      </c>
      <c r="Q296" s="192"/>
      <c r="R296" s="113"/>
      <c r="S296" s="116"/>
      <c r="T296" s="2"/>
    </row>
    <row r="297" spans="1:20" ht="15.6" x14ac:dyDescent="0.3">
      <c r="A297" s="122"/>
      <c r="B297" s="124"/>
      <c r="C297" s="113"/>
      <c r="D297" s="194"/>
      <c r="E297" s="194"/>
      <c r="F297" s="194"/>
      <c r="G297" s="194"/>
      <c r="H297" s="194"/>
      <c r="I297" s="194"/>
      <c r="J297" s="194"/>
      <c r="K297" s="194"/>
      <c r="L297" s="194"/>
      <c r="M297" s="194"/>
      <c r="N297" s="196"/>
      <c r="O297" s="192"/>
      <c r="P297" s="197"/>
      <c r="Q297" s="192"/>
      <c r="R297" s="113"/>
      <c r="S297" s="116"/>
      <c r="T297" s="2"/>
    </row>
    <row r="298" spans="1:20" ht="15.6" x14ac:dyDescent="0.3">
      <c r="A298" s="122"/>
      <c r="B298" s="124" t="s">
        <v>201</v>
      </c>
      <c r="C298" s="113"/>
      <c r="D298" s="194"/>
      <c r="E298" s="194"/>
      <c r="F298" s="194"/>
      <c r="G298" s="194"/>
      <c r="H298" s="194"/>
      <c r="I298" s="194"/>
      <c r="J298" s="194"/>
      <c r="K298" s="194"/>
      <c r="L298" s="194"/>
      <c r="M298" s="194"/>
      <c r="N298" s="196"/>
      <c r="O298" s="192"/>
      <c r="P298" s="214">
        <f>(L33+R147)/R33</f>
        <v>5.8196272397997531E-2</v>
      </c>
      <c r="Q298" s="192"/>
      <c r="R298" s="113"/>
      <c r="S298" s="116"/>
      <c r="T298" s="2"/>
    </row>
    <row r="299" spans="1:20" ht="15.6" x14ac:dyDescent="0.3">
      <c r="A299" s="83"/>
      <c r="B299" s="84"/>
      <c r="C299" s="84"/>
      <c r="D299" s="85"/>
      <c r="E299" s="85"/>
      <c r="F299" s="85"/>
      <c r="G299" s="85"/>
      <c r="H299" s="85"/>
      <c r="I299" s="85"/>
      <c r="J299" s="85"/>
      <c r="K299" s="85"/>
      <c r="L299" s="85"/>
      <c r="M299" s="85"/>
      <c r="N299" s="85"/>
      <c r="O299" s="85"/>
      <c r="P299" s="86"/>
      <c r="Q299" s="85"/>
      <c r="R299" s="84"/>
      <c r="S299" s="218"/>
      <c r="T299" s="2"/>
    </row>
    <row r="300" spans="1:20" ht="15.6" x14ac:dyDescent="0.3">
      <c r="A300" s="87"/>
      <c r="B300" s="88" t="s">
        <v>75</v>
      </c>
      <c r="C300" s="84"/>
      <c r="D300" s="89" t="s">
        <v>79</v>
      </c>
      <c r="E300" s="88"/>
      <c r="F300" s="88" t="s">
        <v>80</v>
      </c>
      <c r="G300" s="84"/>
      <c r="H300" s="88"/>
      <c r="I300" s="90"/>
      <c r="J300" s="90"/>
      <c r="K300" s="90"/>
      <c r="L300" s="90"/>
      <c r="M300" s="90"/>
      <c r="N300" s="90"/>
      <c r="O300" s="90"/>
      <c r="P300" s="90"/>
      <c r="Q300" s="90"/>
      <c r="R300" s="90"/>
      <c r="S300" s="229"/>
      <c r="T300" s="2"/>
    </row>
    <row r="301" spans="1:20" ht="15.6" x14ac:dyDescent="0.3">
      <c r="A301" s="87"/>
      <c r="B301" s="90"/>
      <c r="C301" s="84"/>
      <c r="D301" s="84"/>
      <c r="E301" s="84"/>
      <c r="F301" s="84"/>
      <c r="G301" s="84"/>
      <c r="H301" s="84"/>
      <c r="I301" s="90"/>
      <c r="J301" s="90"/>
      <c r="K301" s="90"/>
      <c r="L301" s="90"/>
      <c r="M301" s="90"/>
      <c r="N301" s="90"/>
      <c r="O301" s="90"/>
      <c r="P301" s="90"/>
      <c r="Q301" s="90"/>
      <c r="R301" s="90"/>
      <c r="S301" s="229"/>
      <c r="T301" s="2"/>
    </row>
    <row r="302" spans="1:20" ht="15.6" x14ac:dyDescent="0.3">
      <c r="A302" s="87"/>
      <c r="B302" s="213" t="s">
        <v>192</v>
      </c>
      <c r="C302" s="88"/>
      <c r="D302" s="91" t="s">
        <v>147</v>
      </c>
      <c r="E302" s="88"/>
      <c r="F302" s="88" t="s">
        <v>148</v>
      </c>
      <c r="G302" s="88"/>
      <c r="H302" s="88"/>
      <c r="I302" s="90"/>
      <c r="J302" s="90"/>
      <c r="K302" s="90"/>
      <c r="L302" s="90"/>
      <c r="M302" s="90"/>
      <c r="N302" s="90"/>
      <c r="O302" s="90"/>
      <c r="P302" s="90"/>
      <c r="Q302" s="90"/>
      <c r="R302" s="90"/>
      <c r="S302" s="229"/>
      <c r="T302" s="2"/>
    </row>
    <row r="303" spans="1:20" ht="15.6" x14ac:dyDescent="0.3">
      <c r="A303" s="87"/>
      <c r="B303" s="213" t="s">
        <v>193</v>
      </c>
      <c r="C303" s="88"/>
      <c r="D303" s="91" t="s">
        <v>114</v>
      </c>
      <c r="E303" s="88"/>
      <c r="F303" s="88" t="s">
        <v>117</v>
      </c>
      <c r="G303" s="88"/>
      <c r="H303" s="88"/>
      <c r="I303" s="90"/>
      <c r="J303" s="90"/>
      <c r="K303" s="90"/>
      <c r="L303" s="90"/>
      <c r="M303" s="90"/>
      <c r="N303" s="90"/>
      <c r="O303" s="90"/>
      <c r="P303" s="90"/>
      <c r="Q303" s="90"/>
      <c r="R303" s="90"/>
      <c r="S303" s="229"/>
      <c r="T303" s="2"/>
    </row>
    <row r="304" spans="1:20" ht="15.6" x14ac:dyDescent="0.3">
      <c r="A304" s="87"/>
      <c r="B304" s="88"/>
      <c r="C304" s="88"/>
      <c r="D304" s="90"/>
      <c r="E304" s="90"/>
      <c r="F304" s="90"/>
      <c r="G304" s="90"/>
      <c r="H304" s="90"/>
      <c r="I304" s="90"/>
      <c r="J304" s="90"/>
      <c r="K304" s="90"/>
      <c r="L304" s="90"/>
      <c r="M304" s="90"/>
      <c r="N304" s="90"/>
      <c r="O304" s="90"/>
      <c r="P304" s="90"/>
      <c r="Q304" s="90"/>
      <c r="R304" s="90"/>
      <c r="S304" s="229"/>
      <c r="T304" s="2"/>
    </row>
    <row r="305" spans="1:20" ht="15.6" x14ac:dyDescent="0.3">
      <c r="A305" s="87"/>
      <c r="B305" s="88"/>
      <c r="C305" s="88"/>
      <c r="D305" s="90"/>
      <c r="E305" s="90"/>
      <c r="F305" s="90"/>
      <c r="G305" s="90"/>
      <c r="H305" s="90"/>
      <c r="I305" s="90"/>
      <c r="J305" s="90"/>
      <c r="K305" s="90"/>
      <c r="L305" s="90"/>
      <c r="M305" s="90"/>
      <c r="N305" s="90"/>
      <c r="O305" s="90"/>
      <c r="P305" s="90"/>
      <c r="Q305" s="90"/>
      <c r="R305" s="90"/>
      <c r="S305" s="229"/>
      <c r="T305" s="2"/>
    </row>
    <row r="306" spans="1:20" ht="18" thickBot="1" x14ac:dyDescent="0.35">
      <c r="A306" s="87"/>
      <c r="B306" s="92" t="str">
        <f>B205</f>
        <v>PM24 INVESTOR REPORT QUARTER ENDING JUNE 2017</v>
      </c>
      <c r="C306" s="88"/>
      <c r="D306" s="90"/>
      <c r="E306" s="90"/>
      <c r="F306" s="90"/>
      <c r="G306" s="90"/>
      <c r="H306" s="90"/>
      <c r="I306" s="90"/>
      <c r="J306" s="90"/>
      <c r="K306" s="90"/>
      <c r="L306" s="90"/>
      <c r="M306" s="90"/>
      <c r="N306" s="90"/>
      <c r="O306" s="90"/>
      <c r="P306" s="90"/>
      <c r="Q306" s="90"/>
      <c r="R306" s="90"/>
      <c r="S306" s="99"/>
      <c r="T306" s="2"/>
    </row>
    <row r="307" spans="1:20" x14ac:dyDescent="0.25">
      <c r="A307" s="3"/>
      <c r="B307" s="3"/>
      <c r="C307" s="3"/>
      <c r="D307" s="3"/>
      <c r="E307" s="3"/>
      <c r="F307" s="3"/>
      <c r="G307" s="3"/>
      <c r="H307" s="3"/>
      <c r="I307" s="3"/>
      <c r="J307" s="3"/>
      <c r="K307" s="3"/>
      <c r="L307" s="3"/>
      <c r="M307" s="3"/>
      <c r="N307" s="3"/>
      <c r="O307" s="3"/>
      <c r="P307" s="3"/>
      <c r="Q307" s="3"/>
      <c r="R307" s="3"/>
      <c r="S307" s="3"/>
    </row>
  </sheetData>
  <hyperlinks>
    <hyperlink ref="N243" r:id="rId1" xr:uid="{00000000-0004-0000-0500-000000000000}"/>
    <hyperlink ref="K9" r:id="rId2" xr:uid="{00000000-0004-0000-05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43025</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177</v>
      </c>
      <c r="I25" s="294"/>
      <c r="J25" s="294" t="s">
        <v>247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199</v>
      </c>
      <c r="I26" s="294"/>
      <c r="J26" s="294" t="s">
        <v>200</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104226.34999999999</v>
      </c>
      <c r="E29" s="307"/>
      <c r="F29" s="308">
        <f>F28*F35</f>
        <v>173682.78964</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53903.974999999999</v>
      </c>
      <c r="E30" s="312"/>
      <c r="F30" s="312">
        <f t="shared" ref="F30" si="0">F28*F34</f>
        <v>89825.583939999997</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73673.854666400002</v>
      </c>
      <c r="E32" s="308"/>
      <c r="F32" s="308">
        <f>F31*F35</f>
        <v>173682.78964</v>
      </c>
      <c r="G32" s="308"/>
      <c r="H32" s="308">
        <f>H31*H35</f>
        <v>19300</v>
      </c>
      <c r="I32" s="308"/>
      <c r="J32" s="308">
        <f>J31*J35</f>
        <v>25400</v>
      </c>
      <c r="K32" s="308"/>
      <c r="L32" s="308">
        <f>L31*L35</f>
        <v>8753</v>
      </c>
      <c r="M32" s="303"/>
      <c r="N32" s="313"/>
      <c r="O32" s="303"/>
      <c r="P32" s="303"/>
      <c r="Q32" s="302"/>
      <c r="R32" s="303">
        <f>SUM(D32:L32)</f>
        <v>300809.64430639998</v>
      </c>
      <c r="S32" s="304"/>
      <c r="T32" s="273"/>
    </row>
    <row r="33" spans="1:20" s="274" customFormat="1" x14ac:dyDescent="0.3">
      <c r="A33" s="300"/>
      <c r="B33" s="297" t="s">
        <v>223</v>
      </c>
      <c r="C33" s="302"/>
      <c r="D33" s="312">
        <f>D31*D34</f>
        <v>38102.779384399997</v>
      </c>
      <c r="E33" s="312"/>
      <c r="F33" s="312">
        <f t="shared" ref="F33:L33" si="4">F31*F34</f>
        <v>89825.583939999997</v>
      </c>
      <c r="G33" s="312"/>
      <c r="H33" s="312">
        <f t="shared" si="4"/>
        <v>19300</v>
      </c>
      <c r="I33" s="312"/>
      <c r="J33" s="312">
        <f t="shared" si="4"/>
        <v>25400</v>
      </c>
      <c r="K33" s="312"/>
      <c r="L33" s="312">
        <f t="shared" si="4"/>
        <v>8753</v>
      </c>
      <c r="M33" s="310"/>
      <c r="N33" s="313"/>
      <c r="O33" s="303"/>
      <c r="P33" s="303"/>
      <c r="Q33" s="302"/>
      <c r="R33" s="310">
        <f>SUM(D33:L33)</f>
        <v>181381.36332439998</v>
      </c>
      <c r="S33" s="304"/>
      <c r="T33" s="273"/>
    </row>
    <row r="34" spans="1:20" s="324" customFormat="1" x14ac:dyDescent="0.3">
      <c r="A34" s="314"/>
      <c r="B34" s="315" t="s">
        <v>103</v>
      </c>
      <c r="C34" s="316"/>
      <c r="D34" s="317">
        <v>0.4312318</v>
      </c>
      <c r="E34" s="317"/>
      <c r="F34" s="317">
        <v>0.4312318</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0.83381079999999996</v>
      </c>
      <c r="E35" s="325"/>
      <c r="F35" s="325">
        <v>0.83381079999999996</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7.6899999999999998E-3</v>
      </c>
      <c r="E37" s="329"/>
      <c r="F37" s="329">
        <v>1.7946899999999998E-2</v>
      </c>
      <c r="G37" s="329"/>
      <c r="H37" s="329">
        <v>2.74469E-2</v>
      </c>
      <c r="I37" s="329"/>
      <c r="J37" s="329">
        <v>3.4946900000000003E-2</v>
      </c>
      <c r="K37" s="329"/>
      <c r="L37" s="329">
        <v>3.8446899999999999E-2</v>
      </c>
      <c r="M37" s="328"/>
      <c r="N37" s="329"/>
      <c r="O37" s="301"/>
      <c r="P37" s="301"/>
      <c r="Q37" s="293"/>
      <c r="R37" s="328"/>
      <c r="S37" s="296"/>
      <c r="T37" s="273"/>
    </row>
    <row r="38" spans="1:20" s="274" customFormat="1" x14ac:dyDescent="0.3">
      <c r="A38" s="300"/>
      <c r="B38" s="293" t="s">
        <v>10</v>
      </c>
      <c r="C38" s="330"/>
      <c r="D38" s="329">
        <v>7.6800000000000002E-3</v>
      </c>
      <c r="E38" s="329"/>
      <c r="F38" s="329">
        <v>1.83556E-2</v>
      </c>
      <c r="G38" s="329"/>
      <c r="H38" s="329">
        <v>2.7855600000000001E-2</v>
      </c>
      <c r="I38" s="329"/>
      <c r="J38" s="329">
        <v>3.5355600000000001E-2</v>
      </c>
      <c r="K38" s="329"/>
      <c r="L38" s="329">
        <v>3.8855599999999997E-2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2.0416900000000002E-2</v>
      </c>
      <c r="E40" s="329"/>
      <c r="F40" s="329">
        <f>+F37</f>
        <v>1.7946899999999998E-2</v>
      </c>
      <c r="G40" s="329"/>
      <c r="H40" s="329">
        <f>+H37</f>
        <v>2.74469E-2</v>
      </c>
      <c r="I40" s="329"/>
      <c r="J40" s="329">
        <f>+J37</f>
        <v>3.4946900000000003E-2</v>
      </c>
      <c r="K40" s="329"/>
      <c r="L40" s="329">
        <f>+L37</f>
        <v>3.8446899999999999E-2</v>
      </c>
      <c r="M40" s="328"/>
      <c r="N40" s="329"/>
      <c r="O40" s="301"/>
      <c r="P40" s="301"/>
      <c r="Q40" s="293"/>
      <c r="R40" s="328">
        <f>SUMPRODUCT(D40:L40,D32:L32)/R32</f>
        <v>2.1193341527091791E-2</v>
      </c>
      <c r="S40" s="296"/>
      <c r="T40" s="273"/>
    </row>
    <row r="41" spans="1:20" s="274" customFormat="1" x14ac:dyDescent="0.3">
      <c r="A41" s="300"/>
      <c r="B41" s="293" t="s">
        <v>228</v>
      </c>
      <c r="C41" s="330"/>
      <c r="D41" s="329">
        <v>2.08256E-2</v>
      </c>
      <c r="E41" s="329"/>
      <c r="F41" s="329">
        <f>+F38</f>
        <v>1.83556E-2</v>
      </c>
      <c r="G41" s="329"/>
      <c r="H41" s="329">
        <f>+H38</f>
        <v>2.7855600000000001E-2</v>
      </c>
      <c r="I41" s="329"/>
      <c r="J41" s="329">
        <f>+J38</f>
        <v>3.5355600000000001E-2</v>
      </c>
      <c r="K41" s="329"/>
      <c r="L41" s="329">
        <f>+L38</f>
        <v>3.8855599999999997E-2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0.41783540890345167</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43024</v>
      </c>
      <c r="S52" s="296"/>
      <c r="T52" s="273"/>
    </row>
    <row r="53" spans="1:21" s="274" customFormat="1" x14ac:dyDescent="0.3">
      <c r="A53" s="300"/>
      <c r="B53" s="293" t="s">
        <v>99</v>
      </c>
      <c r="C53" s="293"/>
      <c r="D53" s="338"/>
      <c r="E53" s="338"/>
      <c r="F53" s="338"/>
      <c r="G53" s="338"/>
      <c r="H53" s="338"/>
      <c r="I53" s="338"/>
      <c r="J53" s="338"/>
      <c r="K53" s="338"/>
      <c r="L53" s="338"/>
      <c r="M53" s="338"/>
      <c r="N53" s="293">
        <f>+R53-P53+1</f>
        <v>90</v>
      </c>
      <c r="O53" s="293"/>
      <c r="P53" s="339">
        <v>42843</v>
      </c>
      <c r="Q53" s="340"/>
      <c r="R53" s="339">
        <v>42932</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42933</v>
      </c>
      <c r="Q54" s="340"/>
      <c r="R54" s="339">
        <v>43023</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43010</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284</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299807</v>
      </c>
      <c r="I64" s="360"/>
      <c r="J64" s="361">
        <v>156</v>
      </c>
      <c r="K64" s="360"/>
      <c r="L64" s="360">
        <v>75407</v>
      </c>
      <c r="M64" s="360"/>
      <c r="N64" s="360">
        <v>0</v>
      </c>
      <c r="O64" s="360"/>
      <c r="P64" s="360">
        <f>23621+14708+4534</f>
        <v>42863</v>
      </c>
      <c r="Q64" s="360"/>
      <c r="R64" s="361">
        <f>H64-J64-L64+N64-P64</f>
        <v>181381</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299807</v>
      </c>
      <c r="I67" s="360"/>
      <c r="J67" s="360">
        <f>J64+J65</f>
        <v>156</v>
      </c>
      <c r="K67" s="360"/>
      <c r="L67" s="360">
        <f>SUM(L64:L66)</f>
        <v>75407</v>
      </c>
      <c r="M67" s="360"/>
      <c r="N67" s="360">
        <f>SUM(N64:N66)</f>
        <v>0</v>
      </c>
      <c r="O67" s="360"/>
      <c r="P67" s="360">
        <f>SUM(P64:P66)</f>
        <v>42863</v>
      </c>
      <c r="Q67" s="360"/>
      <c r="R67" s="360">
        <f>SUM(R64:R66)</f>
        <v>181381</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1003</v>
      </c>
      <c r="I78" s="360"/>
      <c r="J78" s="360"/>
      <c r="K78" s="360"/>
      <c r="L78" s="360"/>
      <c r="M78" s="360"/>
      <c r="N78" s="360">
        <v>-1003</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300810</v>
      </c>
      <c r="I80" s="360"/>
      <c r="J80" s="360"/>
      <c r="K80" s="360"/>
      <c r="L80" s="360"/>
      <c r="M80" s="360"/>
      <c r="N80" s="360"/>
      <c r="O80" s="360"/>
      <c r="P80" s="360"/>
      <c r="Q80" s="360"/>
      <c r="R80" s="360">
        <f>SUM(R67:R79)</f>
        <v>181381</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43007</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1003</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118426</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3587-1004-98</f>
        <v>2485</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269</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18</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94</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119429</v>
      </c>
      <c r="Q97" s="293"/>
      <c r="R97" s="360">
        <f>SUM(R84:R96)</f>
        <v>2866</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119429</v>
      </c>
      <c r="Q100" s="293"/>
      <c r="R100" s="360">
        <f>R97+R98+R99</f>
        <v>2866</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-114-31-3</f>
        <v>-148</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-226</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-375</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-777</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-132</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-221</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-25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-84</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-113</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-21-179</f>
        <v>-200</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-562</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-35571</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-83858</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-119429</v>
      </c>
      <c r="Q128" s="360"/>
      <c r="R128" s="360">
        <f>SUM(R101:R127)</f>
        <v>-2866</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SEPTEMBER 2017</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4437.2909168900005</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4315.7090831099995</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f>+'June 17'!R158</f>
        <v>1003</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-1003</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+'June 17'!R173</f>
        <v>1079</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307</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94</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1292</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181381</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181381</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181381</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+'June 17'!O189</f>
        <v>497</v>
      </c>
      <c r="P187" s="361">
        <f>+'June 17'!P189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2.1605902777777777</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2.34</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10.128787878787879</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13.74</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5.4524886877828056</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7.7</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11.416666666666666</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17.48</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SEPTEMBER 2017</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43007</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4.2946900000000003E-2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4.6649999999999997E-2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2.1193341527091791E-2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2.5456658472908206E-2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9.5276087896014102E-3</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18.989999999999998</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0.3950074547959187</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0.29149999999999998</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42863</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'June 17'!P233+P232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1114</v>
      </c>
      <c r="O246" s="464">
        <f>N246/$N$255</f>
        <v>1</v>
      </c>
      <c r="P246" s="373">
        <f>+P258+P270+P282</f>
        <v>181381</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1114</v>
      </c>
      <c r="O255" s="470">
        <f>SUM(O246:O254)</f>
        <v>1</v>
      </c>
      <c r="P255" s="361">
        <f>SUM(P246:P254)</f>
        <v>181381</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1114</v>
      </c>
      <c r="O258" s="464">
        <f>N258/$N$267</f>
        <v>1</v>
      </c>
      <c r="P258" s="373">
        <v>181381</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1114</v>
      </c>
      <c r="O267" s="470">
        <f>SUM(O258:O266)</f>
        <v>1</v>
      </c>
      <c r="P267" s="361">
        <f>SUM(P258:P266)</f>
        <v>181381</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1114</v>
      </c>
      <c r="O293" s="470"/>
      <c r="P293" s="483">
        <f>+P291+P279+P267</f>
        <v>181381</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181381</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181381</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9.6514877157972259E-2</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SEPTEMBER 2017</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600-000000000000}"/>
    <hyperlink ref="K9" r:id="rId2" display="http://www.paragon-group.co.uk" xr:uid="{00000000-0004-0000-06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9CB31"/>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43123</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177</v>
      </c>
      <c r="I25" s="294"/>
      <c r="J25" s="294" t="s">
        <v>247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199</v>
      </c>
      <c r="I26" s="294"/>
      <c r="J26" s="294" t="s">
        <v>200</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53903.974999999999</v>
      </c>
      <c r="E29" s="307"/>
      <c r="F29" s="308">
        <f>F28*F35</f>
        <v>89825.583939999997</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28373.762500000001</v>
      </c>
      <c r="E30" s="312"/>
      <c r="F30" s="312">
        <f t="shared" ref="F30" si="0">F28*F34</f>
        <v>47282.037830000001</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38102.779384399997</v>
      </c>
      <c r="E32" s="308"/>
      <c r="F32" s="308">
        <f>F31*F35</f>
        <v>89825.583939999997</v>
      </c>
      <c r="G32" s="308"/>
      <c r="H32" s="308">
        <f>H31*H35</f>
        <v>19300</v>
      </c>
      <c r="I32" s="308"/>
      <c r="J32" s="308">
        <f>J31*J35</f>
        <v>25400</v>
      </c>
      <c r="K32" s="308"/>
      <c r="L32" s="308">
        <f>L31*L35</f>
        <v>8753</v>
      </c>
      <c r="M32" s="303"/>
      <c r="N32" s="313"/>
      <c r="O32" s="303"/>
      <c r="P32" s="303"/>
      <c r="Q32" s="302"/>
      <c r="R32" s="303">
        <f>SUM(D32:L32)</f>
        <v>181381.36332439998</v>
      </c>
      <c r="S32" s="304"/>
      <c r="T32" s="273"/>
    </row>
    <row r="33" spans="1:20" s="274" customFormat="1" x14ac:dyDescent="0.3">
      <c r="A33" s="300"/>
      <c r="B33" s="297" t="s">
        <v>223</v>
      </c>
      <c r="C33" s="302"/>
      <c r="D33" s="312">
        <f>D31*D34</f>
        <v>20056.391255800001</v>
      </c>
      <c r="E33" s="312"/>
      <c r="F33" s="312">
        <f t="shared" ref="F33:L33" si="4">F31*F34</f>
        <v>47282.037830000001</v>
      </c>
      <c r="G33" s="312"/>
      <c r="H33" s="312">
        <f t="shared" si="4"/>
        <v>19300</v>
      </c>
      <c r="I33" s="312"/>
      <c r="J33" s="312">
        <f t="shared" si="4"/>
        <v>25400</v>
      </c>
      <c r="K33" s="312"/>
      <c r="L33" s="312">
        <f t="shared" si="4"/>
        <v>8753</v>
      </c>
      <c r="M33" s="310"/>
      <c r="N33" s="313"/>
      <c r="O33" s="303"/>
      <c r="P33" s="303"/>
      <c r="Q33" s="302"/>
      <c r="R33" s="310">
        <f>SUM(D33:L33)</f>
        <v>120791.4290858</v>
      </c>
      <c r="S33" s="304"/>
      <c r="T33" s="273"/>
    </row>
    <row r="34" spans="1:20" s="324" customFormat="1" x14ac:dyDescent="0.3">
      <c r="A34" s="314"/>
      <c r="B34" s="315" t="s">
        <v>103</v>
      </c>
      <c r="C34" s="316"/>
      <c r="D34" s="317">
        <v>0.2269901</v>
      </c>
      <c r="E34" s="317"/>
      <c r="F34" s="317">
        <v>0.2269901</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0.4312318</v>
      </c>
      <c r="E35" s="325"/>
      <c r="F35" s="325">
        <v>0.4312318</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7.7099999999999998E-3</v>
      </c>
      <c r="E37" s="329"/>
      <c r="F37" s="329">
        <v>1.8787499999999999E-2</v>
      </c>
      <c r="G37" s="329"/>
      <c r="H37" s="329">
        <v>2.82875E-2</v>
      </c>
      <c r="I37" s="329"/>
      <c r="J37" s="329">
        <v>3.57875E-2</v>
      </c>
      <c r="K37" s="329"/>
      <c r="L37" s="329">
        <v>3.9287500000000003E-2</v>
      </c>
      <c r="M37" s="328"/>
      <c r="N37" s="329"/>
      <c r="O37" s="301"/>
      <c r="P37" s="301"/>
      <c r="Q37" s="293"/>
      <c r="R37" s="328"/>
      <c r="S37" s="296"/>
      <c r="T37" s="273"/>
    </row>
    <row r="38" spans="1:20" s="274" customFormat="1" x14ac:dyDescent="0.3">
      <c r="A38" s="300"/>
      <c r="B38" s="293" t="s">
        <v>10</v>
      </c>
      <c r="C38" s="330"/>
      <c r="D38" s="329">
        <v>7.6899999999999998E-3</v>
      </c>
      <c r="E38" s="329"/>
      <c r="F38" s="329">
        <v>1.7946899999999998E-2</v>
      </c>
      <c r="G38" s="329"/>
      <c r="H38" s="329">
        <v>2.74469E-2</v>
      </c>
      <c r="I38" s="329"/>
      <c r="J38" s="329">
        <v>3.4946900000000003E-2</v>
      </c>
      <c r="K38" s="329"/>
      <c r="L38" s="329">
        <v>3.8446899999999999E-2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2.1257499999999999E-2</v>
      </c>
      <c r="E40" s="329"/>
      <c r="F40" s="329">
        <f>+F37</f>
        <v>1.8787499999999999E-2</v>
      </c>
      <c r="G40" s="329"/>
      <c r="H40" s="329">
        <f>+H37</f>
        <v>2.82875E-2</v>
      </c>
      <c r="I40" s="329"/>
      <c r="J40" s="329">
        <f>+J37</f>
        <v>3.57875E-2</v>
      </c>
      <c r="K40" s="329"/>
      <c r="L40" s="329">
        <f>+L37</f>
        <v>3.9287500000000003E-2</v>
      </c>
      <c r="M40" s="328"/>
      <c r="N40" s="329"/>
      <c r="O40" s="301"/>
      <c r="P40" s="301"/>
      <c r="Q40" s="293"/>
      <c r="R40" s="328">
        <f>SUMPRODUCT(D40:L40,D32:L32)/R32</f>
        <v>2.3687123361469782E-2</v>
      </c>
      <c r="S40" s="296"/>
      <c r="T40" s="273"/>
    </row>
    <row r="41" spans="1:20" s="274" customFormat="1" x14ac:dyDescent="0.3">
      <c r="A41" s="300"/>
      <c r="B41" s="293" t="s">
        <v>228</v>
      </c>
      <c r="C41" s="330"/>
      <c r="D41" s="329">
        <v>2.0416900000000002E-2</v>
      </c>
      <c r="E41" s="329"/>
      <c r="F41" s="329">
        <f>+F38</f>
        <v>1.7946899999999998E-2</v>
      </c>
      <c r="G41" s="329"/>
      <c r="H41" s="329">
        <f>+H38</f>
        <v>2.74469E-2</v>
      </c>
      <c r="I41" s="329"/>
      <c r="J41" s="329">
        <f>+J38</f>
        <v>3.4946900000000003E-2</v>
      </c>
      <c r="K41" s="329"/>
      <c r="L41" s="329">
        <f>+L38</f>
        <v>3.8446899999999999E-2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0.79379636153810884</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43115</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42933</v>
      </c>
      <c r="Q53" s="340"/>
      <c r="R53" s="339">
        <v>43023</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43024</v>
      </c>
      <c r="Q54" s="340"/>
      <c r="R54" s="339">
        <v>43114</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43102</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288</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181381</v>
      </c>
      <c r="I64" s="360"/>
      <c r="J64" s="361">
        <v>115</v>
      </c>
      <c r="K64" s="360"/>
      <c r="L64" s="360">
        <v>39786</v>
      </c>
      <c r="M64" s="360"/>
      <c r="N64" s="360">
        <v>0</v>
      </c>
      <c r="O64" s="360"/>
      <c r="P64" s="360">
        <f>2419+5036+13234</f>
        <v>20689</v>
      </c>
      <c r="Q64" s="360"/>
      <c r="R64" s="361">
        <f>H64-J64-L64+N64-P64</f>
        <v>120791</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181381</v>
      </c>
      <c r="I67" s="360"/>
      <c r="J67" s="360">
        <f>J64+J65</f>
        <v>115</v>
      </c>
      <c r="K67" s="360"/>
      <c r="L67" s="360">
        <f>SUM(L64:L66)</f>
        <v>39786</v>
      </c>
      <c r="M67" s="360"/>
      <c r="N67" s="360">
        <f>SUM(N64:N66)</f>
        <v>0</v>
      </c>
      <c r="O67" s="360"/>
      <c r="P67" s="360">
        <f>SUM(P64:P66)</f>
        <v>20689</v>
      </c>
      <c r="Q67" s="360"/>
      <c r="R67" s="360">
        <f>SUM(R64:R66)</f>
        <v>120791</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181381</v>
      </c>
      <c r="I80" s="360"/>
      <c r="J80" s="360"/>
      <c r="K80" s="360"/>
      <c r="L80" s="360"/>
      <c r="M80" s="360"/>
      <c r="N80" s="360"/>
      <c r="O80" s="360"/>
      <c r="P80" s="360"/>
      <c r="Q80" s="360"/>
      <c r="R80" s="360">
        <f>SUM(R67:R79)</f>
        <v>120791</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43098</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60590</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2421-370-10</f>
        <v>2041</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f>171</f>
        <v>171</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41</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139</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60590</v>
      </c>
      <c r="Q97" s="293"/>
      <c r="R97" s="360">
        <f>SUM(R84:R96)</f>
        <v>2392</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60590</v>
      </c>
      <c r="Q100" s="293"/>
      <c r="R100" s="360">
        <f>R97+R98+R99</f>
        <v>2392</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-69-40-3</f>
        <v>-112</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-78</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-202</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-421</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-136</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-227</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-25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-86</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-68</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-20-179</f>
        <v>-199</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-835</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-18046</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-42544</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-60590</v>
      </c>
      <c r="Q128" s="360"/>
      <c r="R128" s="360">
        <f>SUM(R101:R127)</f>
        <v>-2392</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DECEMBER 2017</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5952.0392728549996</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2800.9607271450004</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'Sept 17'!R173</f>
        <v>1292</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139</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1153</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120791</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120791</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120791</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+'Sept 17'!O189</f>
        <v>497</v>
      </c>
      <c r="P187" s="361">
        <f>+'Sept 17'!P189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3.5296950240770464</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2.4</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11.588235294117647</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13.5</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6.3436123348017617</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7.54</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13.813953488372093</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17.07</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DECEMBER 2017</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43098</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4.37875E-2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4.5830000000000003E-2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2.3687123361469782E-2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2.2142876638530221E-2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1.3187709848330311E-2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18.350000000000001</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0.33404821894244713</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0.38929999999999998</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20689</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'Sept 17'!P233+P232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755</v>
      </c>
      <c r="O246" s="464">
        <f>N246/$N$255</f>
        <v>1</v>
      </c>
      <c r="P246" s="373">
        <f>+P258+P270+P282</f>
        <v>120791</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755</v>
      </c>
      <c r="O255" s="470">
        <f>SUM(O246:O254)</f>
        <v>1</v>
      </c>
      <c r="P255" s="361">
        <f>SUM(P246:P254)</f>
        <v>120791</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755</v>
      </c>
      <c r="O258" s="464">
        <f>N258/$N$267</f>
        <v>1</v>
      </c>
      <c r="P258" s="373">
        <v>120791</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755</v>
      </c>
      <c r="O267" s="470">
        <f>SUM(O258:O266)</f>
        <v>1</v>
      </c>
      <c r="P267" s="361">
        <f>SUM(P258:P266)</f>
        <v>120791</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755</v>
      </c>
      <c r="O293" s="470"/>
      <c r="P293" s="483">
        <f>+P291+P279+P267</f>
        <v>120791</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120791</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120791</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0.14492750133426455</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DECEMBER 2017</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700-000000000000}"/>
    <hyperlink ref="K9" r:id="rId2" display="http://www.paragon-group.co.uk" xr:uid="{00000000-0004-0000-07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D2926"/>
  </sheetPr>
  <dimension ref="A1:IR307"/>
  <sheetViews>
    <sheetView showGridLines="0" showOutlineSymbols="0" zoomScale="75" zoomScaleNormal="75" workbookViewId="0"/>
  </sheetViews>
  <sheetFormatPr defaultColWidth="9.6328125" defaultRowHeight="15.6" x14ac:dyDescent="0.3"/>
  <cols>
    <col min="1" max="1" width="4" style="257" customWidth="1"/>
    <col min="2" max="2" width="71.1796875" style="257" customWidth="1"/>
    <col min="3" max="3" width="2.1796875" style="257" customWidth="1"/>
    <col min="4" max="4" width="16.1796875" style="257" customWidth="1"/>
    <col min="5" max="5" width="2.90625" style="257" customWidth="1"/>
    <col min="6" max="6" width="16.1796875" style="257" customWidth="1"/>
    <col min="7" max="7" width="2.1796875" style="257" customWidth="1"/>
    <col min="8" max="8" width="17.90625" style="257" customWidth="1"/>
    <col min="9" max="9" width="2.36328125" style="257" customWidth="1"/>
    <col min="10" max="10" width="14.90625" style="257" customWidth="1"/>
    <col min="11" max="11" width="2.36328125" style="257" customWidth="1"/>
    <col min="12" max="12" width="15.54296875" style="257" customWidth="1"/>
    <col min="13" max="13" width="2.1796875" style="257" customWidth="1"/>
    <col min="14" max="14" width="15.54296875" style="257" customWidth="1"/>
    <col min="15" max="16" width="12.6328125" style="257" customWidth="1"/>
    <col min="17" max="17" width="7.81640625" style="257" customWidth="1"/>
    <col min="18" max="18" width="14.6328125" style="257" customWidth="1"/>
    <col min="19" max="19" width="11.81640625" style="257" customWidth="1"/>
    <col min="20" max="16384" width="9.6328125" style="257"/>
  </cols>
  <sheetData>
    <row r="1" spans="1:20" ht="21" x14ac:dyDescent="0.4">
      <c r="A1" s="252"/>
      <c r="B1" s="253" t="s">
        <v>243</v>
      </c>
      <c r="C1" s="254"/>
      <c r="D1" s="254"/>
      <c r="E1" s="254"/>
      <c r="F1" s="254"/>
      <c r="G1" s="254"/>
      <c r="H1" s="254"/>
      <c r="I1" s="254"/>
      <c r="J1" s="254"/>
      <c r="K1" s="254"/>
      <c r="L1" s="254"/>
      <c r="M1" s="254"/>
      <c r="N1" s="254"/>
      <c r="O1" s="254"/>
      <c r="P1" s="254"/>
      <c r="Q1" s="254"/>
      <c r="R1" s="254"/>
      <c r="S1" s="255"/>
      <c r="T1" s="256"/>
    </row>
    <row r="2" spans="1:20" x14ac:dyDescent="0.3">
      <c r="A2" s="258"/>
      <c r="B2" s="259"/>
      <c r="C2" s="260"/>
      <c r="D2" s="260"/>
      <c r="E2" s="260"/>
      <c r="F2" s="260"/>
      <c r="G2" s="260"/>
      <c r="H2" s="260"/>
      <c r="I2" s="260"/>
      <c r="J2" s="260"/>
      <c r="K2" s="260"/>
      <c r="L2" s="260"/>
      <c r="M2" s="260"/>
      <c r="N2" s="260"/>
      <c r="O2" s="260"/>
      <c r="P2" s="260"/>
      <c r="Q2" s="260"/>
      <c r="R2" s="260"/>
      <c r="S2" s="261"/>
      <c r="T2" s="256"/>
    </row>
    <row r="3" spans="1:20" x14ac:dyDescent="0.3">
      <c r="A3" s="262"/>
      <c r="B3" s="263" t="s">
        <v>244</v>
      </c>
      <c r="C3" s="260"/>
      <c r="D3" s="260"/>
      <c r="E3" s="260"/>
      <c r="F3" s="260"/>
      <c r="G3" s="260"/>
      <c r="H3" s="260"/>
      <c r="I3" s="260"/>
      <c r="J3" s="260"/>
      <c r="K3" s="260"/>
      <c r="L3" s="260"/>
      <c r="M3" s="260"/>
      <c r="N3" s="260"/>
      <c r="O3" s="260"/>
      <c r="P3" s="260"/>
      <c r="Q3" s="260"/>
      <c r="R3" s="260"/>
      <c r="S3" s="261"/>
      <c r="T3" s="256"/>
    </row>
    <row r="4" spans="1:20" x14ac:dyDescent="0.3">
      <c r="A4" s="258"/>
      <c r="B4" s="259"/>
      <c r="C4" s="260"/>
      <c r="D4" s="260"/>
      <c r="E4" s="260"/>
      <c r="F4" s="260"/>
      <c r="G4" s="260"/>
      <c r="H4" s="260"/>
      <c r="I4" s="260"/>
      <c r="J4" s="260"/>
      <c r="K4" s="260"/>
      <c r="L4" s="260"/>
      <c r="M4" s="260"/>
      <c r="N4" s="260"/>
      <c r="O4" s="260"/>
      <c r="P4" s="260"/>
      <c r="Q4" s="260"/>
      <c r="R4" s="260"/>
      <c r="S4" s="261"/>
      <c r="T4" s="256"/>
    </row>
    <row r="5" spans="1:20" x14ac:dyDescent="0.3">
      <c r="A5" s="258"/>
      <c r="B5" s="264" t="s">
        <v>109</v>
      </c>
      <c r="C5" s="260"/>
      <c r="D5" s="260"/>
      <c r="E5" s="260"/>
      <c r="F5" s="260"/>
      <c r="G5" s="260"/>
      <c r="H5" s="260"/>
      <c r="I5" s="260"/>
      <c r="J5" s="260"/>
      <c r="K5" s="260"/>
      <c r="L5" s="260"/>
      <c r="M5" s="260"/>
      <c r="N5" s="260"/>
      <c r="O5" s="260"/>
      <c r="P5" s="260"/>
      <c r="Q5" s="260"/>
      <c r="R5" s="260"/>
      <c r="S5" s="261"/>
      <c r="T5" s="256"/>
    </row>
    <row r="6" spans="1:20" x14ac:dyDescent="0.3">
      <c r="A6" s="258"/>
      <c r="B6" s="264" t="s">
        <v>111</v>
      </c>
      <c r="C6" s="260"/>
      <c r="D6" s="260"/>
      <c r="E6" s="260"/>
      <c r="F6" s="260"/>
      <c r="G6" s="260"/>
      <c r="H6" s="260"/>
      <c r="I6" s="260"/>
      <c r="J6" s="260"/>
      <c r="K6" s="260"/>
      <c r="L6" s="260"/>
      <c r="M6" s="260"/>
      <c r="N6" s="260"/>
      <c r="O6" s="260"/>
      <c r="P6" s="260"/>
      <c r="Q6" s="260"/>
      <c r="R6" s="260"/>
      <c r="S6" s="261"/>
      <c r="T6" s="256"/>
    </row>
    <row r="7" spans="1:20" x14ac:dyDescent="0.3">
      <c r="A7" s="258"/>
      <c r="B7" s="264" t="s">
        <v>110</v>
      </c>
      <c r="C7" s="260"/>
      <c r="D7" s="260"/>
      <c r="E7" s="260"/>
      <c r="F7" s="260"/>
      <c r="G7" s="260"/>
      <c r="H7" s="260"/>
      <c r="I7" s="260"/>
      <c r="J7" s="260"/>
      <c r="K7" s="260"/>
      <c r="L7" s="260"/>
      <c r="M7" s="260"/>
      <c r="N7" s="260"/>
      <c r="O7" s="260"/>
      <c r="P7" s="260"/>
      <c r="Q7" s="260"/>
      <c r="R7" s="260"/>
      <c r="S7" s="261"/>
      <c r="T7" s="256"/>
    </row>
    <row r="8" spans="1:20" x14ac:dyDescent="0.3">
      <c r="A8" s="258"/>
      <c r="B8" s="265"/>
      <c r="C8" s="260"/>
      <c r="D8" s="260"/>
      <c r="E8" s="260"/>
      <c r="F8" s="260"/>
      <c r="G8" s="260"/>
      <c r="H8" s="260"/>
      <c r="I8" s="260"/>
      <c r="J8" s="260"/>
      <c r="K8" s="260"/>
      <c r="L8" s="260"/>
      <c r="M8" s="260"/>
      <c r="N8" s="260"/>
      <c r="O8" s="260"/>
      <c r="P8" s="260"/>
      <c r="Q8" s="260"/>
      <c r="R8" s="260"/>
      <c r="S8" s="261"/>
      <c r="T8" s="256"/>
    </row>
    <row r="9" spans="1:20" ht="18" x14ac:dyDescent="0.35">
      <c r="A9" s="258"/>
      <c r="B9" s="263" t="s">
        <v>127</v>
      </c>
      <c r="C9" s="260"/>
      <c r="D9" s="260"/>
      <c r="E9" s="266"/>
      <c r="F9" s="260"/>
      <c r="G9" s="260"/>
      <c r="H9" s="266"/>
      <c r="I9" s="260"/>
      <c r="J9" s="266"/>
      <c r="K9" s="267" t="s">
        <v>285</v>
      </c>
      <c r="L9" s="266"/>
      <c r="M9" s="260"/>
      <c r="N9" s="260"/>
      <c r="O9" s="260"/>
      <c r="P9" s="260"/>
      <c r="Q9" s="260"/>
      <c r="R9" s="260"/>
      <c r="S9" s="261"/>
      <c r="T9" s="256"/>
    </row>
    <row r="10" spans="1:20" x14ac:dyDescent="0.3">
      <c r="A10" s="258"/>
      <c r="B10" s="265"/>
      <c r="C10" s="268"/>
      <c r="D10" s="260"/>
      <c r="E10" s="260"/>
      <c r="F10" s="260"/>
      <c r="G10" s="260"/>
      <c r="H10" s="260"/>
      <c r="I10" s="260"/>
      <c r="J10" s="260"/>
      <c r="K10" s="260"/>
      <c r="L10" s="260"/>
      <c r="M10" s="260"/>
      <c r="N10" s="260"/>
      <c r="O10" s="260"/>
      <c r="P10" s="260"/>
      <c r="Q10" s="260"/>
      <c r="R10" s="260"/>
      <c r="S10" s="261"/>
      <c r="T10" s="256"/>
    </row>
    <row r="11" spans="1:20" s="274" customFormat="1" x14ac:dyDescent="0.3">
      <c r="A11" s="269"/>
      <c r="B11" s="270" t="s">
        <v>0</v>
      </c>
      <c r="C11" s="271"/>
      <c r="D11" s="271"/>
      <c r="E11" s="271"/>
      <c r="F11" s="271"/>
      <c r="G11" s="271"/>
      <c r="H11" s="271"/>
      <c r="I11" s="271"/>
      <c r="J11" s="271"/>
      <c r="K11" s="271"/>
      <c r="L11" s="271"/>
      <c r="M11" s="271"/>
      <c r="N11" s="271"/>
      <c r="O11" s="271"/>
      <c r="P11" s="271"/>
      <c r="Q11" s="271"/>
      <c r="R11" s="271"/>
      <c r="S11" s="272"/>
      <c r="T11" s="273"/>
    </row>
    <row r="12" spans="1:20" s="274" customFormat="1" ht="16.2" thickBot="1" x14ac:dyDescent="0.35">
      <c r="A12" s="269"/>
      <c r="B12" s="270"/>
      <c r="C12" s="271"/>
      <c r="D12" s="271"/>
      <c r="E12" s="271"/>
      <c r="F12" s="271"/>
      <c r="G12" s="271"/>
      <c r="H12" s="271"/>
      <c r="I12" s="271"/>
      <c r="J12" s="271"/>
      <c r="K12" s="271"/>
      <c r="L12" s="271"/>
      <c r="M12" s="271"/>
      <c r="N12" s="271"/>
      <c r="O12" s="271"/>
      <c r="P12" s="271"/>
      <c r="Q12" s="271"/>
      <c r="R12" s="271"/>
      <c r="S12" s="272"/>
      <c r="T12" s="273"/>
    </row>
    <row r="13" spans="1:20" s="274" customFormat="1" x14ac:dyDescent="0.3">
      <c r="A13" s="275"/>
      <c r="B13" s="276"/>
      <c r="C13" s="276"/>
      <c r="D13" s="276"/>
      <c r="E13" s="276"/>
      <c r="F13" s="276"/>
      <c r="G13" s="276"/>
      <c r="H13" s="276"/>
      <c r="I13" s="276"/>
      <c r="J13" s="276"/>
      <c r="K13" s="276"/>
      <c r="L13" s="276"/>
      <c r="M13" s="276"/>
      <c r="N13" s="276"/>
      <c r="O13" s="276"/>
      <c r="P13" s="276"/>
      <c r="Q13" s="276"/>
      <c r="R13" s="276"/>
      <c r="S13" s="277"/>
      <c r="T13" s="273"/>
    </row>
    <row r="14" spans="1:20" s="274" customFormat="1" x14ac:dyDescent="0.3">
      <c r="A14" s="269"/>
      <c r="B14" s="270" t="s">
        <v>1</v>
      </c>
      <c r="C14" s="271"/>
      <c r="D14" s="271"/>
      <c r="E14" s="271"/>
      <c r="F14" s="271"/>
      <c r="G14" s="271"/>
      <c r="H14" s="271"/>
      <c r="I14" s="271"/>
      <c r="J14" s="271"/>
      <c r="K14" s="271"/>
      <c r="L14" s="271"/>
      <c r="M14" s="271"/>
      <c r="N14" s="271"/>
      <c r="O14" s="271"/>
      <c r="P14" s="271"/>
      <c r="Q14" s="271"/>
      <c r="R14" s="278" t="s">
        <v>245</v>
      </c>
      <c r="S14" s="272"/>
      <c r="T14" s="273"/>
    </row>
    <row r="15" spans="1:20" s="274" customFormat="1" x14ac:dyDescent="0.3">
      <c r="A15" s="269"/>
      <c r="B15" s="270" t="s">
        <v>2</v>
      </c>
      <c r="C15" s="271"/>
      <c r="D15" s="279"/>
      <c r="E15" s="279"/>
      <c r="F15" s="279"/>
      <c r="G15" s="279"/>
      <c r="H15" s="279"/>
      <c r="I15" s="279"/>
      <c r="J15" s="279"/>
      <c r="K15" s="279"/>
      <c r="L15" s="279"/>
      <c r="M15" s="279"/>
      <c r="N15" s="280"/>
      <c r="O15" s="280"/>
      <c r="P15" s="280" t="s">
        <v>154</v>
      </c>
      <c r="Q15" s="280">
        <v>1</v>
      </c>
      <c r="R15" s="278"/>
      <c r="S15" s="272"/>
      <c r="T15" s="273"/>
    </row>
    <row r="16" spans="1:20" s="274" customFormat="1" x14ac:dyDescent="0.3">
      <c r="A16" s="269"/>
      <c r="B16" s="270" t="s">
        <v>3</v>
      </c>
      <c r="C16" s="271"/>
      <c r="D16" s="279"/>
      <c r="E16" s="279"/>
      <c r="F16" s="279"/>
      <c r="G16" s="279"/>
      <c r="H16" s="279"/>
      <c r="I16" s="279"/>
      <c r="J16" s="279"/>
      <c r="K16" s="279"/>
      <c r="L16" s="279"/>
      <c r="M16" s="279"/>
      <c r="N16" s="280"/>
      <c r="O16" s="280"/>
      <c r="P16" s="280" t="s">
        <v>154</v>
      </c>
      <c r="Q16" s="280">
        <v>1</v>
      </c>
      <c r="R16" s="278"/>
      <c r="S16" s="272"/>
      <c r="T16" s="273"/>
    </row>
    <row r="17" spans="1:23" s="274" customFormat="1" x14ac:dyDescent="0.3">
      <c r="A17" s="269"/>
      <c r="B17" s="270" t="s">
        <v>4</v>
      </c>
      <c r="C17" s="271"/>
      <c r="D17" s="271"/>
      <c r="E17" s="271"/>
      <c r="F17" s="271"/>
      <c r="G17" s="271"/>
      <c r="H17" s="271"/>
      <c r="I17" s="271"/>
      <c r="J17" s="271"/>
      <c r="K17" s="271"/>
      <c r="L17" s="271"/>
      <c r="M17" s="271"/>
      <c r="N17" s="271"/>
      <c r="O17" s="271"/>
      <c r="P17" s="271"/>
      <c r="Q17" s="271"/>
      <c r="R17" s="281">
        <v>42327</v>
      </c>
      <c r="S17" s="272"/>
      <c r="T17" s="273"/>
    </row>
    <row r="18" spans="1:23" s="274" customFormat="1" x14ac:dyDescent="0.3">
      <c r="A18" s="269"/>
      <c r="B18" s="270" t="s">
        <v>5</v>
      </c>
      <c r="C18" s="271"/>
      <c r="D18" s="271"/>
      <c r="E18" s="271"/>
      <c r="F18" s="271"/>
      <c r="G18" s="271"/>
      <c r="H18" s="271"/>
      <c r="I18" s="271"/>
      <c r="J18" s="271"/>
      <c r="K18" s="271"/>
      <c r="L18" s="271"/>
      <c r="M18" s="271"/>
      <c r="N18" s="271"/>
      <c r="O18" s="271"/>
      <c r="P18" s="271"/>
      <c r="Q18" s="271"/>
      <c r="R18" s="281">
        <v>43210</v>
      </c>
      <c r="S18" s="272"/>
      <c r="T18" s="273"/>
    </row>
    <row r="19" spans="1:23" s="274" customFormat="1" x14ac:dyDescent="0.3">
      <c r="A19" s="269"/>
      <c r="B19" s="271"/>
      <c r="C19" s="271"/>
      <c r="D19" s="271"/>
      <c r="E19" s="271"/>
      <c r="F19" s="271"/>
      <c r="G19" s="271"/>
      <c r="H19" s="271"/>
      <c r="I19" s="271"/>
      <c r="J19" s="271"/>
      <c r="K19" s="271"/>
      <c r="L19" s="271"/>
      <c r="M19" s="271"/>
      <c r="N19" s="271"/>
      <c r="O19" s="271"/>
      <c r="P19" s="271"/>
      <c r="Q19" s="271"/>
      <c r="R19" s="282"/>
      <c r="S19" s="272"/>
      <c r="T19" s="273"/>
    </row>
    <row r="20" spans="1:23" s="274" customFormat="1" x14ac:dyDescent="0.3">
      <c r="A20" s="269"/>
      <c r="B20" s="283" t="s">
        <v>6</v>
      </c>
      <c r="C20" s="271"/>
      <c r="D20" s="271"/>
      <c r="E20" s="271"/>
      <c r="F20" s="271"/>
      <c r="G20" s="271"/>
      <c r="H20" s="271"/>
      <c r="I20" s="271"/>
      <c r="J20" s="271"/>
      <c r="K20" s="271"/>
      <c r="L20" s="271"/>
      <c r="M20" s="271"/>
      <c r="N20" s="271"/>
      <c r="O20" s="271"/>
      <c r="P20" s="282" t="s">
        <v>85</v>
      </c>
      <c r="Q20" s="271"/>
      <c r="R20" s="271"/>
      <c r="S20" s="272"/>
      <c r="T20" s="273"/>
    </row>
    <row r="21" spans="1:23" x14ac:dyDescent="0.3">
      <c r="A21" s="258"/>
      <c r="B21" s="260"/>
      <c r="C21" s="260"/>
      <c r="D21" s="260"/>
      <c r="E21" s="260"/>
      <c r="F21" s="260"/>
      <c r="G21" s="260"/>
      <c r="H21" s="260"/>
      <c r="I21" s="260"/>
      <c r="J21" s="260"/>
      <c r="K21" s="260"/>
      <c r="L21" s="260"/>
      <c r="M21" s="260"/>
      <c r="N21" s="260"/>
      <c r="O21" s="260"/>
      <c r="P21" s="260"/>
      <c r="Q21" s="260"/>
      <c r="R21" s="284"/>
      <c r="S21" s="261"/>
      <c r="T21" s="256"/>
    </row>
    <row r="22" spans="1:23" x14ac:dyDescent="0.3">
      <c r="A22" s="285"/>
      <c r="B22" s="286"/>
      <c r="C22" s="287"/>
      <c r="D22" s="287" t="s">
        <v>224</v>
      </c>
      <c r="E22" s="287"/>
      <c r="F22" s="287" t="s">
        <v>225</v>
      </c>
      <c r="G22" s="287"/>
      <c r="H22" s="287" t="s">
        <v>178</v>
      </c>
      <c r="I22" s="287"/>
      <c r="J22" s="287" t="s">
        <v>179</v>
      </c>
      <c r="K22" s="287"/>
      <c r="L22" s="287" t="s">
        <v>246</v>
      </c>
      <c r="M22" s="287"/>
      <c r="N22" s="287"/>
      <c r="O22" s="288"/>
      <c r="P22" s="288"/>
      <c r="Q22" s="286"/>
      <c r="R22" s="286"/>
      <c r="S22" s="289"/>
      <c r="T22" s="256"/>
    </row>
    <row r="23" spans="1:23" s="274" customFormat="1" x14ac:dyDescent="0.3">
      <c r="A23" s="269"/>
      <c r="B23" s="290" t="s">
        <v>219</v>
      </c>
      <c r="C23" s="291"/>
      <c r="D23" s="291" t="s">
        <v>112</v>
      </c>
      <c r="E23" s="291"/>
      <c r="F23" s="291" t="s">
        <v>112</v>
      </c>
      <c r="G23" s="291"/>
      <c r="H23" s="291" t="s">
        <v>177</v>
      </c>
      <c r="I23" s="291"/>
      <c r="J23" s="291" t="s">
        <v>247</v>
      </c>
      <c r="K23" s="291"/>
      <c r="L23" s="291" t="s">
        <v>153</v>
      </c>
      <c r="M23" s="291"/>
      <c r="N23" s="291"/>
      <c r="O23" s="291"/>
      <c r="P23" s="291"/>
      <c r="Q23" s="290"/>
      <c r="R23" s="290"/>
      <c r="S23" s="272"/>
      <c r="T23" s="273"/>
    </row>
    <row r="24" spans="1:23" s="274" customFormat="1" x14ac:dyDescent="0.3">
      <c r="A24" s="292"/>
      <c r="B24" s="293" t="s">
        <v>196</v>
      </c>
      <c r="C24" s="294"/>
      <c r="D24" s="295" t="s">
        <v>198</v>
      </c>
      <c r="E24" s="295"/>
      <c r="F24" s="295" t="s">
        <v>198</v>
      </c>
      <c r="G24" s="295"/>
      <c r="H24" s="295" t="s">
        <v>199</v>
      </c>
      <c r="I24" s="295"/>
      <c r="J24" s="295" t="s">
        <v>200</v>
      </c>
      <c r="K24" s="295"/>
      <c r="L24" s="295" t="s">
        <v>153</v>
      </c>
      <c r="M24" s="295"/>
      <c r="N24" s="295"/>
      <c r="O24" s="294"/>
      <c r="P24" s="295"/>
      <c r="Q24" s="293"/>
      <c r="R24" s="293"/>
      <c r="S24" s="296"/>
      <c r="T24" s="273"/>
    </row>
    <row r="25" spans="1:23" s="274" customFormat="1" x14ac:dyDescent="0.3">
      <c r="A25" s="292"/>
      <c r="B25" s="297" t="s">
        <v>220</v>
      </c>
      <c r="C25" s="294"/>
      <c r="D25" s="294" t="s">
        <v>112</v>
      </c>
      <c r="E25" s="294"/>
      <c r="F25" s="294" t="s">
        <v>112</v>
      </c>
      <c r="G25" s="294"/>
      <c r="H25" s="294" t="s">
        <v>112</v>
      </c>
      <c r="I25" s="294"/>
      <c r="J25" s="294" t="s">
        <v>177</v>
      </c>
      <c r="K25" s="294"/>
      <c r="L25" s="294" t="s">
        <v>153</v>
      </c>
      <c r="M25" s="294"/>
      <c r="N25" s="294"/>
      <c r="O25" s="294"/>
      <c r="P25" s="295"/>
      <c r="Q25" s="293"/>
      <c r="R25" s="293"/>
      <c r="S25" s="296"/>
      <c r="T25" s="273"/>
      <c r="U25" s="298"/>
      <c r="W25" s="299"/>
    </row>
    <row r="26" spans="1:23" s="274" customFormat="1" x14ac:dyDescent="0.3">
      <c r="A26" s="300"/>
      <c r="B26" s="297" t="s">
        <v>197</v>
      </c>
      <c r="C26" s="295"/>
      <c r="D26" s="294" t="s">
        <v>198</v>
      </c>
      <c r="E26" s="294"/>
      <c r="F26" s="294" t="s">
        <v>198</v>
      </c>
      <c r="G26" s="294"/>
      <c r="H26" s="294" t="s">
        <v>198</v>
      </c>
      <c r="I26" s="294"/>
      <c r="J26" s="294" t="s">
        <v>290</v>
      </c>
      <c r="K26" s="294"/>
      <c r="L26" s="294" t="s">
        <v>153</v>
      </c>
      <c r="M26" s="294"/>
      <c r="N26" s="294"/>
      <c r="O26" s="295"/>
      <c r="P26" s="301"/>
      <c r="Q26" s="293"/>
      <c r="R26" s="293"/>
      <c r="S26" s="296"/>
      <c r="T26" s="273"/>
      <c r="U26" s="298"/>
      <c r="W26" s="299"/>
    </row>
    <row r="27" spans="1:23" s="274" customFormat="1" x14ac:dyDescent="0.3">
      <c r="A27" s="300"/>
      <c r="B27" s="293" t="s">
        <v>7</v>
      </c>
      <c r="C27" s="302"/>
      <c r="D27" s="295" t="s">
        <v>248</v>
      </c>
      <c r="E27" s="295"/>
      <c r="F27" s="295" t="s">
        <v>249</v>
      </c>
      <c r="G27" s="295"/>
      <c r="H27" s="295" t="s">
        <v>250</v>
      </c>
      <c r="I27" s="295"/>
      <c r="J27" s="295" t="s">
        <v>251</v>
      </c>
      <c r="K27" s="295"/>
      <c r="L27" s="295" t="s">
        <v>252</v>
      </c>
      <c r="M27" s="295"/>
      <c r="N27" s="295"/>
      <c r="O27" s="303"/>
      <c r="P27" s="303"/>
      <c r="Q27" s="302"/>
      <c r="R27" s="303"/>
      <c r="S27" s="304"/>
      <c r="T27" s="273"/>
      <c r="U27" s="298"/>
      <c r="W27" s="299"/>
    </row>
    <row r="28" spans="1:23" s="274" customFormat="1" x14ac:dyDescent="0.3">
      <c r="A28" s="292"/>
      <c r="B28" s="293" t="s">
        <v>106</v>
      </c>
      <c r="C28" s="305"/>
      <c r="D28" s="306">
        <v>125000</v>
      </c>
      <c r="E28" s="307"/>
      <c r="F28" s="308">
        <v>208300</v>
      </c>
      <c r="G28" s="309"/>
      <c r="H28" s="308">
        <v>19300</v>
      </c>
      <c r="I28" s="309"/>
      <c r="J28" s="308">
        <v>25400</v>
      </c>
      <c r="K28" s="303"/>
      <c r="L28" s="308">
        <v>8753</v>
      </c>
      <c r="M28" s="303"/>
      <c r="N28" s="307"/>
      <c r="O28" s="310"/>
      <c r="P28" s="310"/>
      <c r="Q28" s="305"/>
      <c r="R28" s="303"/>
      <c r="S28" s="304"/>
      <c r="T28" s="273"/>
    </row>
    <row r="29" spans="1:23" s="274" customFormat="1" x14ac:dyDescent="0.3">
      <c r="A29" s="300"/>
      <c r="B29" s="293" t="s">
        <v>105</v>
      </c>
      <c r="C29" s="302"/>
      <c r="D29" s="306">
        <f>D28*D35</f>
        <v>28373.762500000001</v>
      </c>
      <c r="E29" s="307"/>
      <c r="F29" s="308">
        <f>F28*F35</f>
        <v>47282.037830000001</v>
      </c>
      <c r="G29" s="308"/>
      <c r="H29" s="308">
        <f>H28*H35</f>
        <v>19300</v>
      </c>
      <c r="I29" s="308"/>
      <c r="J29" s="308">
        <f>J28*J35</f>
        <v>25400</v>
      </c>
      <c r="K29" s="303"/>
      <c r="L29" s="308">
        <f>L28*L35</f>
        <v>8753</v>
      </c>
      <c r="M29" s="303"/>
      <c r="N29" s="307"/>
      <c r="O29" s="303"/>
      <c r="P29" s="303"/>
      <c r="Q29" s="302"/>
      <c r="R29" s="303"/>
      <c r="S29" s="304"/>
      <c r="T29" s="273"/>
    </row>
    <row r="30" spans="1:23" s="274" customFormat="1" x14ac:dyDescent="0.3">
      <c r="A30" s="300"/>
      <c r="B30" s="297" t="s">
        <v>107</v>
      </c>
      <c r="C30" s="302"/>
      <c r="D30" s="311">
        <f>D28*D34</f>
        <v>20396.325000000001</v>
      </c>
      <c r="E30" s="312"/>
      <c r="F30" s="312">
        <f t="shared" ref="F30" si="0">F28*F34</f>
        <v>33988.435980000002</v>
      </c>
      <c r="G30" s="312"/>
      <c r="H30" s="312">
        <f t="shared" ref="H30" si="1">H28*H34</f>
        <v>19300</v>
      </c>
      <c r="I30" s="312"/>
      <c r="J30" s="312">
        <f t="shared" ref="J30" si="2">J28*J34</f>
        <v>25400</v>
      </c>
      <c r="K30" s="312"/>
      <c r="L30" s="312">
        <f t="shared" ref="L30" si="3">L28*L34</f>
        <v>8753</v>
      </c>
      <c r="M30" s="310"/>
      <c r="N30" s="313"/>
      <c r="O30" s="303"/>
      <c r="P30" s="303"/>
      <c r="Q30" s="302"/>
      <c r="R30" s="310"/>
      <c r="S30" s="304"/>
      <c r="T30" s="273"/>
    </row>
    <row r="31" spans="1:23" s="274" customFormat="1" x14ac:dyDescent="0.3">
      <c r="A31" s="300"/>
      <c r="B31" s="293" t="s">
        <v>221</v>
      </c>
      <c r="C31" s="302"/>
      <c r="D31" s="308">
        <v>88358</v>
      </c>
      <c r="E31" s="308"/>
      <c r="F31" s="308">
        <v>208300</v>
      </c>
      <c r="G31" s="308"/>
      <c r="H31" s="308">
        <v>19300</v>
      </c>
      <c r="I31" s="308"/>
      <c r="J31" s="308">
        <v>25400</v>
      </c>
      <c r="K31" s="308"/>
      <c r="L31" s="308">
        <v>8753</v>
      </c>
      <c r="M31" s="303"/>
      <c r="N31" s="313"/>
      <c r="O31" s="303"/>
      <c r="P31" s="303"/>
      <c r="Q31" s="302"/>
      <c r="R31" s="303">
        <f>SUM(D31:L31)</f>
        <v>350111</v>
      </c>
      <c r="S31" s="304"/>
      <c r="T31" s="273"/>
    </row>
    <row r="32" spans="1:23" s="274" customFormat="1" x14ac:dyDescent="0.3">
      <c r="A32" s="300"/>
      <c r="B32" s="293" t="s">
        <v>222</v>
      </c>
      <c r="C32" s="302"/>
      <c r="D32" s="308">
        <f>D31*D35</f>
        <v>20056.391255800001</v>
      </c>
      <c r="E32" s="308"/>
      <c r="F32" s="308">
        <f>F31*F35</f>
        <v>47282.037830000001</v>
      </c>
      <c r="G32" s="308"/>
      <c r="H32" s="308">
        <f>H31*H35</f>
        <v>19300</v>
      </c>
      <c r="I32" s="308"/>
      <c r="J32" s="308">
        <f>J31*J35</f>
        <v>25400</v>
      </c>
      <c r="K32" s="308"/>
      <c r="L32" s="308">
        <f>L31*L35</f>
        <v>8753</v>
      </c>
      <c r="M32" s="303"/>
      <c r="N32" s="313"/>
      <c r="O32" s="303"/>
      <c r="P32" s="303"/>
      <c r="Q32" s="302"/>
      <c r="R32" s="303">
        <f>SUM(D32:L32)</f>
        <v>120791.4290858</v>
      </c>
      <c r="S32" s="304"/>
      <c r="T32" s="273"/>
    </row>
    <row r="33" spans="1:20" s="274" customFormat="1" x14ac:dyDescent="0.3">
      <c r="A33" s="300"/>
      <c r="B33" s="297" t="s">
        <v>223</v>
      </c>
      <c r="C33" s="302"/>
      <c r="D33" s="312">
        <f>D31*D34</f>
        <v>14417.4278748</v>
      </c>
      <c r="E33" s="312"/>
      <c r="F33" s="312">
        <f t="shared" ref="F33:L33" si="4">F31*F34</f>
        <v>33988.435980000002</v>
      </c>
      <c r="G33" s="312"/>
      <c r="H33" s="312">
        <f t="shared" si="4"/>
        <v>19300</v>
      </c>
      <c r="I33" s="312"/>
      <c r="J33" s="312">
        <f t="shared" si="4"/>
        <v>25400</v>
      </c>
      <c r="K33" s="312"/>
      <c r="L33" s="312">
        <f t="shared" si="4"/>
        <v>8753</v>
      </c>
      <c r="M33" s="310"/>
      <c r="N33" s="313"/>
      <c r="O33" s="303"/>
      <c r="P33" s="303"/>
      <c r="Q33" s="302"/>
      <c r="R33" s="310">
        <f>SUM(D33:L33)</f>
        <v>101858.8638548</v>
      </c>
      <c r="S33" s="304"/>
      <c r="T33" s="273"/>
    </row>
    <row r="34" spans="1:20" s="324" customFormat="1" x14ac:dyDescent="0.3">
      <c r="A34" s="314"/>
      <c r="B34" s="315" t="s">
        <v>103</v>
      </c>
      <c r="C34" s="316"/>
      <c r="D34" s="317">
        <v>0.1631706</v>
      </c>
      <c r="E34" s="317"/>
      <c r="F34" s="317">
        <v>0.1631706</v>
      </c>
      <c r="G34" s="317"/>
      <c r="H34" s="317">
        <v>1</v>
      </c>
      <c r="I34" s="317"/>
      <c r="J34" s="317">
        <v>1</v>
      </c>
      <c r="K34" s="317"/>
      <c r="L34" s="317">
        <v>1</v>
      </c>
      <c r="M34" s="318"/>
      <c r="N34" s="318"/>
      <c r="O34" s="319"/>
      <c r="P34" s="319"/>
      <c r="Q34" s="320"/>
      <c r="R34" s="321"/>
      <c r="S34" s="322"/>
      <c r="T34" s="323"/>
    </row>
    <row r="35" spans="1:20" s="324" customFormat="1" x14ac:dyDescent="0.3">
      <c r="A35" s="314"/>
      <c r="B35" s="316" t="s">
        <v>104</v>
      </c>
      <c r="C35" s="316"/>
      <c r="D35" s="325">
        <v>0.2269901</v>
      </c>
      <c r="E35" s="325"/>
      <c r="F35" s="325">
        <v>0.2269901</v>
      </c>
      <c r="G35" s="325"/>
      <c r="H35" s="325">
        <v>1</v>
      </c>
      <c r="I35" s="325"/>
      <c r="J35" s="325">
        <v>1</v>
      </c>
      <c r="K35" s="325"/>
      <c r="L35" s="325">
        <v>1</v>
      </c>
      <c r="M35" s="318"/>
      <c r="N35" s="318"/>
      <c r="O35" s="326"/>
      <c r="P35" s="327"/>
      <c r="Q35" s="320"/>
      <c r="R35" s="326"/>
      <c r="S35" s="322"/>
      <c r="T35" s="323"/>
    </row>
    <row r="36" spans="1:20" s="274" customFormat="1" x14ac:dyDescent="0.3">
      <c r="A36" s="300"/>
      <c r="B36" s="293" t="s">
        <v>8</v>
      </c>
      <c r="C36" s="293"/>
      <c r="D36" s="301" t="s">
        <v>262</v>
      </c>
      <c r="E36" s="301"/>
      <c r="F36" s="301" t="s">
        <v>253</v>
      </c>
      <c r="G36" s="301"/>
      <c r="H36" s="301" t="s">
        <v>254</v>
      </c>
      <c r="I36" s="301"/>
      <c r="J36" s="301" t="s">
        <v>255</v>
      </c>
      <c r="K36" s="301"/>
      <c r="L36" s="301" t="s">
        <v>256</v>
      </c>
      <c r="M36" s="301"/>
      <c r="N36" s="301"/>
      <c r="O36" s="328"/>
      <c r="P36" s="329"/>
      <c r="Q36" s="293"/>
      <c r="R36" s="293"/>
      <c r="S36" s="296"/>
      <c r="T36" s="273"/>
    </row>
    <row r="37" spans="1:20" s="274" customFormat="1" x14ac:dyDescent="0.3">
      <c r="A37" s="300"/>
      <c r="B37" s="293" t="s">
        <v>9</v>
      </c>
      <c r="C37" s="330"/>
      <c r="D37" s="329">
        <v>7.7099999999999998E-3</v>
      </c>
      <c r="E37" s="329"/>
      <c r="F37" s="329">
        <v>2.0212500000000001E-2</v>
      </c>
      <c r="G37" s="329"/>
      <c r="H37" s="329">
        <v>2.9712499999999999E-2</v>
      </c>
      <c r="I37" s="329"/>
      <c r="J37" s="329">
        <v>3.7212500000000003E-2</v>
      </c>
      <c r="K37" s="329"/>
      <c r="L37" s="329">
        <v>4.0712499999999999E-2</v>
      </c>
      <c r="M37" s="328"/>
      <c r="N37" s="329"/>
      <c r="O37" s="301"/>
      <c r="P37" s="301"/>
      <c r="Q37" s="293"/>
      <c r="R37" s="328"/>
      <c r="S37" s="296"/>
      <c r="T37" s="273"/>
    </row>
    <row r="38" spans="1:20" s="274" customFormat="1" x14ac:dyDescent="0.3">
      <c r="A38" s="300"/>
      <c r="B38" s="293" t="s">
        <v>10</v>
      </c>
      <c r="C38" s="330"/>
      <c r="D38" s="329">
        <v>7.7099999999999998E-3</v>
      </c>
      <c r="E38" s="329"/>
      <c r="F38" s="329">
        <v>1.8787499999999999E-2</v>
      </c>
      <c r="G38" s="329"/>
      <c r="H38" s="329">
        <v>2.82875E-2</v>
      </c>
      <c r="I38" s="329"/>
      <c r="J38" s="329">
        <v>3.57875E-2</v>
      </c>
      <c r="K38" s="329"/>
      <c r="L38" s="329">
        <v>3.9287500000000003E-2</v>
      </c>
      <c r="M38" s="328"/>
      <c r="N38" s="329"/>
      <c r="O38" s="301"/>
      <c r="P38" s="301"/>
      <c r="Q38" s="293"/>
      <c r="R38" s="293"/>
      <c r="S38" s="296"/>
      <c r="T38" s="273"/>
    </row>
    <row r="39" spans="1:20" s="274" customFormat="1" x14ac:dyDescent="0.3">
      <c r="A39" s="300"/>
      <c r="B39" s="293" t="s">
        <v>226</v>
      </c>
      <c r="C39" s="330"/>
      <c r="D39" s="331" t="s">
        <v>264</v>
      </c>
      <c r="E39" s="329"/>
      <c r="F39" s="329" t="s">
        <v>253</v>
      </c>
      <c r="G39" s="329"/>
      <c r="H39" s="329" t="s">
        <v>254</v>
      </c>
      <c r="I39" s="329"/>
      <c r="J39" s="301" t="s">
        <v>255</v>
      </c>
      <c r="K39" s="329"/>
      <c r="L39" s="329" t="s">
        <v>256</v>
      </c>
      <c r="M39" s="328"/>
      <c r="N39" s="329"/>
      <c r="O39" s="301"/>
      <c r="P39" s="301"/>
      <c r="Q39" s="293"/>
      <c r="R39" s="293"/>
      <c r="S39" s="296"/>
      <c r="T39" s="273"/>
    </row>
    <row r="40" spans="1:20" s="274" customFormat="1" x14ac:dyDescent="0.3">
      <c r="A40" s="300"/>
      <c r="B40" s="293" t="s">
        <v>227</v>
      </c>
      <c r="C40" s="330"/>
      <c r="D40" s="329">
        <v>2.2682500000000001E-2</v>
      </c>
      <c r="E40" s="329"/>
      <c r="F40" s="329">
        <f>+F37</f>
        <v>2.0212500000000001E-2</v>
      </c>
      <c r="G40" s="329"/>
      <c r="H40" s="329">
        <f>+H37</f>
        <v>2.9712499999999999E-2</v>
      </c>
      <c r="I40" s="329"/>
      <c r="J40" s="329">
        <f>+J37</f>
        <v>3.7212500000000003E-2</v>
      </c>
      <c r="K40" s="329"/>
      <c r="L40" s="329">
        <f>+L37</f>
        <v>4.0712499999999999E-2</v>
      </c>
      <c r="M40" s="328"/>
      <c r="N40" s="329"/>
      <c r="O40" s="301"/>
      <c r="P40" s="301"/>
      <c r="Q40" s="293"/>
      <c r="R40" s="328">
        <f>SUMPRODUCT(D40:L40,D32:L32)/R32</f>
        <v>2.7200792073291315E-2</v>
      </c>
      <c r="S40" s="296"/>
      <c r="T40" s="273"/>
    </row>
    <row r="41" spans="1:20" s="274" customFormat="1" x14ac:dyDescent="0.3">
      <c r="A41" s="300"/>
      <c r="B41" s="293" t="s">
        <v>228</v>
      </c>
      <c r="C41" s="330"/>
      <c r="D41" s="329">
        <v>2.1257499999999999E-2</v>
      </c>
      <c r="E41" s="329"/>
      <c r="F41" s="329">
        <f>+F38</f>
        <v>1.8787499999999999E-2</v>
      </c>
      <c r="G41" s="329"/>
      <c r="H41" s="329">
        <f>+H38</f>
        <v>2.82875E-2</v>
      </c>
      <c r="I41" s="329"/>
      <c r="J41" s="329">
        <f>+J38</f>
        <v>3.57875E-2</v>
      </c>
      <c r="K41" s="329"/>
      <c r="L41" s="329">
        <f>+L38</f>
        <v>3.9287500000000003E-2</v>
      </c>
      <c r="M41" s="328"/>
      <c r="N41" s="329"/>
      <c r="O41" s="301"/>
      <c r="P41" s="301"/>
      <c r="Q41" s="293"/>
      <c r="R41" s="293"/>
      <c r="S41" s="296"/>
      <c r="T41" s="273"/>
    </row>
    <row r="42" spans="1:20" s="274" customFormat="1" x14ac:dyDescent="0.3">
      <c r="A42" s="300"/>
      <c r="B42" s="293" t="s">
        <v>229</v>
      </c>
      <c r="C42" s="293"/>
      <c r="D42" s="330">
        <v>43936</v>
      </c>
      <c r="E42" s="330"/>
      <c r="F42" s="330">
        <v>43936</v>
      </c>
      <c r="G42" s="330"/>
      <c r="H42" s="330">
        <v>43936</v>
      </c>
      <c r="I42" s="330"/>
      <c r="J42" s="330">
        <v>43936</v>
      </c>
      <c r="K42" s="330"/>
      <c r="L42" s="330">
        <v>43936</v>
      </c>
      <c r="M42" s="330"/>
      <c r="N42" s="330"/>
      <c r="O42" s="301"/>
      <c r="P42" s="301"/>
      <c r="Q42" s="293"/>
      <c r="R42" s="293"/>
      <c r="S42" s="296"/>
      <c r="T42" s="273"/>
    </row>
    <row r="43" spans="1:20" s="274" customFormat="1" x14ac:dyDescent="0.3">
      <c r="A43" s="300"/>
      <c r="B43" s="293" t="s">
        <v>11</v>
      </c>
      <c r="C43" s="293"/>
      <c r="D43" s="330">
        <v>43936</v>
      </c>
      <c r="E43" s="330"/>
      <c r="F43" s="330">
        <v>43936</v>
      </c>
      <c r="G43" s="301"/>
      <c r="H43" s="330">
        <v>43936</v>
      </c>
      <c r="I43" s="301"/>
      <c r="J43" s="330">
        <v>43936</v>
      </c>
      <c r="K43" s="301"/>
      <c r="L43" s="330" t="s">
        <v>97</v>
      </c>
      <c r="M43" s="301"/>
      <c r="N43" s="330"/>
      <c r="O43" s="301"/>
      <c r="P43" s="301"/>
      <c r="Q43" s="293"/>
      <c r="R43" s="293"/>
      <c r="S43" s="296"/>
      <c r="T43" s="273"/>
    </row>
    <row r="44" spans="1:20" s="274" customFormat="1" x14ac:dyDescent="0.3">
      <c r="A44" s="300"/>
      <c r="B44" s="293" t="s">
        <v>98</v>
      </c>
      <c r="C44" s="293"/>
      <c r="D44" s="301" t="s">
        <v>263</v>
      </c>
      <c r="E44" s="301"/>
      <c r="F44" s="301" t="s">
        <v>257</v>
      </c>
      <c r="G44" s="301"/>
      <c r="H44" s="301" t="s">
        <v>241</v>
      </c>
      <c r="I44" s="301"/>
      <c r="J44" s="301" t="s">
        <v>241</v>
      </c>
      <c r="K44" s="301"/>
      <c r="L44" s="301" t="s">
        <v>97</v>
      </c>
      <c r="M44" s="301"/>
      <c r="N44" s="301"/>
      <c r="O44" s="332"/>
      <c r="P44" s="332"/>
      <c r="Q44" s="332"/>
      <c r="R44" s="332"/>
      <c r="S44" s="296"/>
      <c r="T44" s="273"/>
    </row>
    <row r="45" spans="1:20" s="274" customFormat="1" x14ac:dyDescent="0.3">
      <c r="A45" s="300"/>
      <c r="B45" s="293" t="s">
        <v>230</v>
      </c>
      <c r="C45" s="293"/>
      <c r="D45" s="301" t="s">
        <v>265</v>
      </c>
      <c r="E45" s="301"/>
      <c r="F45" s="301" t="s">
        <v>257</v>
      </c>
      <c r="G45" s="301"/>
      <c r="H45" s="301" t="s">
        <v>241</v>
      </c>
      <c r="I45" s="301"/>
      <c r="J45" s="301" t="s">
        <v>241</v>
      </c>
      <c r="K45" s="301"/>
      <c r="L45" s="301" t="s">
        <v>97</v>
      </c>
      <c r="M45" s="301"/>
      <c r="N45" s="301"/>
      <c r="O45" s="332"/>
      <c r="P45" s="332"/>
      <c r="Q45" s="332"/>
      <c r="R45" s="332"/>
      <c r="S45" s="296"/>
      <c r="T45" s="273"/>
    </row>
    <row r="46" spans="1:20" s="274" customFormat="1" x14ac:dyDescent="0.3">
      <c r="A46" s="300"/>
      <c r="B46" s="293"/>
      <c r="C46" s="293"/>
      <c r="D46" s="301"/>
      <c r="E46" s="301"/>
      <c r="F46" s="301"/>
      <c r="G46" s="301"/>
      <c r="H46" s="301"/>
      <c r="I46" s="301"/>
      <c r="J46" s="301"/>
      <c r="K46" s="301"/>
      <c r="L46" s="301"/>
      <c r="M46" s="301"/>
      <c r="N46" s="301"/>
      <c r="O46" s="293"/>
      <c r="P46" s="293"/>
      <c r="Q46" s="293"/>
      <c r="R46" s="328" t="s">
        <v>130</v>
      </c>
      <c r="S46" s="296"/>
      <c r="T46" s="273"/>
    </row>
    <row r="47" spans="1:20" s="274" customFormat="1" x14ac:dyDescent="0.3">
      <c r="A47" s="300"/>
      <c r="B47" s="293" t="s">
        <v>258</v>
      </c>
      <c r="C47" s="293"/>
      <c r="D47" s="301"/>
      <c r="E47" s="301"/>
      <c r="F47" s="301"/>
      <c r="G47" s="301"/>
      <c r="H47" s="301"/>
      <c r="I47" s="301"/>
      <c r="J47" s="301"/>
      <c r="K47" s="301"/>
      <c r="L47" s="301"/>
      <c r="M47" s="301"/>
      <c r="N47" s="301"/>
      <c r="O47" s="293"/>
      <c r="P47" s="293"/>
      <c r="Q47" s="293"/>
      <c r="R47" s="333">
        <f>SUM(H31:L31)/(D31+F31)</f>
        <v>0.18018391548517149</v>
      </c>
      <c r="S47" s="296"/>
      <c r="T47" s="273"/>
    </row>
    <row r="48" spans="1:20" s="274" customFormat="1" x14ac:dyDescent="0.3">
      <c r="A48" s="300"/>
      <c r="B48" s="293" t="s">
        <v>259</v>
      </c>
      <c r="C48" s="293"/>
      <c r="D48" s="293"/>
      <c r="E48" s="293"/>
      <c r="F48" s="293"/>
      <c r="G48" s="293"/>
      <c r="H48" s="293"/>
      <c r="I48" s="293"/>
      <c r="J48" s="293"/>
      <c r="K48" s="293"/>
      <c r="L48" s="293"/>
      <c r="M48" s="293"/>
      <c r="N48" s="293"/>
      <c r="O48" s="293"/>
      <c r="P48" s="293"/>
      <c r="Q48" s="293"/>
      <c r="R48" s="333">
        <f>SUM(H33:L33)/(D33+F33)</f>
        <v>1.1042670400499321</v>
      </c>
      <c r="S48" s="296"/>
      <c r="T48" s="273"/>
    </row>
    <row r="49" spans="1:21" s="274" customFormat="1" x14ac:dyDescent="0.3">
      <c r="A49" s="300"/>
      <c r="B49" s="293" t="s">
        <v>260</v>
      </c>
      <c r="C49" s="293"/>
      <c r="D49" s="293"/>
      <c r="E49" s="293"/>
      <c r="F49" s="293"/>
      <c r="G49" s="293"/>
      <c r="H49" s="293"/>
      <c r="I49" s="293"/>
      <c r="J49" s="293"/>
      <c r="K49" s="293"/>
      <c r="L49" s="293"/>
      <c r="M49" s="293"/>
      <c r="N49" s="293"/>
      <c r="O49" s="293"/>
      <c r="P49" s="301"/>
      <c r="Q49" s="301"/>
      <c r="R49" s="303" t="s">
        <v>149</v>
      </c>
      <c r="S49" s="296"/>
      <c r="T49" s="273"/>
    </row>
    <row r="50" spans="1:21" s="274" customFormat="1" x14ac:dyDescent="0.3">
      <c r="A50" s="300"/>
      <c r="B50" s="293"/>
      <c r="C50" s="293"/>
      <c r="D50" s="293"/>
      <c r="E50" s="293"/>
      <c r="F50" s="293"/>
      <c r="G50" s="293"/>
      <c r="H50" s="293"/>
      <c r="I50" s="293"/>
      <c r="J50" s="293"/>
      <c r="K50" s="293"/>
      <c r="L50" s="293"/>
      <c r="M50" s="293"/>
      <c r="N50" s="293"/>
      <c r="O50" s="293"/>
      <c r="P50" s="293"/>
      <c r="Q50" s="293"/>
      <c r="R50" s="334"/>
      <c r="S50" s="296"/>
      <c r="T50" s="273"/>
    </row>
    <row r="51" spans="1:21" s="274" customFormat="1" x14ac:dyDescent="0.3">
      <c r="A51" s="300"/>
      <c r="B51" s="293" t="s">
        <v>266</v>
      </c>
      <c r="C51" s="293"/>
      <c r="D51" s="293"/>
      <c r="E51" s="293"/>
      <c r="F51" s="293"/>
      <c r="G51" s="293"/>
      <c r="H51" s="293"/>
      <c r="I51" s="293"/>
      <c r="J51" s="293"/>
      <c r="K51" s="293"/>
      <c r="L51" s="293"/>
      <c r="M51" s="293"/>
      <c r="N51" s="293"/>
      <c r="O51" s="293"/>
      <c r="P51" s="293"/>
      <c r="Q51" s="293"/>
      <c r="R51" s="335" t="s">
        <v>91</v>
      </c>
      <c r="S51" s="296"/>
      <c r="T51" s="273"/>
    </row>
    <row r="52" spans="1:21" s="274" customFormat="1" x14ac:dyDescent="0.3">
      <c r="A52" s="300"/>
      <c r="B52" s="297" t="s">
        <v>131</v>
      </c>
      <c r="C52" s="297"/>
      <c r="D52" s="297"/>
      <c r="E52" s="297"/>
      <c r="F52" s="297"/>
      <c r="G52" s="297"/>
      <c r="H52" s="297"/>
      <c r="I52" s="297"/>
      <c r="J52" s="297"/>
      <c r="K52" s="297"/>
      <c r="L52" s="297"/>
      <c r="M52" s="297"/>
      <c r="N52" s="297"/>
      <c r="O52" s="297"/>
      <c r="P52" s="336"/>
      <c r="Q52" s="336"/>
      <c r="R52" s="337">
        <v>43206</v>
      </c>
      <c r="S52" s="296"/>
      <c r="T52" s="273"/>
    </row>
    <row r="53" spans="1:21" s="274" customFormat="1" x14ac:dyDescent="0.3">
      <c r="A53" s="300"/>
      <c r="B53" s="293" t="s">
        <v>99</v>
      </c>
      <c r="C53" s="293"/>
      <c r="D53" s="338"/>
      <c r="E53" s="338"/>
      <c r="F53" s="338"/>
      <c r="G53" s="338"/>
      <c r="H53" s="338"/>
      <c r="I53" s="338"/>
      <c r="J53" s="338"/>
      <c r="K53" s="338"/>
      <c r="L53" s="338"/>
      <c r="M53" s="338"/>
      <c r="N53" s="293">
        <f>+R53-P53+1</f>
        <v>91</v>
      </c>
      <c r="O53" s="293"/>
      <c r="P53" s="339">
        <v>43024</v>
      </c>
      <c r="Q53" s="340"/>
      <c r="R53" s="339">
        <v>43114</v>
      </c>
      <c r="S53" s="296"/>
      <c r="T53" s="273"/>
    </row>
    <row r="54" spans="1:21" s="274" customFormat="1" x14ac:dyDescent="0.3">
      <c r="A54" s="300"/>
      <c r="B54" s="293" t="s">
        <v>100</v>
      </c>
      <c r="C54" s="293"/>
      <c r="D54" s="293"/>
      <c r="E54" s="293"/>
      <c r="F54" s="293"/>
      <c r="G54" s="293"/>
      <c r="H54" s="293"/>
      <c r="I54" s="293"/>
      <c r="J54" s="293"/>
      <c r="K54" s="293"/>
      <c r="L54" s="293"/>
      <c r="M54" s="293"/>
      <c r="N54" s="293">
        <f>+R54-P54+1</f>
        <v>91</v>
      </c>
      <c r="O54" s="293"/>
      <c r="P54" s="339">
        <v>43115</v>
      </c>
      <c r="Q54" s="340"/>
      <c r="R54" s="339">
        <v>43205</v>
      </c>
      <c r="S54" s="296"/>
      <c r="T54" s="273"/>
    </row>
    <row r="55" spans="1:21" s="274" customFormat="1" x14ac:dyDescent="0.3">
      <c r="A55" s="300"/>
      <c r="B55" s="293" t="s">
        <v>231</v>
      </c>
      <c r="C55" s="293"/>
      <c r="D55" s="293"/>
      <c r="E55" s="293"/>
      <c r="F55" s="293"/>
      <c r="G55" s="293"/>
      <c r="H55" s="293"/>
      <c r="I55" s="293"/>
      <c r="J55" s="293"/>
      <c r="K55" s="293"/>
      <c r="L55" s="293"/>
      <c r="M55" s="293"/>
      <c r="N55" s="293"/>
      <c r="O55" s="293"/>
      <c r="P55" s="339"/>
      <c r="Q55" s="340"/>
      <c r="R55" s="339" t="s">
        <v>232</v>
      </c>
      <c r="S55" s="296"/>
      <c r="T55" s="273"/>
    </row>
    <row r="56" spans="1:21" s="274" customFormat="1" x14ac:dyDescent="0.3">
      <c r="A56" s="300"/>
      <c r="B56" s="293" t="s">
        <v>267</v>
      </c>
      <c r="C56" s="293"/>
      <c r="D56" s="293"/>
      <c r="E56" s="293"/>
      <c r="F56" s="293"/>
      <c r="G56" s="293"/>
      <c r="H56" s="293"/>
      <c r="I56" s="293"/>
      <c r="J56" s="293"/>
      <c r="K56" s="293"/>
      <c r="L56" s="293"/>
      <c r="M56" s="293"/>
      <c r="N56" s="293"/>
      <c r="O56" s="293"/>
      <c r="P56" s="339"/>
      <c r="Q56" s="340"/>
      <c r="R56" s="339" t="s">
        <v>118</v>
      </c>
      <c r="S56" s="296"/>
      <c r="T56" s="273"/>
      <c r="U56" s="341"/>
    </row>
    <row r="57" spans="1:21" s="274" customFormat="1" x14ac:dyDescent="0.3">
      <c r="A57" s="300"/>
      <c r="B57" s="293" t="s">
        <v>12</v>
      </c>
      <c r="C57" s="293"/>
      <c r="D57" s="293"/>
      <c r="E57" s="293"/>
      <c r="F57" s="293"/>
      <c r="G57" s="293"/>
      <c r="H57" s="293"/>
      <c r="I57" s="293"/>
      <c r="J57" s="293"/>
      <c r="K57" s="293"/>
      <c r="L57" s="293"/>
      <c r="M57" s="293"/>
      <c r="N57" s="293"/>
      <c r="O57" s="293"/>
      <c r="P57" s="339"/>
      <c r="Q57" s="340"/>
      <c r="R57" s="339">
        <v>43193</v>
      </c>
      <c r="S57" s="296"/>
      <c r="T57" s="273"/>
    </row>
    <row r="58" spans="1:21" s="274" customFormat="1" x14ac:dyDescent="0.3">
      <c r="A58" s="269"/>
      <c r="B58" s="290"/>
      <c r="C58" s="290"/>
      <c r="D58" s="290"/>
      <c r="E58" s="290"/>
      <c r="F58" s="290"/>
      <c r="G58" s="290"/>
      <c r="H58" s="290"/>
      <c r="I58" s="290"/>
      <c r="J58" s="290"/>
      <c r="K58" s="290"/>
      <c r="L58" s="290"/>
      <c r="M58" s="290"/>
      <c r="N58" s="290"/>
      <c r="O58" s="290"/>
      <c r="P58" s="342"/>
      <c r="Q58" s="343"/>
      <c r="R58" s="342"/>
      <c r="S58" s="272"/>
      <c r="T58" s="273"/>
    </row>
    <row r="59" spans="1:21" s="274" customFormat="1" x14ac:dyDescent="0.3">
      <c r="A59" s="269"/>
      <c r="B59" s="271"/>
      <c r="C59" s="271"/>
      <c r="D59" s="271"/>
      <c r="E59" s="271"/>
      <c r="F59" s="271"/>
      <c r="G59" s="271"/>
      <c r="H59" s="271"/>
      <c r="I59" s="271"/>
      <c r="J59" s="271"/>
      <c r="K59" s="271"/>
      <c r="L59" s="271"/>
      <c r="M59" s="271"/>
      <c r="N59" s="271"/>
      <c r="O59" s="271"/>
      <c r="P59" s="344"/>
      <c r="Q59" s="345"/>
      <c r="R59" s="344"/>
      <c r="S59" s="272"/>
      <c r="T59" s="273"/>
    </row>
    <row r="60" spans="1:21" s="274" customFormat="1" ht="18.600000000000001" thickBot="1" x14ac:dyDescent="0.4">
      <c r="A60" s="346"/>
      <c r="B60" s="347" t="s">
        <v>289</v>
      </c>
      <c r="C60" s="348"/>
      <c r="D60" s="348"/>
      <c r="E60" s="348"/>
      <c r="F60" s="348"/>
      <c r="G60" s="348"/>
      <c r="H60" s="348"/>
      <c r="I60" s="348"/>
      <c r="J60" s="348"/>
      <c r="K60" s="348"/>
      <c r="L60" s="348"/>
      <c r="M60" s="348"/>
      <c r="N60" s="348"/>
      <c r="O60" s="348"/>
      <c r="P60" s="348"/>
      <c r="Q60" s="348"/>
      <c r="R60" s="349"/>
      <c r="S60" s="350"/>
      <c r="T60" s="273"/>
    </row>
    <row r="61" spans="1:21" x14ac:dyDescent="0.3">
      <c r="A61" s="285"/>
      <c r="B61" s="351" t="s">
        <v>13</v>
      </c>
      <c r="C61" s="352"/>
      <c r="D61" s="352"/>
      <c r="E61" s="352"/>
      <c r="F61" s="352"/>
      <c r="G61" s="352"/>
      <c r="H61" s="352"/>
      <c r="I61" s="352"/>
      <c r="J61" s="352"/>
      <c r="K61" s="352"/>
      <c r="L61" s="352"/>
      <c r="M61" s="352"/>
      <c r="N61" s="352"/>
      <c r="O61" s="352"/>
      <c r="P61" s="352"/>
      <c r="Q61" s="352"/>
      <c r="R61" s="353"/>
      <c r="S61" s="352"/>
      <c r="T61" s="256"/>
    </row>
    <row r="62" spans="1:21" x14ac:dyDescent="0.3">
      <c r="A62" s="258"/>
      <c r="B62" s="268"/>
      <c r="C62" s="260"/>
      <c r="D62" s="260"/>
      <c r="E62" s="260"/>
      <c r="F62" s="260"/>
      <c r="G62" s="260"/>
      <c r="H62" s="260"/>
      <c r="I62" s="260"/>
      <c r="J62" s="260"/>
      <c r="K62" s="260"/>
      <c r="L62" s="260"/>
      <c r="M62" s="260"/>
      <c r="N62" s="260"/>
      <c r="O62" s="260"/>
      <c r="P62" s="260"/>
      <c r="Q62" s="260"/>
      <c r="R62" s="354"/>
      <c r="S62" s="261"/>
      <c r="T62" s="256"/>
    </row>
    <row r="63" spans="1:21" s="324" customFormat="1" ht="46.8" x14ac:dyDescent="0.3">
      <c r="A63" s="355"/>
      <c r="B63" s="356" t="s">
        <v>14</v>
      </c>
      <c r="C63" s="357"/>
      <c r="D63" s="357"/>
      <c r="E63" s="357"/>
      <c r="F63" s="357" t="s">
        <v>76</v>
      </c>
      <c r="G63" s="357"/>
      <c r="H63" s="357" t="s">
        <v>78</v>
      </c>
      <c r="I63" s="357"/>
      <c r="J63" s="357" t="s">
        <v>162</v>
      </c>
      <c r="K63" s="357"/>
      <c r="L63" s="357" t="s">
        <v>163</v>
      </c>
      <c r="M63" s="357"/>
      <c r="N63" s="357" t="s">
        <v>81</v>
      </c>
      <c r="O63" s="357"/>
      <c r="P63" s="357" t="s">
        <v>86</v>
      </c>
      <c r="Q63" s="357"/>
      <c r="R63" s="358" t="s">
        <v>92</v>
      </c>
      <c r="S63" s="359"/>
      <c r="T63" s="323"/>
    </row>
    <row r="64" spans="1:21" s="274" customFormat="1" x14ac:dyDescent="0.3">
      <c r="A64" s="300"/>
      <c r="B64" s="293" t="s">
        <v>15</v>
      </c>
      <c r="C64" s="360"/>
      <c r="D64" s="360"/>
      <c r="E64" s="360"/>
      <c r="F64" s="360">
        <v>348459</v>
      </c>
      <c r="G64" s="360"/>
      <c r="H64" s="361">
        <v>120791</v>
      </c>
      <c r="I64" s="360"/>
      <c r="J64" s="361">
        <v>100</v>
      </c>
      <c r="K64" s="360"/>
      <c r="L64" s="360">
        <v>13982</v>
      </c>
      <c r="M64" s="360"/>
      <c r="N64" s="360">
        <v>0</v>
      </c>
      <c r="O64" s="360"/>
      <c r="P64" s="360">
        <f>500+2020+2330</f>
        <v>4850</v>
      </c>
      <c r="Q64" s="360"/>
      <c r="R64" s="361">
        <f>H64-J64-L64+N64-P64</f>
        <v>101859</v>
      </c>
      <c r="S64" s="296"/>
      <c r="T64" s="273"/>
    </row>
    <row r="65" spans="1:20" s="274" customFormat="1" x14ac:dyDescent="0.3">
      <c r="A65" s="300"/>
      <c r="B65" s="293" t="s">
        <v>16</v>
      </c>
      <c r="C65" s="360"/>
      <c r="D65" s="360"/>
      <c r="E65" s="360"/>
      <c r="F65" s="360">
        <v>0</v>
      </c>
      <c r="G65" s="360"/>
      <c r="H65" s="361">
        <v>0</v>
      </c>
      <c r="I65" s="360"/>
      <c r="J65" s="361">
        <v>0</v>
      </c>
      <c r="K65" s="360"/>
      <c r="L65" s="360">
        <v>0</v>
      </c>
      <c r="M65" s="360"/>
      <c r="N65" s="360">
        <v>0</v>
      </c>
      <c r="O65" s="360"/>
      <c r="P65" s="360">
        <v>0</v>
      </c>
      <c r="Q65" s="360"/>
      <c r="R65" s="361">
        <f>F65-J65-L65</f>
        <v>0</v>
      </c>
      <c r="S65" s="296"/>
      <c r="T65" s="273"/>
    </row>
    <row r="66" spans="1:20" s="274" customFormat="1" x14ac:dyDescent="0.3">
      <c r="A66" s="300"/>
      <c r="B66" s="293"/>
      <c r="C66" s="360"/>
      <c r="D66" s="360"/>
      <c r="E66" s="360"/>
      <c r="F66" s="360"/>
      <c r="G66" s="360"/>
      <c r="H66" s="361"/>
      <c r="I66" s="360"/>
      <c r="J66" s="361"/>
      <c r="K66" s="360"/>
      <c r="L66" s="360"/>
      <c r="M66" s="360"/>
      <c r="N66" s="360"/>
      <c r="O66" s="360"/>
      <c r="P66" s="360"/>
      <c r="Q66" s="360"/>
      <c r="R66" s="361"/>
      <c r="S66" s="296"/>
      <c r="T66" s="273"/>
    </row>
    <row r="67" spans="1:20" s="274" customFormat="1" x14ac:dyDescent="0.3">
      <c r="A67" s="300"/>
      <c r="B67" s="293" t="s">
        <v>17</v>
      </c>
      <c r="C67" s="360"/>
      <c r="D67" s="360"/>
      <c r="E67" s="360"/>
      <c r="F67" s="360">
        <f>SUM(F64:F66)</f>
        <v>348459</v>
      </c>
      <c r="G67" s="360"/>
      <c r="H67" s="360">
        <f>H64+H65</f>
        <v>120791</v>
      </c>
      <c r="I67" s="360"/>
      <c r="J67" s="360">
        <f>J64+J65</f>
        <v>100</v>
      </c>
      <c r="K67" s="360"/>
      <c r="L67" s="360">
        <f>SUM(L64:L66)</f>
        <v>13982</v>
      </c>
      <c r="M67" s="360"/>
      <c r="N67" s="360">
        <f>SUM(N64:N66)</f>
        <v>0</v>
      </c>
      <c r="O67" s="360"/>
      <c r="P67" s="360">
        <f>SUM(P64:P66)</f>
        <v>4850</v>
      </c>
      <c r="Q67" s="360"/>
      <c r="R67" s="360">
        <f>SUM(R64:R66)</f>
        <v>101859</v>
      </c>
      <c r="S67" s="296"/>
      <c r="T67" s="273"/>
    </row>
    <row r="68" spans="1:20" x14ac:dyDescent="0.3">
      <c r="A68" s="258"/>
      <c r="B68" s="362"/>
      <c r="C68" s="363"/>
      <c r="D68" s="363"/>
      <c r="E68" s="363"/>
      <c r="F68" s="363"/>
      <c r="G68" s="363"/>
      <c r="H68" s="363"/>
      <c r="I68" s="363"/>
      <c r="J68" s="363"/>
      <c r="K68" s="363"/>
      <c r="L68" s="363"/>
      <c r="M68" s="363"/>
      <c r="N68" s="363"/>
      <c r="O68" s="363"/>
      <c r="P68" s="363"/>
      <c r="Q68" s="363"/>
      <c r="R68" s="364"/>
      <c r="S68" s="261"/>
      <c r="T68" s="256"/>
    </row>
    <row r="69" spans="1:20" s="324" customFormat="1" x14ac:dyDescent="0.3">
      <c r="A69" s="355"/>
      <c r="B69" s="263" t="s">
        <v>18</v>
      </c>
      <c r="C69" s="365"/>
      <c r="D69" s="365"/>
      <c r="E69" s="365"/>
      <c r="F69" s="365"/>
      <c r="G69" s="365"/>
      <c r="H69" s="365"/>
      <c r="I69" s="365"/>
      <c r="J69" s="365"/>
      <c r="K69" s="365"/>
      <c r="L69" s="365"/>
      <c r="M69" s="365"/>
      <c r="N69" s="365"/>
      <c r="O69" s="365"/>
      <c r="P69" s="365"/>
      <c r="Q69" s="365"/>
      <c r="R69" s="365"/>
      <c r="S69" s="359"/>
      <c r="T69" s="323"/>
    </row>
    <row r="70" spans="1:20" x14ac:dyDescent="0.3">
      <c r="A70" s="258"/>
      <c r="B70" s="260"/>
      <c r="C70" s="366"/>
      <c r="D70" s="366"/>
      <c r="E70" s="366"/>
      <c r="F70" s="366"/>
      <c r="G70" s="366"/>
      <c r="H70" s="366"/>
      <c r="I70" s="366"/>
      <c r="J70" s="366"/>
      <c r="K70" s="366"/>
      <c r="L70" s="366"/>
      <c r="M70" s="366"/>
      <c r="N70" s="366"/>
      <c r="O70" s="366"/>
      <c r="P70" s="366"/>
      <c r="Q70" s="366"/>
      <c r="R70" s="367"/>
      <c r="S70" s="261"/>
      <c r="T70" s="256"/>
    </row>
    <row r="71" spans="1:20" s="274" customFormat="1" x14ac:dyDescent="0.3">
      <c r="A71" s="300"/>
      <c r="B71" s="293" t="s">
        <v>15</v>
      </c>
      <c r="C71" s="360"/>
      <c r="D71" s="360"/>
      <c r="E71" s="360"/>
      <c r="F71" s="360"/>
      <c r="G71" s="360"/>
      <c r="H71" s="360"/>
      <c r="I71" s="360"/>
      <c r="J71" s="360"/>
      <c r="K71" s="360"/>
      <c r="L71" s="360"/>
      <c r="M71" s="360"/>
      <c r="N71" s="360"/>
      <c r="O71" s="360"/>
      <c r="P71" s="360"/>
      <c r="Q71" s="360"/>
      <c r="R71" s="360"/>
      <c r="S71" s="296"/>
      <c r="T71" s="273"/>
    </row>
    <row r="72" spans="1:20" s="274" customFormat="1" x14ac:dyDescent="0.3">
      <c r="A72" s="300"/>
      <c r="B72" s="293" t="s">
        <v>16</v>
      </c>
      <c r="C72" s="360"/>
      <c r="D72" s="360"/>
      <c r="E72" s="360"/>
      <c r="F72" s="360"/>
      <c r="G72" s="360"/>
      <c r="H72" s="360"/>
      <c r="I72" s="360"/>
      <c r="J72" s="360"/>
      <c r="K72" s="360"/>
      <c r="L72" s="360"/>
      <c r="M72" s="360"/>
      <c r="N72" s="360"/>
      <c r="O72" s="360"/>
      <c r="P72" s="360"/>
      <c r="Q72" s="360"/>
      <c r="R72" s="360"/>
      <c r="S72" s="296"/>
      <c r="T72" s="273"/>
    </row>
    <row r="73" spans="1:20" s="274" customFormat="1" x14ac:dyDescent="0.3">
      <c r="A73" s="300"/>
      <c r="B73" s="293"/>
      <c r="C73" s="360"/>
      <c r="D73" s="360"/>
      <c r="E73" s="360"/>
      <c r="F73" s="360"/>
      <c r="G73" s="360"/>
      <c r="H73" s="360"/>
      <c r="I73" s="360"/>
      <c r="J73" s="360"/>
      <c r="K73" s="360"/>
      <c r="L73" s="360"/>
      <c r="M73" s="360"/>
      <c r="N73" s="360"/>
      <c r="O73" s="360"/>
      <c r="P73" s="360"/>
      <c r="Q73" s="360"/>
      <c r="R73" s="360"/>
      <c r="S73" s="296"/>
      <c r="T73" s="273"/>
    </row>
    <row r="74" spans="1:20" s="274" customFormat="1" x14ac:dyDescent="0.3">
      <c r="A74" s="300"/>
      <c r="B74" s="293" t="s">
        <v>17</v>
      </c>
      <c r="C74" s="360"/>
      <c r="D74" s="360"/>
      <c r="E74" s="360"/>
      <c r="F74" s="360"/>
      <c r="G74" s="360"/>
      <c r="H74" s="360"/>
      <c r="I74" s="360"/>
      <c r="J74" s="360"/>
      <c r="K74" s="360"/>
      <c r="L74" s="360"/>
      <c r="M74" s="360"/>
      <c r="N74" s="360"/>
      <c r="O74" s="360"/>
      <c r="P74" s="360"/>
      <c r="Q74" s="360"/>
      <c r="R74" s="360"/>
      <c r="S74" s="296"/>
      <c r="T74" s="273"/>
    </row>
    <row r="75" spans="1:20" s="274" customFormat="1" x14ac:dyDescent="0.3">
      <c r="A75" s="300"/>
      <c r="B75" s="293"/>
      <c r="C75" s="360"/>
      <c r="D75" s="360"/>
      <c r="E75" s="360"/>
      <c r="F75" s="360"/>
      <c r="G75" s="360"/>
      <c r="H75" s="360"/>
      <c r="I75" s="360"/>
      <c r="J75" s="360"/>
      <c r="K75" s="360"/>
      <c r="L75" s="360"/>
      <c r="M75" s="360"/>
      <c r="N75" s="360"/>
      <c r="O75" s="360"/>
      <c r="P75" s="360"/>
      <c r="Q75" s="360"/>
      <c r="R75" s="360"/>
      <c r="S75" s="296"/>
      <c r="T75" s="273"/>
    </row>
    <row r="76" spans="1:20" s="274" customFormat="1" x14ac:dyDescent="0.3">
      <c r="A76" s="300"/>
      <c r="B76" s="293" t="s">
        <v>19</v>
      </c>
      <c r="C76" s="360"/>
      <c r="D76" s="360"/>
      <c r="E76" s="360"/>
      <c r="F76" s="360">
        <v>0</v>
      </c>
      <c r="G76" s="360"/>
      <c r="H76" s="360">
        <v>0</v>
      </c>
      <c r="I76" s="360"/>
      <c r="J76" s="360"/>
      <c r="K76" s="360"/>
      <c r="L76" s="360"/>
      <c r="M76" s="360"/>
      <c r="N76" s="360"/>
      <c r="O76" s="360"/>
      <c r="P76" s="360"/>
      <c r="Q76" s="360"/>
      <c r="R76" s="361">
        <v>0</v>
      </c>
      <c r="S76" s="296"/>
      <c r="T76" s="273"/>
    </row>
    <row r="77" spans="1:20" s="274" customFormat="1" x14ac:dyDescent="0.3">
      <c r="A77" s="300"/>
      <c r="B77" s="293" t="s">
        <v>195</v>
      </c>
      <c r="C77" s="360"/>
      <c r="D77" s="360"/>
      <c r="E77" s="360"/>
      <c r="F77" s="360">
        <v>0</v>
      </c>
      <c r="G77" s="360"/>
      <c r="H77" s="360">
        <v>0</v>
      </c>
      <c r="I77" s="360"/>
      <c r="J77" s="360">
        <v>0</v>
      </c>
      <c r="K77" s="360"/>
      <c r="L77" s="360">
        <v>0</v>
      </c>
      <c r="M77" s="360"/>
      <c r="N77" s="360"/>
      <c r="O77" s="360"/>
      <c r="P77" s="360"/>
      <c r="Q77" s="360"/>
      <c r="R77" s="360">
        <v>0</v>
      </c>
      <c r="S77" s="296"/>
      <c r="T77" s="273"/>
    </row>
    <row r="78" spans="1:20" s="274" customFormat="1" x14ac:dyDescent="0.3">
      <c r="A78" s="300"/>
      <c r="B78" s="293" t="s">
        <v>205</v>
      </c>
      <c r="C78" s="360"/>
      <c r="D78" s="360"/>
      <c r="E78" s="360"/>
      <c r="F78" s="360">
        <v>1652</v>
      </c>
      <c r="G78" s="360"/>
      <c r="H78" s="360">
        <v>0</v>
      </c>
      <c r="I78" s="360"/>
      <c r="J78" s="360"/>
      <c r="K78" s="360"/>
      <c r="L78" s="360"/>
      <c r="M78" s="360"/>
      <c r="N78" s="360">
        <v>0</v>
      </c>
      <c r="O78" s="360"/>
      <c r="P78" s="360"/>
      <c r="Q78" s="360"/>
      <c r="R78" s="360">
        <f>+H78+N78</f>
        <v>0</v>
      </c>
      <c r="S78" s="296"/>
      <c r="T78" s="273"/>
    </row>
    <row r="79" spans="1:20" s="274" customFormat="1" x14ac:dyDescent="0.3">
      <c r="A79" s="300"/>
      <c r="B79" s="293" t="s">
        <v>20</v>
      </c>
      <c r="C79" s="360"/>
      <c r="D79" s="360"/>
      <c r="E79" s="360"/>
      <c r="F79" s="360">
        <v>0</v>
      </c>
      <c r="G79" s="360"/>
      <c r="H79" s="360">
        <v>0</v>
      </c>
      <c r="I79" s="360"/>
      <c r="J79" s="360"/>
      <c r="K79" s="360"/>
      <c r="L79" s="360"/>
      <c r="M79" s="360"/>
      <c r="N79" s="360"/>
      <c r="O79" s="360"/>
      <c r="P79" s="360"/>
      <c r="Q79" s="360"/>
      <c r="R79" s="360">
        <v>0</v>
      </c>
      <c r="S79" s="296"/>
      <c r="T79" s="273"/>
    </row>
    <row r="80" spans="1:20" s="274" customFormat="1" x14ac:dyDescent="0.3">
      <c r="A80" s="300"/>
      <c r="B80" s="293" t="s">
        <v>21</v>
      </c>
      <c r="C80" s="360"/>
      <c r="D80" s="360"/>
      <c r="E80" s="360"/>
      <c r="F80" s="360">
        <f>SUM(F67:F79)</f>
        <v>350111</v>
      </c>
      <c r="G80" s="360"/>
      <c r="H80" s="360">
        <f>SUM(H67:H79)</f>
        <v>120791</v>
      </c>
      <c r="I80" s="360"/>
      <c r="J80" s="360"/>
      <c r="K80" s="360"/>
      <c r="L80" s="360"/>
      <c r="M80" s="360"/>
      <c r="N80" s="360"/>
      <c r="O80" s="360"/>
      <c r="P80" s="360"/>
      <c r="Q80" s="360"/>
      <c r="R80" s="360">
        <f>SUM(R67:R79)</f>
        <v>101859</v>
      </c>
      <c r="S80" s="296"/>
      <c r="T80" s="273"/>
    </row>
    <row r="81" spans="1:20" x14ac:dyDescent="0.3">
      <c r="A81" s="258"/>
      <c r="B81" s="362"/>
      <c r="C81" s="363"/>
      <c r="D81" s="363"/>
      <c r="E81" s="363"/>
      <c r="F81" s="363"/>
      <c r="G81" s="363"/>
      <c r="H81" s="363"/>
      <c r="I81" s="363"/>
      <c r="J81" s="363"/>
      <c r="K81" s="363"/>
      <c r="L81" s="363"/>
      <c r="M81" s="363"/>
      <c r="N81" s="363"/>
      <c r="O81" s="363"/>
      <c r="P81" s="363"/>
      <c r="Q81" s="363"/>
      <c r="R81" s="364"/>
      <c r="S81" s="261"/>
      <c r="T81" s="256"/>
    </row>
    <row r="82" spans="1:20" x14ac:dyDescent="0.3">
      <c r="A82" s="258"/>
      <c r="B82" s="260"/>
      <c r="C82" s="260"/>
      <c r="D82" s="260"/>
      <c r="E82" s="260"/>
      <c r="F82" s="260"/>
      <c r="G82" s="260"/>
      <c r="H82" s="260"/>
      <c r="I82" s="260"/>
      <c r="J82" s="260"/>
      <c r="K82" s="260"/>
      <c r="L82" s="260"/>
      <c r="M82" s="260"/>
      <c r="N82" s="260"/>
      <c r="O82" s="260"/>
      <c r="P82" s="260"/>
      <c r="Q82" s="260"/>
      <c r="R82" s="260"/>
      <c r="S82" s="261"/>
      <c r="T82" s="256"/>
    </row>
    <row r="83" spans="1:20" x14ac:dyDescent="0.3">
      <c r="A83" s="285"/>
      <c r="B83" s="368" t="s">
        <v>22</v>
      </c>
      <c r="C83" s="368"/>
      <c r="D83" s="369"/>
      <c r="E83" s="369"/>
      <c r="F83" s="369"/>
      <c r="G83" s="369"/>
      <c r="H83" s="370" t="s">
        <v>77</v>
      </c>
      <c r="I83" s="369"/>
      <c r="J83" s="371">
        <f>+P206</f>
        <v>43188</v>
      </c>
      <c r="K83" s="369"/>
      <c r="L83" s="369"/>
      <c r="M83" s="369"/>
      <c r="N83" s="369"/>
      <c r="O83" s="369"/>
      <c r="P83" s="369" t="s">
        <v>87</v>
      </c>
      <c r="Q83" s="369"/>
      <c r="R83" s="369" t="s">
        <v>93</v>
      </c>
      <c r="S83" s="289"/>
      <c r="T83" s="256"/>
    </row>
    <row r="84" spans="1:20" s="274" customFormat="1" x14ac:dyDescent="0.3">
      <c r="A84" s="269"/>
      <c r="B84" s="290" t="s">
        <v>23</v>
      </c>
      <c r="C84" s="290"/>
      <c r="D84" s="290"/>
      <c r="E84" s="290"/>
      <c r="F84" s="290"/>
      <c r="G84" s="290"/>
      <c r="H84" s="290"/>
      <c r="I84" s="290"/>
      <c r="J84" s="290"/>
      <c r="K84" s="290"/>
      <c r="L84" s="290"/>
      <c r="M84" s="290"/>
      <c r="N84" s="290"/>
      <c r="O84" s="290"/>
      <c r="P84" s="372">
        <v>0</v>
      </c>
      <c r="Q84" s="290"/>
      <c r="R84" s="373">
        <v>0</v>
      </c>
      <c r="S84" s="272"/>
      <c r="T84" s="273"/>
    </row>
    <row r="85" spans="1:20" s="274" customFormat="1" x14ac:dyDescent="0.3">
      <c r="A85" s="300"/>
      <c r="B85" s="293" t="s">
        <v>217</v>
      </c>
      <c r="C85" s="293"/>
      <c r="D85" s="332"/>
      <c r="E85" s="332"/>
      <c r="F85" s="332"/>
      <c r="G85" s="374"/>
      <c r="H85" s="332"/>
      <c r="I85" s="293"/>
      <c r="J85" s="375"/>
      <c r="K85" s="293"/>
      <c r="L85" s="293"/>
      <c r="M85" s="293"/>
      <c r="N85" s="293"/>
      <c r="O85" s="293"/>
      <c r="P85" s="360">
        <f>-N78</f>
        <v>0</v>
      </c>
      <c r="Q85" s="293"/>
      <c r="R85" s="361"/>
      <c r="S85" s="296"/>
      <c r="T85" s="273"/>
    </row>
    <row r="86" spans="1:20" s="274" customFormat="1" x14ac:dyDescent="0.3">
      <c r="A86" s="300"/>
      <c r="B86" s="293" t="s">
        <v>218</v>
      </c>
      <c r="C86" s="293"/>
      <c r="D86" s="332"/>
      <c r="E86" s="332"/>
      <c r="F86" s="332"/>
      <c r="G86" s="374"/>
      <c r="H86" s="332"/>
      <c r="I86" s="293"/>
      <c r="J86" s="375"/>
      <c r="K86" s="293"/>
      <c r="L86" s="293"/>
      <c r="M86" s="293"/>
      <c r="N86" s="293"/>
      <c r="O86" s="293"/>
      <c r="P86" s="360">
        <v>0</v>
      </c>
      <c r="Q86" s="293"/>
      <c r="R86" s="361"/>
      <c r="S86" s="296"/>
      <c r="T86" s="273"/>
    </row>
    <row r="87" spans="1:20" s="274" customFormat="1" x14ac:dyDescent="0.3">
      <c r="A87" s="300"/>
      <c r="B87" s="293" t="s">
        <v>24</v>
      </c>
      <c r="C87" s="293"/>
      <c r="D87" s="332"/>
      <c r="E87" s="332"/>
      <c r="F87" s="332"/>
      <c r="G87" s="374"/>
      <c r="H87" s="332"/>
      <c r="I87" s="293"/>
      <c r="J87" s="375"/>
      <c r="K87" s="293"/>
      <c r="L87" s="293"/>
      <c r="M87" s="293"/>
      <c r="N87" s="293"/>
      <c r="O87" s="293"/>
      <c r="P87" s="360">
        <f>+J64+L64+P64</f>
        <v>18932</v>
      </c>
      <c r="Q87" s="293"/>
      <c r="R87" s="361"/>
      <c r="S87" s="296"/>
      <c r="T87" s="273"/>
    </row>
    <row r="88" spans="1:20" s="274" customFormat="1" x14ac:dyDescent="0.3">
      <c r="A88" s="300"/>
      <c r="B88" s="293" t="s">
        <v>135</v>
      </c>
      <c r="C88" s="293"/>
      <c r="D88" s="332"/>
      <c r="E88" s="332"/>
      <c r="F88" s="332"/>
      <c r="G88" s="374"/>
      <c r="H88" s="332"/>
      <c r="I88" s="293"/>
      <c r="J88" s="375"/>
      <c r="K88" s="293"/>
      <c r="L88" s="293"/>
      <c r="M88" s="293"/>
      <c r="N88" s="293"/>
      <c r="O88" s="293"/>
      <c r="P88" s="360"/>
      <c r="Q88" s="293"/>
      <c r="R88" s="361">
        <f>911-101+420</f>
        <v>1230</v>
      </c>
      <c r="S88" s="296"/>
      <c r="T88" s="273"/>
    </row>
    <row r="89" spans="1:20" s="274" customFormat="1" x14ac:dyDescent="0.3">
      <c r="A89" s="300"/>
      <c r="B89" s="293" t="s">
        <v>133</v>
      </c>
      <c r="C89" s="293"/>
      <c r="D89" s="332"/>
      <c r="E89" s="332"/>
      <c r="F89" s="332"/>
      <c r="G89" s="374"/>
      <c r="H89" s="332"/>
      <c r="I89" s="293"/>
      <c r="J89" s="375"/>
      <c r="K89" s="293"/>
      <c r="L89" s="293"/>
      <c r="M89" s="293"/>
      <c r="N89" s="293"/>
      <c r="O89" s="293"/>
      <c r="P89" s="360"/>
      <c r="Q89" s="293"/>
      <c r="R89" s="361">
        <v>60</v>
      </c>
      <c r="S89" s="296"/>
      <c r="T89" s="273"/>
    </row>
    <row r="90" spans="1:20" s="274" customFormat="1" x14ac:dyDescent="0.3">
      <c r="A90" s="300"/>
      <c r="B90" s="293" t="s">
        <v>134</v>
      </c>
      <c r="C90" s="293"/>
      <c r="D90" s="332"/>
      <c r="E90" s="332"/>
      <c r="F90" s="332"/>
      <c r="G90" s="374"/>
      <c r="H90" s="332"/>
      <c r="I90" s="293"/>
      <c r="J90" s="375"/>
      <c r="K90" s="293"/>
      <c r="L90" s="293"/>
      <c r="M90" s="293"/>
      <c r="N90" s="293"/>
      <c r="O90" s="293"/>
      <c r="P90" s="360"/>
      <c r="Q90" s="293"/>
      <c r="R90" s="361">
        <v>39</v>
      </c>
      <c r="S90" s="296"/>
      <c r="T90" s="273"/>
    </row>
    <row r="91" spans="1:20" s="274" customFormat="1" x14ac:dyDescent="0.3">
      <c r="A91" s="300"/>
      <c r="B91" s="293" t="s">
        <v>143</v>
      </c>
      <c r="C91" s="293"/>
      <c r="D91" s="332"/>
      <c r="E91" s="332"/>
      <c r="F91" s="332"/>
      <c r="G91" s="374"/>
      <c r="H91" s="332"/>
      <c r="I91" s="293"/>
      <c r="J91" s="375"/>
      <c r="K91" s="293"/>
      <c r="L91" s="293"/>
      <c r="M91" s="293"/>
      <c r="N91" s="293"/>
      <c r="O91" s="293"/>
      <c r="P91" s="360"/>
      <c r="Q91" s="293"/>
      <c r="R91" s="361">
        <v>0</v>
      </c>
      <c r="S91" s="296"/>
      <c r="T91" s="273"/>
    </row>
    <row r="92" spans="1:20" s="274" customFormat="1" x14ac:dyDescent="0.3">
      <c r="A92" s="300"/>
      <c r="B92" s="293" t="s">
        <v>145</v>
      </c>
      <c r="C92" s="293"/>
      <c r="D92" s="332"/>
      <c r="E92" s="332"/>
      <c r="F92" s="332"/>
      <c r="G92" s="374"/>
      <c r="H92" s="332"/>
      <c r="I92" s="293"/>
      <c r="J92" s="375"/>
      <c r="K92" s="293"/>
      <c r="L92" s="293"/>
      <c r="M92" s="293"/>
      <c r="N92" s="293"/>
      <c r="O92" s="293"/>
      <c r="P92" s="360"/>
      <c r="Q92" s="293"/>
      <c r="R92" s="361">
        <v>145</v>
      </c>
      <c r="S92" s="296"/>
      <c r="T92" s="273"/>
    </row>
    <row r="93" spans="1:20" s="274" customFormat="1" x14ac:dyDescent="0.3">
      <c r="A93" s="300"/>
      <c r="B93" s="293" t="s">
        <v>164</v>
      </c>
      <c r="C93" s="293"/>
      <c r="D93" s="332"/>
      <c r="E93" s="332"/>
      <c r="F93" s="332"/>
      <c r="G93" s="374"/>
      <c r="H93" s="332"/>
      <c r="I93" s="293"/>
      <c r="J93" s="375"/>
      <c r="K93" s="293"/>
      <c r="L93" s="293"/>
      <c r="M93" s="293"/>
      <c r="N93" s="293"/>
      <c r="O93" s="293"/>
      <c r="P93" s="360"/>
      <c r="Q93" s="293"/>
      <c r="R93" s="361">
        <v>0</v>
      </c>
      <c r="S93" s="296"/>
      <c r="T93" s="273"/>
    </row>
    <row r="94" spans="1:20" s="274" customFormat="1" x14ac:dyDescent="0.3">
      <c r="A94" s="300"/>
      <c r="B94" s="293" t="s">
        <v>165</v>
      </c>
      <c r="C94" s="293"/>
      <c r="D94" s="332"/>
      <c r="E94" s="332"/>
      <c r="F94" s="332"/>
      <c r="G94" s="374"/>
      <c r="H94" s="332"/>
      <c r="I94" s="293"/>
      <c r="J94" s="375"/>
      <c r="K94" s="293"/>
      <c r="L94" s="293"/>
      <c r="M94" s="293"/>
      <c r="N94" s="293"/>
      <c r="O94" s="293"/>
      <c r="P94" s="360"/>
      <c r="Q94" s="293"/>
      <c r="R94" s="361">
        <v>0</v>
      </c>
      <c r="S94" s="296"/>
      <c r="T94" s="273"/>
    </row>
    <row r="95" spans="1:20" s="274" customFormat="1" x14ac:dyDescent="0.3">
      <c r="A95" s="300"/>
      <c r="B95" s="293" t="s">
        <v>166</v>
      </c>
      <c r="C95" s="293"/>
      <c r="D95" s="293"/>
      <c r="E95" s="293"/>
      <c r="F95" s="293"/>
      <c r="G95" s="293"/>
      <c r="H95" s="293"/>
      <c r="I95" s="293"/>
      <c r="J95" s="293"/>
      <c r="K95" s="293"/>
      <c r="L95" s="293"/>
      <c r="M95" s="293"/>
      <c r="N95" s="293"/>
      <c r="O95" s="293"/>
      <c r="P95" s="360"/>
      <c r="Q95" s="293"/>
      <c r="R95" s="361">
        <v>0</v>
      </c>
      <c r="S95" s="296"/>
      <c r="T95" s="273"/>
    </row>
    <row r="96" spans="1:20" s="274" customFormat="1" x14ac:dyDescent="0.3">
      <c r="A96" s="300"/>
      <c r="B96" s="293" t="s">
        <v>268</v>
      </c>
      <c r="C96" s="293"/>
      <c r="D96" s="293"/>
      <c r="E96" s="293"/>
      <c r="F96" s="293"/>
      <c r="G96" s="293"/>
      <c r="H96" s="293"/>
      <c r="I96" s="293"/>
      <c r="J96" s="293"/>
      <c r="K96" s="293"/>
      <c r="L96" s="293"/>
      <c r="M96" s="293"/>
      <c r="N96" s="293"/>
      <c r="O96" s="293"/>
      <c r="P96" s="360"/>
      <c r="Q96" s="293"/>
      <c r="R96" s="361">
        <v>0</v>
      </c>
      <c r="S96" s="296"/>
      <c r="T96" s="273"/>
    </row>
    <row r="97" spans="1:21" s="274" customFormat="1" x14ac:dyDescent="0.3">
      <c r="A97" s="300"/>
      <c r="B97" s="293" t="s">
        <v>25</v>
      </c>
      <c r="C97" s="293"/>
      <c r="D97" s="293"/>
      <c r="E97" s="293"/>
      <c r="F97" s="293"/>
      <c r="G97" s="293"/>
      <c r="H97" s="293"/>
      <c r="I97" s="293"/>
      <c r="J97" s="293"/>
      <c r="K97" s="293"/>
      <c r="L97" s="293"/>
      <c r="M97" s="293"/>
      <c r="N97" s="293"/>
      <c r="O97" s="293"/>
      <c r="P97" s="360">
        <f>SUM(P84:P96)</f>
        <v>18932</v>
      </c>
      <c r="Q97" s="293"/>
      <c r="R97" s="360">
        <f>SUM(R84:R96)</f>
        <v>1474</v>
      </c>
      <c r="S97" s="296"/>
      <c r="T97" s="273"/>
    </row>
    <row r="98" spans="1:21" s="274" customFormat="1" x14ac:dyDescent="0.3">
      <c r="A98" s="300"/>
      <c r="B98" s="293" t="s">
        <v>26</v>
      </c>
      <c r="C98" s="293"/>
      <c r="D98" s="293"/>
      <c r="E98" s="293"/>
      <c r="F98" s="293"/>
      <c r="G98" s="293"/>
      <c r="H98" s="293"/>
      <c r="I98" s="293"/>
      <c r="J98" s="293"/>
      <c r="K98" s="293"/>
      <c r="L98" s="293"/>
      <c r="M98" s="293"/>
      <c r="N98" s="293"/>
      <c r="O98" s="293"/>
      <c r="P98" s="360">
        <f>-R98</f>
        <v>0</v>
      </c>
      <c r="Q98" s="293"/>
      <c r="R98" s="361">
        <v>0</v>
      </c>
      <c r="S98" s="296"/>
      <c r="T98" s="273"/>
    </row>
    <row r="99" spans="1:21" s="274" customFormat="1" x14ac:dyDescent="0.3">
      <c r="A99" s="300"/>
      <c r="B99" s="293" t="s">
        <v>150</v>
      </c>
      <c r="C99" s="293"/>
      <c r="D99" s="293"/>
      <c r="E99" s="293"/>
      <c r="F99" s="293"/>
      <c r="G99" s="293"/>
      <c r="H99" s="293"/>
      <c r="I99" s="293"/>
      <c r="J99" s="293"/>
      <c r="K99" s="293"/>
      <c r="L99" s="293"/>
      <c r="M99" s="293"/>
      <c r="N99" s="293"/>
      <c r="O99" s="293"/>
      <c r="P99" s="360"/>
      <c r="Q99" s="293"/>
      <c r="R99" s="361">
        <v>0</v>
      </c>
      <c r="S99" s="296"/>
      <c r="T99" s="273"/>
    </row>
    <row r="100" spans="1:21" s="274" customFormat="1" x14ac:dyDescent="0.3">
      <c r="A100" s="300"/>
      <c r="B100" s="293" t="s">
        <v>27</v>
      </c>
      <c r="C100" s="293"/>
      <c r="D100" s="293"/>
      <c r="E100" s="293"/>
      <c r="F100" s="293"/>
      <c r="G100" s="293"/>
      <c r="H100" s="293"/>
      <c r="I100" s="293"/>
      <c r="J100" s="293"/>
      <c r="K100" s="293"/>
      <c r="L100" s="293"/>
      <c r="M100" s="293"/>
      <c r="N100" s="293"/>
      <c r="O100" s="293"/>
      <c r="P100" s="360">
        <f>P97+P98</f>
        <v>18932</v>
      </c>
      <c r="Q100" s="293"/>
      <c r="R100" s="360">
        <f>R97+R98+R99</f>
        <v>1474</v>
      </c>
      <c r="S100" s="296"/>
      <c r="T100" s="273"/>
    </row>
    <row r="101" spans="1:21" x14ac:dyDescent="0.3">
      <c r="A101" s="376"/>
      <c r="B101" s="377" t="s">
        <v>28</v>
      </c>
      <c r="C101" s="316"/>
      <c r="D101" s="316"/>
      <c r="E101" s="316"/>
      <c r="F101" s="316"/>
      <c r="G101" s="316"/>
      <c r="H101" s="316"/>
      <c r="I101" s="316"/>
      <c r="J101" s="316"/>
      <c r="K101" s="316"/>
      <c r="L101" s="316"/>
      <c r="M101" s="316"/>
      <c r="N101" s="316"/>
      <c r="O101" s="316"/>
      <c r="P101" s="378"/>
      <c r="Q101" s="379"/>
      <c r="R101" s="380"/>
      <c r="S101" s="381"/>
      <c r="T101" s="256"/>
    </row>
    <row r="102" spans="1:21" s="274" customFormat="1" x14ac:dyDescent="0.3">
      <c r="A102" s="300">
        <v>1</v>
      </c>
      <c r="B102" s="293" t="s">
        <v>174</v>
      </c>
      <c r="C102" s="293"/>
      <c r="D102" s="293"/>
      <c r="E102" s="293"/>
      <c r="F102" s="293"/>
      <c r="G102" s="293"/>
      <c r="H102" s="293"/>
      <c r="I102" s="293"/>
      <c r="J102" s="293"/>
      <c r="K102" s="293"/>
      <c r="L102" s="293"/>
      <c r="M102" s="293"/>
      <c r="N102" s="293"/>
      <c r="O102" s="293"/>
      <c r="P102" s="360"/>
      <c r="Q102" s="293"/>
      <c r="R102" s="361">
        <v>0</v>
      </c>
      <c r="S102" s="296"/>
      <c r="T102" s="273"/>
    </row>
    <row r="103" spans="1:21" s="274" customFormat="1" x14ac:dyDescent="0.3">
      <c r="A103" s="300">
        <v>2</v>
      </c>
      <c r="B103" s="293" t="s">
        <v>194</v>
      </c>
      <c r="C103" s="293"/>
      <c r="D103" s="293"/>
      <c r="E103" s="293"/>
      <c r="F103" s="293"/>
      <c r="G103" s="293"/>
      <c r="H103" s="293"/>
      <c r="I103" s="293"/>
      <c r="J103" s="293"/>
      <c r="K103" s="293"/>
      <c r="L103" s="293"/>
      <c r="M103" s="293"/>
      <c r="N103" s="293"/>
      <c r="O103" s="293"/>
      <c r="P103" s="293"/>
      <c r="Q103" s="293"/>
      <c r="R103" s="361">
        <v>-3</v>
      </c>
      <c r="S103" s="296"/>
      <c r="T103" s="273"/>
    </row>
    <row r="104" spans="1:21" s="274" customFormat="1" x14ac:dyDescent="0.3">
      <c r="A104" s="300">
        <v>3</v>
      </c>
      <c r="B104" s="293" t="s">
        <v>280</v>
      </c>
      <c r="C104" s="293"/>
      <c r="D104" s="293"/>
      <c r="E104" s="293"/>
      <c r="F104" s="293"/>
      <c r="G104" s="293"/>
      <c r="H104" s="293"/>
      <c r="I104" s="293"/>
      <c r="J104" s="293"/>
      <c r="K104" s="293"/>
      <c r="L104" s="293"/>
      <c r="M104" s="293"/>
      <c r="N104" s="293"/>
      <c r="O104" s="293"/>
      <c r="P104" s="293"/>
      <c r="Q104" s="293"/>
      <c r="R104" s="361">
        <f>-45-9-3</f>
        <v>-57</v>
      </c>
      <c r="S104" s="296"/>
      <c r="T104" s="273"/>
    </row>
    <row r="105" spans="1:21" s="274" customFormat="1" x14ac:dyDescent="0.3">
      <c r="A105" s="300">
        <v>4</v>
      </c>
      <c r="B105" s="293" t="s">
        <v>96</v>
      </c>
      <c r="C105" s="293"/>
      <c r="D105" s="293"/>
      <c r="E105" s="293"/>
      <c r="F105" s="293"/>
      <c r="G105" s="293"/>
      <c r="H105" s="293"/>
      <c r="I105" s="293"/>
      <c r="J105" s="293"/>
      <c r="K105" s="293"/>
      <c r="L105" s="293"/>
      <c r="M105" s="293"/>
      <c r="N105" s="293"/>
      <c r="O105" s="293"/>
      <c r="P105" s="293"/>
      <c r="Q105" s="293"/>
      <c r="R105" s="361">
        <v>-53</v>
      </c>
      <c r="S105" s="296"/>
      <c r="T105" s="273"/>
    </row>
    <row r="106" spans="1:21" s="274" customFormat="1" x14ac:dyDescent="0.3">
      <c r="A106" s="300" t="s">
        <v>239</v>
      </c>
      <c r="B106" s="293" t="s">
        <v>238</v>
      </c>
      <c r="C106" s="293"/>
      <c r="D106" s="293"/>
      <c r="E106" s="293"/>
      <c r="F106" s="293"/>
      <c r="G106" s="293"/>
      <c r="H106" s="293"/>
      <c r="I106" s="293"/>
      <c r="J106" s="293"/>
      <c r="K106" s="293"/>
      <c r="L106" s="293"/>
      <c r="M106" s="293"/>
      <c r="N106" s="293"/>
      <c r="O106" s="293"/>
      <c r="P106" s="293"/>
      <c r="Q106" s="293"/>
      <c r="R106" s="361">
        <v>-113</v>
      </c>
      <c r="S106" s="296"/>
      <c r="T106" s="273"/>
      <c r="U106" s="382"/>
    </row>
    <row r="107" spans="1:21" s="274" customFormat="1" x14ac:dyDescent="0.3">
      <c r="A107" s="300" t="s">
        <v>240</v>
      </c>
      <c r="B107" s="293" t="s">
        <v>234</v>
      </c>
      <c r="C107" s="293"/>
      <c r="D107" s="293"/>
      <c r="E107" s="293"/>
      <c r="F107" s="293"/>
      <c r="G107" s="293"/>
      <c r="H107" s="293"/>
      <c r="I107" s="293"/>
      <c r="J107" s="293"/>
      <c r="K107" s="293"/>
      <c r="L107" s="293"/>
      <c r="M107" s="293"/>
      <c r="N107" s="293"/>
      <c r="O107" s="293"/>
      <c r="P107" s="293"/>
      <c r="Q107" s="293"/>
      <c r="R107" s="361">
        <v>-239</v>
      </c>
      <c r="S107" s="296"/>
      <c r="T107" s="273"/>
      <c r="U107" s="382"/>
    </row>
    <row r="108" spans="1:21" s="274" customFormat="1" x14ac:dyDescent="0.3">
      <c r="A108" s="300">
        <v>6</v>
      </c>
      <c r="B108" s="293" t="s">
        <v>188</v>
      </c>
      <c r="C108" s="293"/>
      <c r="D108" s="293"/>
      <c r="E108" s="293"/>
      <c r="F108" s="293"/>
      <c r="G108" s="293"/>
      <c r="H108" s="293"/>
      <c r="I108" s="293"/>
      <c r="J108" s="293"/>
      <c r="K108" s="293"/>
      <c r="L108" s="293"/>
      <c r="M108" s="293"/>
      <c r="N108" s="293"/>
      <c r="O108" s="293"/>
      <c r="P108" s="293"/>
      <c r="Q108" s="293"/>
      <c r="R108" s="361">
        <v>-143</v>
      </c>
      <c r="S108" s="296"/>
      <c r="T108" s="273"/>
      <c r="U108" s="382"/>
    </row>
    <row r="109" spans="1:21" s="274" customFormat="1" x14ac:dyDescent="0.3">
      <c r="A109" s="300">
        <v>7</v>
      </c>
      <c r="B109" s="293" t="s">
        <v>189</v>
      </c>
      <c r="C109" s="293"/>
      <c r="D109" s="293"/>
      <c r="E109" s="293"/>
      <c r="F109" s="293"/>
      <c r="G109" s="293"/>
      <c r="H109" s="293"/>
      <c r="I109" s="293"/>
      <c r="J109" s="293"/>
      <c r="K109" s="293"/>
      <c r="L109" s="293"/>
      <c r="M109" s="293"/>
      <c r="N109" s="293"/>
      <c r="O109" s="293"/>
      <c r="P109" s="293"/>
      <c r="Q109" s="293"/>
      <c r="R109" s="361">
        <v>-236</v>
      </c>
      <c r="S109" s="296"/>
      <c r="T109" s="273"/>
      <c r="U109" s="382"/>
    </row>
    <row r="110" spans="1:21" s="274" customFormat="1" x14ac:dyDescent="0.3">
      <c r="A110" s="300">
        <v>8</v>
      </c>
      <c r="B110" s="293" t="s">
        <v>156</v>
      </c>
      <c r="C110" s="293"/>
      <c r="D110" s="293"/>
      <c r="E110" s="293"/>
      <c r="F110" s="293"/>
      <c r="G110" s="293"/>
      <c r="H110" s="293"/>
      <c r="I110" s="293"/>
      <c r="J110" s="293"/>
      <c r="K110" s="293"/>
      <c r="L110" s="293"/>
      <c r="M110" s="293"/>
      <c r="N110" s="293"/>
      <c r="O110" s="293"/>
      <c r="P110" s="293"/>
      <c r="Q110" s="293"/>
      <c r="R110" s="361">
        <v>0</v>
      </c>
      <c r="S110" s="296"/>
      <c r="T110" s="273"/>
      <c r="U110" s="382"/>
    </row>
    <row r="111" spans="1:21" s="274" customFormat="1" x14ac:dyDescent="0.3">
      <c r="A111" s="300">
        <v>9</v>
      </c>
      <c r="B111" s="293" t="s">
        <v>37</v>
      </c>
      <c r="C111" s="293"/>
      <c r="D111" s="293"/>
      <c r="E111" s="293"/>
      <c r="F111" s="293"/>
      <c r="G111" s="293"/>
      <c r="H111" s="293"/>
      <c r="I111" s="293"/>
      <c r="J111" s="293"/>
      <c r="K111" s="293"/>
      <c r="L111" s="293"/>
      <c r="M111" s="293"/>
      <c r="N111" s="293"/>
      <c r="O111" s="293"/>
      <c r="P111" s="360">
        <f>-R111</f>
        <v>0</v>
      </c>
      <c r="Q111" s="293"/>
      <c r="R111" s="361">
        <v>0</v>
      </c>
      <c r="S111" s="296"/>
      <c r="T111" s="273"/>
    </row>
    <row r="112" spans="1:21" s="274" customFormat="1" x14ac:dyDescent="0.3">
      <c r="A112" s="300">
        <v>10</v>
      </c>
      <c r="B112" s="293" t="s">
        <v>101</v>
      </c>
      <c r="C112" s="293"/>
      <c r="D112" s="293"/>
      <c r="E112" s="293"/>
      <c r="F112" s="293"/>
      <c r="G112" s="293"/>
      <c r="H112" s="293"/>
      <c r="I112" s="293"/>
      <c r="J112" s="293"/>
      <c r="K112" s="293"/>
      <c r="L112" s="293"/>
      <c r="M112" s="293"/>
      <c r="N112" s="293"/>
      <c r="O112" s="293"/>
      <c r="P112" s="293"/>
      <c r="Q112" s="293"/>
      <c r="R112" s="361">
        <v>0</v>
      </c>
      <c r="S112" s="296"/>
      <c r="T112" s="273"/>
    </row>
    <row r="113" spans="1:20" s="274" customFormat="1" x14ac:dyDescent="0.3">
      <c r="A113" s="300">
        <v>11</v>
      </c>
      <c r="B113" s="293" t="s">
        <v>29</v>
      </c>
      <c r="C113" s="293"/>
      <c r="D113" s="293"/>
      <c r="E113" s="293"/>
      <c r="F113" s="293"/>
      <c r="G113" s="293"/>
      <c r="H113" s="293"/>
      <c r="I113" s="293"/>
      <c r="J113" s="293"/>
      <c r="K113" s="293"/>
      <c r="L113" s="293"/>
      <c r="M113" s="293"/>
      <c r="N113" s="293"/>
      <c r="O113" s="293"/>
      <c r="P113" s="293"/>
      <c r="Q113" s="293"/>
      <c r="R113" s="361">
        <v>-25</v>
      </c>
      <c r="S113" s="296"/>
      <c r="T113" s="273"/>
    </row>
    <row r="114" spans="1:20" s="274" customFormat="1" x14ac:dyDescent="0.3">
      <c r="A114" s="300">
        <v>12</v>
      </c>
      <c r="B114" s="293" t="s">
        <v>138</v>
      </c>
      <c r="C114" s="293"/>
      <c r="D114" s="293"/>
      <c r="E114" s="293"/>
      <c r="F114" s="293"/>
      <c r="G114" s="293"/>
      <c r="H114" s="293"/>
      <c r="I114" s="293"/>
      <c r="J114" s="293"/>
      <c r="K114" s="293"/>
      <c r="L114" s="293"/>
      <c r="M114" s="293"/>
      <c r="N114" s="293"/>
      <c r="O114" s="293"/>
      <c r="P114" s="293"/>
      <c r="Q114" s="293"/>
      <c r="R114" s="361">
        <v>0</v>
      </c>
      <c r="S114" s="296"/>
      <c r="T114" s="273"/>
    </row>
    <row r="115" spans="1:20" s="274" customFormat="1" x14ac:dyDescent="0.3">
      <c r="A115" s="300">
        <v>13</v>
      </c>
      <c r="B115" s="293" t="s">
        <v>269</v>
      </c>
      <c r="C115" s="293"/>
      <c r="D115" s="293"/>
      <c r="E115" s="293"/>
      <c r="F115" s="293"/>
      <c r="G115" s="293"/>
      <c r="H115" s="293"/>
      <c r="I115" s="293"/>
      <c r="J115" s="293"/>
      <c r="K115" s="293"/>
      <c r="L115" s="293"/>
      <c r="M115" s="293"/>
      <c r="N115" s="293"/>
      <c r="O115" s="293"/>
      <c r="P115" s="293"/>
      <c r="Q115" s="293"/>
      <c r="R115" s="361">
        <v>-89</v>
      </c>
      <c r="S115" s="296"/>
      <c r="T115" s="273"/>
    </row>
    <row r="116" spans="1:20" s="274" customFormat="1" x14ac:dyDescent="0.3">
      <c r="A116" s="300">
        <v>14</v>
      </c>
      <c r="B116" s="293" t="s">
        <v>157</v>
      </c>
      <c r="C116" s="293"/>
      <c r="D116" s="293"/>
      <c r="E116" s="293"/>
      <c r="F116" s="293"/>
      <c r="G116" s="293"/>
      <c r="H116" s="293"/>
      <c r="I116" s="293"/>
      <c r="J116" s="293"/>
      <c r="K116" s="293"/>
      <c r="L116" s="293"/>
      <c r="M116" s="293"/>
      <c r="N116" s="293"/>
      <c r="O116" s="293"/>
      <c r="P116" s="293"/>
      <c r="Q116" s="293"/>
      <c r="R116" s="361">
        <v>0</v>
      </c>
      <c r="S116" s="296"/>
      <c r="T116" s="273"/>
    </row>
    <row r="117" spans="1:20" s="274" customFormat="1" x14ac:dyDescent="0.3">
      <c r="A117" s="300">
        <v>15</v>
      </c>
      <c r="B117" s="293" t="s">
        <v>206</v>
      </c>
      <c r="C117" s="293"/>
      <c r="D117" s="293"/>
      <c r="E117" s="293"/>
      <c r="F117" s="293"/>
      <c r="G117" s="293"/>
      <c r="H117" s="293"/>
      <c r="I117" s="293"/>
      <c r="J117" s="293"/>
      <c r="K117" s="293"/>
      <c r="L117" s="293"/>
      <c r="M117" s="293"/>
      <c r="N117" s="293"/>
      <c r="O117" s="293"/>
      <c r="P117" s="293"/>
      <c r="Q117" s="293"/>
      <c r="R117" s="361">
        <v>-44</v>
      </c>
      <c r="S117" s="296"/>
      <c r="T117" s="273"/>
    </row>
    <row r="118" spans="1:20" s="274" customFormat="1" x14ac:dyDescent="0.3">
      <c r="A118" s="300">
        <v>16</v>
      </c>
      <c r="B118" s="293" t="s">
        <v>167</v>
      </c>
      <c r="C118" s="293"/>
      <c r="D118" s="293"/>
      <c r="E118" s="293"/>
      <c r="F118" s="293"/>
      <c r="G118" s="293"/>
      <c r="H118" s="293"/>
      <c r="I118" s="293"/>
      <c r="J118" s="293"/>
      <c r="K118" s="293"/>
      <c r="L118" s="293"/>
      <c r="M118" s="293"/>
      <c r="N118" s="293"/>
      <c r="O118" s="293"/>
      <c r="P118" s="293"/>
      <c r="Q118" s="293"/>
      <c r="R118" s="361">
        <f>-18-179</f>
        <v>-197</v>
      </c>
      <c r="S118" s="296"/>
      <c r="T118" s="273"/>
    </row>
    <row r="119" spans="1:20" s="274" customFormat="1" x14ac:dyDescent="0.3">
      <c r="A119" s="300">
        <v>17</v>
      </c>
      <c r="B119" s="293" t="s">
        <v>235</v>
      </c>
      <c r="C119" s="293"/>
      <c r="D119" s="293"/>
      <c r="E119" s="293"/>
      <c r="F119" s="293"/>
      <c r="G119" s="293"/>
      <c r="H119" s="293"/>
      <c r="I119" s="293"/>
      <c r="J119" s="293"/>
      <c r="K119" s="293"/>
      <c r="L119" s="293"/>
      <c r="M119" s="293"/>
      <c r="N119" s="293"/>
      <c r="O119" s="293"/>
      <c r="P119" s="293"/>
      <c r="Q119" s="293"/>
      <c r="R119" s="361">
        <f>-R100-SUM(R102:R118)</f>
        <v>-275</v>
      </c>
      <c r="S119" s="296"/>
      <c r="T119" s="273"/>
    </row>
    <row r="120" spans="1:20" x14ac:dyDescent="0.3">
      <c r="A120" s="376"/>
      <c r="B120" s="377" t="s">
        <v>30</v>
      </c>
      <c r="C120" s="316"/>
      <c r="D120" s="316"/>
      <c r="E120" s="316"/>
      <c r="F120" s="316"/>
      <c r="G120" s="316"/>
      <c r="H120" s="316"/>
      <c r="I120" s="316"/>
      <c r="J120" s="316"/>
      <c r="K120" s="316"/>
      <c r="L120" s="316"/>
      <c r="M120" s="316"/>
      <c r="N120" s="316"/>
      <c r="O120" s="316"/>
      <c r="P120" s="379"/>
      <c r="Q120" s="379"/>
      <c r="R120" s="383"/>
      <c r="S120" s="381"/>
      <c r="T120" s="256"/>
    </row>
    <row r="121" spans="1:20" s="274" customFormat="1" x14ac:dyDescent="0.3">
      <c r="A121" s="300"/>
      <c r="B121" s="293" t="s">
        <v>207</v>
      </c>
      <c r="C121" s="293"/>
      <c r="D121" s="293"/>
      <c r="E121" s="293"/>
      <c r="F121" s="293"/>
      <c r="G121" s="293"/>
      <c r="H121" s="293"/>
      <c r="I121" s="293"/>
      <c r="J121" s="293"/>
      <c r="K121" s="293"/>
      <c r="L121" s="293"/>
      <c r="M121" s="293"/>
      <c r="N121" s="293"/>
      <c r="O121" s="293"/>
      <c r="P121" s="360">
        <f>-P188</f>
        <v>0</v>
      </c>
      <c r="Q121" s="360"/>
      <c r="R121" s="361"/>
      <c r="S121" s="296"/>
      <c r="T121" s="273"/>
    </row>
    <row r="122" spans="1:20" s="274" customFormat="1" x14ac:dyDescent="0.3">
      <c r="A122" s="300"/>
      <c r="B122" s="293" t="s">
        <v>208</v>
      </c>
      <c r="C122" s="293"/>
      <c r="D122" s="293"/>
      <c r="E122" s="293"/>
      <c r="F122" s="293"/>
      <c r="G122" s="293"/>
      <c r="H122" s="293"/>
      <c r="I122" s="293"/>
      <c r="J122" s="293"/>
      <c r="K122" s="293"/>
      <c r="L122" s="293"/>
      <c r="M122" s="293"/>
      <c r="N122" s="293"/>
      <c r="O122" s="293"/>
      <c r="P122" s="360">
        <v>0</v>
      </c>
      <c r="Q122" s="360"/>
      <c r="R122" s="361"/>
      <c r="S122" s="296"/>
      <c r="T122" s="273"/>
    </row>
    <row r="123" spans="1:20" s="274" customFormat="1" x14ac:dyDescent="0.3">
      <c r="A123" s="300"/>
      <c r="B123" s="293" t="s">
        <v>237</v>
      </c>
      <c r="C123" s="293"/>
      <c r="D123" s="293"/>
      <c r="E123" s="293"/>
      <c r="F123" s="293"/>
      <c r="G123" s="293"/>
      <c r="H123" s="293"/>
      <c r="I123" s="293"/>
      <c r="J123" s="293"/>
      <c r="K123" s="293"/>
      <c r="L123" s="293"/>
      <c r="M123" s="293"/>
      <c r="N123" s="293"/>
      <c r="O123" s="293"/>
      <c r="P123" s="360">
        <v>-5639</v>
      </c>
      <c r="Q123" s="360"/>
      <c r="R123" s="361"/>
      <c r="S123" s="296"/>
      <c r="T123" s="273"/>
    </row>
    <row r="124" spans="1:20" s="274" customFormat="1" x14ac:dyDescent="0.3">
      <c r="A124" s="300"/>
      <c r="B124" s="293" t="s">
        <v>236</v>
      </c>
      <c r="C124" s="293"/>
      <c r="D124" s="293"/>
      <c r="E124" s="293"/>
      <c r="F124" s="293"/>
      <c r="G124" s="293"/>
      <c r="H124" s="293"/>
      <c r="I124" s="293"/>
      <c r="J124" s="293"/>
      <c r="K124" s="293"/>
      <c r="L124" s="293"/>
      <c r="M124" s="293"/>
      <c r="N124" s="293"/>
      <c r="O124" s="293"/>
      <c r="P124" s="360">
        <v>-13293</v>
      </c>
      <c r="Q124" s="360"/>
      <c r="R124" s="361"/>
      <c r="S124" s="296"/>
      <c r="T124" s="273"/>
    </row>
    <row r="125" spans="1:20" s="274" customFormat="1" x14ac:dyDescent="0.3">
      <c r="A125" s="300"/>
      <c r="B125" s="293" t="s">
        <v>180</v>
      </c>
      <c r="C125" s="293"/>
      <c r="D125" s="293"/>
      <c r="E125" s="293"/>
      <c r="F125" s="293"/>
      <c r="G125" s="293"/>
      <c r="H125" s="293"/>
      <c r="I125" s="293"/>
      <c r="J125" s="293"/>
      <c r="K125" s="293"/>
      <c r="L125" s="293"/>
      <c r="M125" s="293"/>
      <c r="N125" s="293"/>
      <c r="O125" s="293"/>
      <c r="P125" s="360">
        <v>0</v>
      </c>
      <c r="Q125" s="360"/>
      <c r="R125" s="361"/>
      <c r="S125" s="296"/>
      <c r="T125" s="273"/>
    </row>
    <row r="126" spans="1:20" s="274" customFormat="1" x14ac:dyDescent="0.3">
      <c r="A126" s="300"/>
      <c r="B126" s="293" t="s">
        <v>181</v>
      </c>
      <c r="C126" s="293"/>
      <c r="D126" s="293"/>
      <c r="E126" s="293"/>
      <c r="F126" s="293"/>
      <c r="G126" s="293"/>
      <c r="H126" s="293"/>
      <c r="I126" s="293"/>
      <c r="J126" s="293"/>
      <c r="K126" s="293"/>
      <c r="L126" s="293"/>
      <c r="M126" s="293"/>
      <c r="N126" s="293"/>
      <c r="O126" s="293"/>
      <c r="P126" s="360">
        <v>0</v>
      </c>
      <c r="Q126" s="360"/>
      <c r="R126" s="361"/>
      <c r="S126" s="296"/>
      <c r="T126" s="273"/>
    </row>
    <row r="127" spans="1:20" s="274" customFormat="1" x14ac:dyDescent="0.3">
      <c r="A127" s="300"/>
      <c r="B127" s="293" t="s">
        <v>270</v>
      </c>
      <c r="C127" s="293"/>
      <c r="D127" s="293"/>
      <c r="E127" s="293"/>
      <c r="F127" s="293"/>
      <c r="G127" s="293"/>
      <c r="H127" s="293"/>
      <c r="I127" s="293"/>
      <c r="J127" s="293"/>
      <c r="K127" s="293"/>
      <c r="L127" s="293"/>
      <c r="M127" s="293"/>
      <c r="N127" s="293"/>
      <c r="O127" s="293"/>
      <c r="P127" s="360">
        <v>0</v>
      </c>
      <c r="Q127" s="360"/>
      <c r="R127" s="361"/>
      <c r="S127" s="296"/>
      <c r="T127" s="273"/>
    </row>
    <row r="128" spans="1:20" s="274" customFormat="1" x14ac:dyDescent="0.3">
      <c r="A128" s="300"/>
      <c r="B128" s="293" t="s">
        <v>31</v>
      </c>
      <c r="C128" s="293"/>
      <c r="D128" s="293"/>
      <c r="E128" s="293"/>
      <c r="F128" s="293"/>
      <c r="G128" s="293"/>
      <c r="H128" s="293"/>
      <c r="I128" s="293"/>
      <c r="J128" s="293"/>
      <c r="K128" s="293"/>
      <c r="L128" s="293"/>
      <c r="M128" s="293"/>
      <c r="N128" s="293"/>
      <c r="O128" s="293"/>
      <c r="P128" s="360">
        <f>SUM(P121:P127)</f>
        <v>-18932</v>
      </c>
      <c r="Q128" s="360"/>
      <c r="R128" s="360">
        <f>SUM(R101:R127)</f>
        <v>-1474</v>
      </c>
      <c r="S128" s="296"/>
      <c r="T128" s="273"/>
    </row>
    <row r="129" spans="1:20" s="274" customFormat="1" x14ac:dyDescent="0.3">
      <c r="A129" s="300"/>
      <c r="B129" s="293" t="s">
        <v>32</v>
      </c>
      <c r="C129" s="293"/>
      <c r="D129" s="293"/>
      <c r="E129" s="293"/>
      <c r="F129" s="293"/>
      <c r="G129" s="293"/>
      <c r="H129" s="293"/>
      <c r="I129" s="293"/>
      <c r="J129" s="293"/>
      <c r="K129" s="293"/>
      <c r="L129" s="293"/>
      <c r="M129" s="293"/>
      <c r="N129" s="293"/>
      <c r="O129" s="293"/>
      <c r="P129" s="360">
        <f>P100+P128+P111</f>
        <v>0</v>
      </c>
      <c r="Q129" s="360"/>
      <c r="R129" s="360">
        <f>R100+R128</f>
        <v>0</v>
      </c>
      <c r="S129" s="296"/>
      <c r="T129" s="273"/>
    </row>
    <row r="130" spans="1:20" s="274" customFormat="1" x14ac:dyDescent="0.3">
      <c r="A130" s="269"/>
      <c r="B130" s="290"/>
      <c r="C130" s="290"/>
      <c r="D130" s="290"/>
      <c r="E130" s="290"/>
      <c r="F130" s="290"/>
      <c r="G130" s="290"/>
      <c r="H130" s="290"/>
      <c r="I130" s="290"/>
      <c r="J130" s="290"/>
      <c r="K130" s="290"/>
      <c r="L130" s="290"/>
      <c r="M130" s="290"/>
      <c r="N130" s="290"/>
      <c r="O130" s="290"/>
      <c r="P130" s="372"/>
      <c r="Q130" s="372"/>
      <c r="R130" s="372"/>
      <c r="S130" s="272"/>
      <c r="T130" s="273"/>
    </row>
    <row r="131" spans="1:20" s="274" customFormat="1" x14ac:dyDescent="0.3">
      <c r="A131" s="269"/>
      <c r="B131" s="271"/>
      <c r="C131" s="271"/>
      <c r="D131" s="271"/>
      <c r="E131" s="271"/>
      <c r="F131" s="271"/>
      <c r="G131" s="271"/>
      <c r="H131" s="271"/>
      <c r="I131" s="271"/>
      <c r="J131" s="271"/>
      <c r="K131" s="271"/>
      <c r="L131" s="271"/>
      <c r="M131" s="271"/>
      <c r="N131" s="271"/>
      <c r="O131" s="271"/>
      <c r="P131" s="271"/>
      <c r="Q131" s="271"/>
      <c r="R131" s="384"/>
      <c r="S131" s="272"/>
      <c r="T131" s="273"/>
    </row>
    <row r="132" spans="1:20" s="274" customFormat="1" ht="18.600000000000001" thickBot="1" x14ac:dyDescent="0.4">
      <c r="A132" s="346"/>
      <c r="B132" s="347" t="str">
        <f>B60</f>
        <v>PM24 INVESTOR REPORT QUARTER ENDING MARCH 2018</v>
      </c>
      <c r="C132" s="348"/>
      <c r="D132" s="348"/>
      <c r="E132" s="348"/>
      <c r="F132" s="348"/>
      <c r="G132" s="348"/>
      <c r="H132" s="348"/>
      <c r="I132" s="348"/>
      <c r="J132" s="348"/>
      <c r="K132" s="348"/>
      <c r="L132" s="348"/>
      <c r="M132" s="348"/>
      <c r="N132" s="348"/>
      <c r="O132" s="348"/>
      <c r="P132" s="348"/>
      <c r="Q132" s="348"/>
      <c r="R132" s="385"/>
      <c r="S132" s="350"/>
      <c r="T132" s="273"/>
    </row>
    <row r="133" spans="1:20" x14ac:dyDescent="0.3">
      <c r="A133" s="386"/>
      <c r="B133" s="387" t="s">
        <v>33</v>
      </c>
      <c r="C133" s="388"/>
      <c r="D133" s="388"/>
      <c r="E133" s="388"/>
      <c r="F133" s="388"/>
      <c r="G133" s="388"/>
      <c r="H133" s="388"/>
      <c r="I133" s="388"/>
      <c r="J133" s="388"/>
      <c r="K133" s="388"/>
      <c r="L133" s="388"/>
      <c r="M133" s="388"/>
      <c r="N133" s="388"/>
      <c r="O133" s="388"/>
      <c r="P133" s="388"/>
      <c r="Q133" s="388"/>
      <c r="R133" s="389"/>
      <c r="S133" s="390"/>
      <c r="T133" s="256"/>
    </row>
    <row r="134" spans="1:20" x14ac:dyDescent="0.3">
      <c r="A134" s="258"/>
      <c r="B134" s="391"/>
      <c r="C134" s="260"/>
      <c r="D134" s="260"/>
      <c r="E134" s="260"/>
      <c r="F134" s="260"/>
      <c r="G134" s="260"/>
      <c r="H134" s="260"/>
      <c r="I134" s="260"/>
      <c r="J134" s="260"/>
      <c r="K134" s="260"/>
      <c r="L134" s="260"/>
      <c r="M134" s="260"/>
      <c r="N134" s="260"/>
      <c r="O134" s="260"/>
      <c r="P134" s="260"/>
      <c r="Q134" s="260"/>
      <c r="R134" s="354"/>
      <c r="S134" s="261"/>
      <c r="T134" s="256"/>
    </row>
    <row r="135" spans="1:20" x14ac:dyDescent="0.3">
      <c r="A135" s="258"/>
      <c r="B135" s="392" t="s">
        <v>34</v>
      </c>
      <c r="C135" s="260"/>
      <c r="D135" s="260"/>
      <c r="E135" s="260"/>
      <c r="F135" s="260"/>
      <c r="G135" s="260"/>
      <c r="H135" s="260"/>
      <c r="I135" s="260"/>
      <c r="J135" s="260"/>
      <c r="K135" s="260"/>
      <c r="L135" s="260"/>
      <c r="M135" s="260"/>
      <c r="N135" s="260"/>
      <c r="O135" s="260"/>
      <c r="P135" s="260"/>
      <c r="Q135" s="260"/>
      <c r="R135" s="354"/>
      <c r="S135" s="261"/>
      <c r="T135" s="256"/>
    </row>
    <row r="136" spans="1:20" s="274" customFormat="1" x14ac:dyDescent="0.3">
      <c r="A136" s="300"/>
      <c r="B136" s="293" t="s">
        <v>35</v>
      </c>
      <c r="C136" s="293"/>
      <c r="D136" s="293"/>
      <c r="E136" s="293"/>
      <c r="F136" s="293"/>
      <c r="G136" s="293"/>
      <c r="H136" s="293"/>
      <c r="I136" s="293"/>
      <c r="J136" s="293"/>
      <c r="K136" s="293"/>
      <c r="L136" s="293"/>
      <c r="M136" s="293"/>
      <c r="N136" s="293"/>
      <c r="O136" s="293"/>
      <c r="P136" s="293"/>
      <c r="Q136" s="293"/>
      <c r="R136" s="361">
        <v>8753</v>
      </c>
      <c r="S136" s="296"/>
      <c r="T136" s="273"/>
    </row>
    <row r="137" spans="1:20" s="274" customFormat="1" x14ac:dyDescent="0.3">
      <c r="A137" s="300"/>
      <c r="B137" s="293" t="s">
        <v>36</v>
      </c>
      <c r="C137" s="293"/>
      <c r="D137" s="293"/>
      <c r="E137" s="293"/>
      <c r="F137" s="293"/>
      <c r="G137" s="293"/>
      <c r="H137" s="293"/>
      <c r="I137" s="293"/>
      <c r="J137" s="293"/>
      <c r="K137" s="293"/>
      <c r="L137" s="293"/>
      <c r="M137" s="293"/>
      <c r="N137" s="293"/>
      <c r="O137" s="293"/>
      <c r="P137" s="293"/>
      <c r="Q137" s="293"/>
      <c r="R137" s="361">
        <v>0</v>
      </c>
      <c r="S137" s="296"/>
      <c r="T137" s="273"/>
    </row>
    <row r="138" spans="1:20" s="274" customFormat="1" x14ac:dyDescent="0.3">
      <c r="A138" s="300"/>
      <c r="B138" s="293" t="s">
        <v>169</v>
      </c>
      <c r="C138" s="293"/>
      <c r="D138" s="293"/>
      <c r="E138" s="293"/>
      <c r="F138" s="293"/>
      <c r="G138" s="293"/>
      <c r="H138" s="293"/>
      <c r="I138" s="293"/>
      <c r="J138" s="293"/>
      <c r="K138" s="293"/>
      <c r="L138" s="293"/>
      <c r="M138" s="293"/>
      <c r="N138" s="293"/>
      <c r="O138" s="293"/>
      <c r="P138" s="293"/>
      <c r="Q138" s="293"/>
      <c r="R138" s="361">
        <f>R136-R139</f>
        <v>6425.3534036299998</v>
      </c>
      <c r="S138" s="296"/>
      <c r="T138" s="273"/>
    </row>
    <row r="139" spans="1:20" s="274" customFormat="1" x14ac:dyDescent="0.3">
      <c r="A139" s="300"/>
      <c r="B139" s="293" t="s">
        <v>209</v>
      </c>
      <c r="C139" s="293"/>
      <c r="D139" s="293"/>
      <c r="E139" s="293"/>
      <c r="F139" s="293"/>
      <c r="G139" s="293"/>
      <c r="H139" s="293"/>
      <c r="I139" s="293"/>
      <c r="J139" s="293"/>
      <c r="K139" s="293"/>
      <c r="L139" s="293"/>
      <c r="M139" s="293"/>
      <c r="N139" s="293"/>
      <c r="O139" s="293"/>
      <c r="P139" s="293"/>
      <c r="Q139" s="293"/>
      <c r="R139" s="361">
        <f>SUM(D33:J33)*0.025</f>
        <v>2327.6465963700002</v>
      </c>
      <c r="S139" s="296"/>
      <c r="T139" s="273"/>
    </row>
    <row r="140" spans="1:20" s="274" customFormat="1" x14ac:dyDescent="0.3">
      <c r="A140" s="300"/>
      <c r="B140" s="293" t="s">
        <v>108</v>
      </c>
      <c r="C140" s="293"/>
      <c r="D140" s="293"/>
      <c r="E140" s="293"/>
      <c r="F140" s="293"/>
      <c r="G140" s="293"/>
      <c r="H140" s="293"/>
      <c r="I140" s="293"/>
      <c r="J140" s="293"/>
      <c r="K140" s="293"/>
      <c r="L140" s="293"/>
      <c r="M140" s="293"/>
      <c r="N140" s="293"/>
      <c r="O140" s="293"/>
      <c r="P140" s="293"/>
      <c r="Q140" s="293"/>
      <c r="R140" s="361"/>
      <c r="S140" s="296"/>
      <c r="T140" s="273"/>
    </row>
    <row r="141" spans="1:20" s="274" customFormat="1" x14ac:dyDescent="0.3">
      <c r="A141" s="300"/>
      <c r="B141" s="293" t="s">
        <v>155</v>
      </c>
      <c r="C141" s="293"/>
      <c r="D141" s="293"/>
      <c r="E141" s="293"/>
      <c r="F141" s="293"/>
      <c r="G141" s="293"/>
      <c r="H141" s="293"/>
      <c r="I141" s="293"/>
      <c r="J141" s="293"/>
      <c r="K141" s="293"/>
      <c r="L141" s="293"/>
      <c r="M141" s="293"/>
      <c r="N141" s="293"/>
      <c r="O141" s="293"/>
      <c r="P141" s="293"/>
      <c r="Q141" s="293"/>
      <c r="R141" s="361">
        <v>0</v>
      </c>
      <c r="S141" s="296"/>
      <c r="T141" s="273"/>
    </row>
    <row r="142" spans="1:20" s="274" customFormat="1" x14ac:dyDescent="0.3">
      <c r="A142" s="300"/>
      <c r="B142" s="293" t="s">
        <v>188</v>
      </c>
      <c r="C142" s="293"/>
      <c r="D142" s="293"/>
      <c r="E142" s="293"/>
      <c r="F142" s="293"/>
      <c r="G142" s="293"/>
      <c r="H142" s="293"/>
      <c r="I142" s="293"/>
      <c r="J142" s="293"/>
      <c r="K142" s="293"/>
      <c r="L142" s="293"/>
      <c r="M142" s="293"/>
      <c r="N142" s="293"/>
      <c r="O142" s="293"/>
      <c r="P142" s="293"/>
      <c r="Q142" s="293"/>
      <c r="R142" s="361">
        <v>0</v>
      </c>
      <c r="S142" s="296"/>
      <c r="T142" s="273"/>
    </row>
    <row r="143" spans="1:20" s="274" customFormat="1" x14ac:dyDescent="0.3">
      <c r="A143" s="300"/>
      <c r="B143" s="293" t="s">
        <v>189</v>
      </c>
      <c r="C143" s="293"/>
      <c r="D143" s="293"/>
      <c r="E143" s="293"/>
      <c r="F143" s="293"/>
      <c r="G143" s="293"/>
      <c r="H143" s="293"/>
      <c r="I143" s="293"/>
      <c r="J143" s="293"/>
      <c r="K143" s="293"/>
      <c r="L143" s="293"/>
      <c r="M143" s="293"/>
      <c r="N143" s="293"/>
      <c r="O143" s="293"/>
      <c r="P143" s="293"/>
      <c r="Q143" s="293"/>
      <c r="R143" s="361">
        <v>0</v>
      </c>
      <c r="S143" s="296"/>
      <c r="T143" s="273"/>
    </row>
    <row r="144" spans="1:20" s="274" customFormat="1" x14ac:dyDescent="0.3">
      <c r="A144" s="300"/>
      <c r="B144" s="293" t="s">
        <v>37</v>
      </c>
      <c r="C144" s="293"/>
      <c r="D144" s="293"/>
      <c r="E144" s="293"/>
      <c r="F144" s="293"/>
      <c r="G144" s="293"/>
      <c r="H144" s="293"/>
      <c r="I144" s="293"/>
      <c r="J144" s="293"/>
      <c r="K144" s="293"/>
      <c r="L144" s="293"/>
      <c r="M144" s="293"/>
      <c r="N144" s="293"/>
      <c r="O144" s="293"/>
      <c r="P144" s="293"/>
      <c r="Q144" s="293"/>
      <c r="R144" s="361">
        <v>0</v>
      </c>
      <c r="S144" s="296"/>
      <c r="T144" s="273"/>
    </row>
    <row r="145" spans="1:21" s="274" customFormat="1" x14ac:dyDescent="0.3">
      <c r="A145" s="300"/>
      <c r="B145" s="293" t="s">
        <v>102</v>
      </c>
      <c r="C145" s="293"/>
      <c r="D145" s="293"/>
      <c r="E145" s="293"/>
      <c r="F145" s="293"/>
      <c r="G145" s="293"/>
      <c r="H145" s="293"/>
      <c r="I145" s="293"/>
      <c r="J145" s="293"/>
      <c r="K145" s="293"/>
      <c r="L145" s="293"/>
      <c r="M145" s="293"/>
      <c r="N145" s="293"/>
      <c r="O145" s="293"/>
      <c r="P145" s="293"/>
      <c r="Q145" s="293"/>
      <c r="R145" s="361">
        <v>0</v>
      </c>
      <c r="S145" s="296"/>
      <c r="T145" s="273"/>
    </row>
    <row r="146" spans="1:21" s="274" customFormat="1" x14ac:dyDescent="0.3">
      <c r="A146" s="300"/>
      <c r="B146" s="293" t="s">
        <v>271</v>
      </c>
      <c r="C146" s="293"/>
      <c r="D146" s="293"/>
      <c r="E146" s="293"/>
      <c r="F146" s="293"/>
      <c r="G146" s="293"/>
      <c r="H146" s="293"/>
      <c r="I146" s="293"/>
      <c r="J146" s="293"/>
      <c r="K146" s="293"/>
      <c r="L146" s="293"/>
      <c r="M146" s="293"/>
      <c r="N146" s="293"/>
      <c r="O146" s="293"/>
      <c r="P146" s="293"/>
      <c r="Q146" s="293"/>
      <c r="R146" s="361">
        <v>0</v>
      </c>
      <c r="S146" s="296"/>
      <c r="T146" s="273"/>
      <c r="U146" s="382"/>
    </row>
    <row r="147" spans="1:21" s="274" customFormat="1" x14ac:dyDescent="0.3">
      <c r="A147" s="300"/>
      <c r="B147" s="293" t="s">
        <v>38</v>
      </c>
      <c r="C147" s="293"/>
      <c r="D147" s="293"/>
      <c r="E147" s="293"/>
      <c r="F147" s="293"/>
      <c r="G147" s="293"/>
      <c r="H147" s="293"/>
      <c r="I147" s="293"/>
      <c r="J147" s="293"/>
      <c r="K147" s="293"/>
      <c r="L147" s="293"/>
      <c r="M147" s="293"/>
      <c r="N147" s="293"/>
      <c r="O147" s="293"/>
      <c r="P147" s="293"/>
      <c r="Q147" s="293"/>
      <c r="R147" s="361">
        <f>SUM(R137:R146)</f>
        <v>8753</v>
      </c>
      <c r="S147" s="296"/>
      <c r="T147" s="273"/>
    </row>
    <row r="148" spans="1:21" x14ac:dyDescent="0.3">
      <c r="A148" s="258"/>
      <c r="B148" s="362"/>
      <c r="C148" s="362"/>
      <c r="D148" s="362"/>
      <c r="E148" s="362"/>
      <c r="F148" s="362"/>
      <c r="G148" s="362"/>
      <c r="H148" s="362"/>
      <c r="I148" s="362"/>
      <c r="J148" s="362"/>
      <c r="K148" s="362"/>
      <c r="L148" s="362"/>
      <c r="M148" s="362"/>
      <c r="N148" s="362"/>
      <c r="O148" s="362"/>
      <c r="P148" s="362"/>
      <c r="Q148" s="362"/>
      <c r="R148" s="393"/>
      <c r="S148" s="261"/>
      <c r="T148" s="256"/>
    </row>
    <row r="149" spans="1:21" x14ac:dyDescent="0.3">
      <c r="A149" s="258"/>
      <c r="B149" s="392" t="s">
        <v>202</v>
      </c>
      <c r="C149" s="260"/>
      <c r="D149" s="260"/>
      <c r="E149" s="260"/>
      <c r="F149" s="260"/>
      <c r="G149" s="260"/>
      <c r="H149" s="260"/>
      <c r="I149" s="260"/>
      <c r="J149" s="260"/>
      <c r="K149" s="260"/>
      <c r="L149" s="260"/>
      <c r="M149" s="260"/>
      <c r="N149" s="260"/>
      <c r="O149" s="260"/>
      <c r="P149" s="260"/>
      <c r="Q149" s="260"/>
      <c r="R149" s="354"/>
      <c r="S149" s="261"/>
      <c r="T149" s="256"/>
    </row>
    <row r="150" spans="1:21" s="274" customFormat="1" x14ac:dyDescent="0.3">
      <c r="A150" s="300"/>
      <c r="B150" s="293" t="s">
        <v>168</v>
      </c>
      <c r="C150" s="293"/>
      <c r="D150" s="293"/>
      <c r="E150" s="293"/>
      <c r="F150" s="293"/>
      <c r="G150" s="293"/>
      <c r="H150" s="293"/>
      <c r="I150" s="293"/>
      <c r="J150" s="293"/>
      <c r="K150" s="293"/>
      <c r="L150" s="293"/>
      <c r="M150" s="293"/>
      <c r="N150" s="293"/>
      <c r="O150" s="293"/>
      <c r="P150" s="293"/>
      <c r="Q150" s="293"/>
      <c r="R150" s="361">
        <f>+F77</f>
        <v>0</v>
      </c>
      <c r="S150" s="296"/>
      <c r="T150" s="273"/>
    </row>
    <row r="151" spans="1:21" s="274" customFormat="1" x14ac:dyDescent="0.3">
      <c r="A151" s="300"/>
      <c r="B151" s="293" t="s">
        <v>190</v>
      </c>
      <c r="C151" s="293"/>
      <c r="D151" s="293"/>
      <c r="E151" s="293"/>
      <c r="F151" s="293"/>
      <c r="G151" s="293"/>
      <c r="H151" s="293"/>
      <c r="I151" s="293"/>
      <c r="J151" s="293"/>
      <c r="K151" s="293"/>
      <c r="L151" s="293"/>
      <c r="M151" s="293"/>
      <c r="N151" s="293"/>
      <c r="O151" s="293"/>
      <c r="P151" s="293"/>
      <c r="Q151" s="293"/>
      <c r="R151" s="361">
        <f>+J77</f>
        <v>0</v>
      </c>
      <c r="S151" s="296"/>
      <c r="T151" s="273"/>
    </row>
    <row r="152" spans="1:21" s="274" customFormat="1" x14ac:dyDescent="0.3">
      <c r="A152" s="300"/>
      <c r="B152" s="293" t="s">
        <v>204</v>
      </c>
      <c r="C152" s="293"/>
      <c r="D152" s="293"/>
      <c r="E152" s="293"/>
      <c r="F152" s="293"/>
      <c r="G152" s="293"/>
      <c r="H152" s="293"/>
      <c r="I152" s="293"/>
      <c r="J152" s="293"/>
      <c r="K152" s="293"/>
      <c r="L152" s="293"/>
      <c r="M152" s="293"/>
      <c r="N152" s="293"/>
      <c r="O152" s="293"/>
      <c r="P152" s="293"/>
      <c r="Q152" s="293"/>
      <c r="R152" s="361">
        <f>R150+R151</f>
        <v>0</v>
      </c>
      <c r="S152" s="296"/>
      <c r="T152" s="273"/>
    </row>
    <row r="153" spans="1:21" x14ac:dyDescent="0.3">
      <c r="A153" s="258"/>
      <c r="B153" s="394"/>
      <c r="C153" s="394"/>
      <c r="D153" s="394"/>
      <c r="E153" s="394"/>
      <c r="F153" s="394"/>
      <c r="G153" s="394"/>
      <c r="H153" s="394"/>
      <c r="I153" s="394"/>
      <c r="J153" s="394"/>
      <c r="K153" s="394"/>
      <c r="L153" s="394"/>
      <c r="M153" s="394"/>
      <c r="N153" s="394"/>
      <c r="O153" s="394"/>
      <c r="P153" s="394"/>
      <c r="Q153" s="394"/>
      <c r="R153" s="395"/>
      <c r="S153" s="261"/>
      <c r="T153" s="256"/>
    </row>
    <row r="154" spans="1:21" x14ac:dyDescent="0.3">
      <c r="A154" s="258"/>
      <c r="B154" s="392" t="s">
        <v>210</v>
      </c>
      <c r="C154" s="394"/>
      <c r="D154" s="394"/>
      <c r="E154" s="394"/>
      <c r="F154" s="394"/>
      <c r="G154" s="394"/>
      <c r="H154" s="394"/>
      <c r="I154" s="394"/>
      <c r="J154" s="394"/>
      <c r="K154" s="394"/>
      <c r="L154" s="394"/>
      <c r="M154" s="394"/>
      <c r="N154" s="394"/>
      <c r="O154" s="394"/>
      <c r="P154" s="394"/>
      <c r="Q154" s="394"/>
      <c r="R154" s="395"/>
      <c r="S154" s="261"/>
      <c r="T154" s="256"/>
    </row>
    <row r="155" spans="1:21" s="274" customFormat="1" x14ac:dyDescent="0.3">
      <c r="A155" s="396"/>
      <c r="B155" s="397" t="s">
        <v>279</v>
      </c>
      <c r="C155" s="397"/>
      <c r="D155" s="397"/>
      <c r="E155" s="397"/>
      <c r="F155" s="397"/>
      <c r="G155" s="397"/>
      <c r="H155" s="397"/>
      <c r="I155" s="397"/>
      <c r="J155" s="397"/>
      <c r="K155" s="397"/>
      <c r="L155" s="397"/>
      <c r="M155" s="397"/>
      <c r="N155" s="397"/>
      <c r="O155" s="397"/>
      <c r="P155" s="397"/>
      <c r="Q155" s="397"/>
      <c r="R155" s="398">
        <v>0</v>
      </c>
      <c r="S155" s="399"/>
      <c r="T155" s="273"/>
    </row>
    <row r="156" spans="1:21" s="274" customFormat="1" x14ac:dyDescent="0.3">
      <c r="A156" s="396"/>
      <c r="B156" s="397" t="s">
        <v>212</v>
      </c>
      <c r="C156" s="397"/>
      <c r="D156" s="397"/>
      <c r="E156" s="397"/>
      <c r="F156" s="397"/>
      <c r="G156" s="397"/>
      <c r="H156" s="397"/>
      <c r="I156" s="397"/>
      <c r="J156" s="397"/>
      <c r="K156" s="397"/>
      <c r="L156" s="397"/>
      <c r="M156" s="397"/>
      <c r="N156" s="397"/>
      <c r="O156" s="397"/>
      <c r="P156" s="397"/>
      <c r="Q156" s="397"/>
      <c r="R156" s="398">
        <f>P86</f>
        <v>0</v>
      </c>
      <c r="S156" s="399"/>
      <c r="T156" s="273"/>
    </row>
    <row r="157" spans="1:21" s="274" customFormat="1" x14ac:dyDescent="0.3">
      <c r="A157" s="396"/>
      <c r="B157" s="397" t="s">
        <v>213</v>
      </c>
      <c r="C157" s="397"/>
      <c r="D157" s="397"/>
      <c r="E157" s="397"/>
      <c r="F157" s="397"/>
      <c r="G157" s="397"/>
      <c r="H157" s="397"/>
      <c r="I157" s="397"/>
      <c r="J157" s="397"/>
      <c r="K157" s="397"/>
      <c r="L157" s="397"/>
      <c r="M157" s="397"/>
      <c r="N157" s="397"/>
      <c r="O157" s="397"/>
      <c r="P157" s="397"/>
      <c r="Q157" s="397"/>
      <c r="R157" s="398">
        <v>0</v>
      </c>
      <c r="S157" s="399"/>
      <c r="T157" s="273"/>
    </row>
    <row r="158" spans="1:21" s="274" customFormat="1" x14ac:dyDescent="0.3">
      <c r="A158" s="396"/>
      <c r="B158" s="397" t="s">
        <v>214</v>
      </c>
      <c r="C158" s="397"/>
      <c r="D158" s="397"/>
      <c r="E158" s="397"/>
      <c r="F158" s="397"/>
      <c r="G158" s="397"/>
      <c r="H158" s="397"/>
      <c r="I158" s="397"/>
      <c r="J158" s="397"/>
      <c r="K158" s="397"/>
      <c r="L158" s="397"/>
      <c r="M158" s="397"/>
      <c r="N158" s="397"/>
      <c r="O158" s="397"/>
      <c r="P158" s="397"/>
      <c r="Q158" s="397"/>
      <c r="R158" s="398">
        <f>R155+R156+R157</f>
        <v>0</v>
      </c>
      <c r="S158" s="399"/>
      <c r="T158" s="273"/>
    </row>
    <row r="159" spans="1:21" x14ac:dyDescent="0.3">
      <c r="A159" s="258"/>
      <c r="B159" s="362"/>
      <c r="C159" s="362"/>
      <c r="D159" s="362"/>
      <c r="E159" s="362"/>
      <c r="F159" s="362"/>
      <c r="G159" s="362"/>
      <c r="H159" s="362"/>
      <c r="I159" s="362"/>
      <c r="J159" s="362"/>
      <c r="K159" s="362"/>
      <c r="L159" s="362"/>
      <c r="M159" s="362"/>
      <c r="N159" s="362"/>
      <c r="O159" s="362"/>
      <c r="P159" s="362"/>
      <c r="Q159" s="362"/>
      <c r="R159" s="393"/>
      <c r="S159" s="261"/>
      <c r="T159" s="256"/>
    </row>
    <row r="160" spans="1:21" x14ac:dyDescent="0.3">
      <c r="A160" s="258"/>
      <c r="B160" s="392" t="s">
        <v>39</v>
      </c>
      <c r="C160" s="260"/>
      <c r="D160" s="260"/>
      <c r="E160" s="260"/>
      <c r="F160" s="260"/>
      <c r="G160" s="260"/>
      <c r="H160" s="260"/>
      <c r="I160" s="260"/>
      <c r="J160" s="260"/>
      <c r="K160" s="260"/>
      <c r="L160" s="260"/>
      <c r="M160" s="260"/>
      <c r="N160" s="260"/>
      <c r="O160" s="260"/>
      <c r="P160" s="260"/>
      <c r="Q160" s="260"/>
      <c r="R160" s="400"/>
      <c r="S160" s="261"/>
      <c r="T160" s="256"/>
    </row>
    <row r="161" spans="1:252" s="274" customFormat="1" x14ac:dyDescent="0.3">
      <c r="A161" s="300"/>
      <c r="B161" s="293" t="s">
        <v>40</v>
      </c>
      <c r="C161" s="293"/>
      <c r="D161" s="293"/>
      <c r="E161" s="293"/>
      <c r="F161" s="293"/>
      <c r="G161" s="293"/>
      <c r="H161" s="293"/>
      <c r="I161" s="293"/>
      <c r="J161" s="293"/>
      <c r="K161" s="293"/>
      <c r="L161" s="293"/>
      <c r="M161" s="293"/>
      <c r="N161" s="293"/>
      <c r="O161" s="293"/>
      <c r="P161" s="293"/>
      <c r="Q161" s="293"/>
      <c r="R161" s="361">
        <v>0</v>
      </c>
      <c r="S161" s="296"/>
      <c r="T161" s="273"/>
    </row>
    <row r="162" spans="1:252" s="274" customFormat="1" x14ac:dyDescent="0.3">
      <c r="A162" s="300"/>
      <c r="B162" s="293" t="s">
        <v>41</v>
      </c>
      <c r="C162" s="293"/>
      <c r="D162" s="293"/>
      <c r="E162" s="293"/>
      <c r="F162" s="293"/>
      <c r="G162" s="293"/>
      <c r="H162" s="293"/>
      <c r="I162" s="293"/>
      <c r="J162" s="293"/>
      <c r="K162" s="293"/>
      <c r="L162" s="293"/>
      <c r="M162" s="293"/>
      <c r="N162" s="293"/>
      <c r="O162" s="293"/>
      <c r="P162" s="293"/>
      <c r="Q162" s="293"/>
      <c r="R162" s="361">
        <v>0</v>
      </c>
      <c r="S162" s="296"/>
      <c r="T162" s="273"/>
    </row>
    <row r="163" spans="1:252" s="274" customFormat="1" x14ac:dyDescent="0.3">
      <c r="A163" s="300"/>
      <c r="B163" s="293" t="s">
        <v>42</v>
      </c>
      <c r="C163" s="293"/>
      <c r="D163" s="293"/>
      <c r="E163" s="293"/>
      <c r="F163" s="293"/>
      <c r="G163" s="293"/>
      <c r="H163" s="293"/>
      <c r="I163" s="293"/>
      <c r="J163" s="293"/>
      <c r="K163" s="293"/>
      <c r="L163" s="293"/>
      <c r="M163" s="293"/>
      <c r="N163" s="293"/>
      <c r="O163" s="293"/>
      <c r="P163" s="293"/>
      <c r="Q163" s="293"/>
      <c r="R163" s="361">
        <f>R162+R161</f>
        <v>0</v>
      </c>
      <c r="S163" s="296"/>
      <c r="T163" s="273"/>
    </row>
    <row r="164" spans="1:252" s="274" customFormat="1" x14ac:dyDescent="0.3">
      <c r="A164" s="300"/>
      <c r="B164" s="293" t="s">
        <v>173</v>
      </c>
      <c r="C164" s="293"/>
      <c r="D164" s="293"/>
      <c r="E164" s="293"/>
      <c r="F164" s="293"/>
      <c r="G164" s="293"/>
      <c r="H164" s="293"/>
      <c r="I164" s="293"/>
      <c r="J164" s="293"/>
      <c r="K164" s="293"/>
      <c r="L164" s="293"/>
      <c r="M164" s="293"/>
      <c r="N164" s="293"/>
      <c r="O164" s="293"/>
      <c r="P164" s="293"/>
      <c r="Q164" s="293"/>
      <c r="R164" s="361">
        <f>R111</f>
        <v>0</v>
      </c>
      <c r="S164" s="296"/>
      <c r="T164" s="273"/>
    </row>
    <row r="165" spans="1:252" s="274" customFormat="1" x14ac:dyDescent="0.3">
      <c r="A165" s="300"/>
      <c r="B165" s="293" t="s">
        <v>43</v>
      </c>
      <c r="C165" s="293"/>
      <c r="D165" s="293"/>
      <c r="E165" s="293"/>
      <c r="F165" s="293"/>
      <c r="G165" s="293"/>
      <c r="H165" s="293"/>
      <c r="I165" s="293"/>
      <c r="J165" s="293"/>
      <c r="K165" s="293"/>
      <c r="L165" s="293"/>
      <c r="M165" s="293"/>
      <c r="N165" s="293"/>
      <c r="O165" s="293"/>
      <c r="P165" s="293"/>
      <c r="Q165" s="293"/>
      <c r="R165" s="361">
        <f>R163+R164</f>
        <v>0</v>
      </c>
      <c r="S165" s="296"/>
      <c r="T165" s="273"/>
    </row>
    <row r="166" spans="1:252" s="274" customFormat="1" x14ac:dyDescent="0.3">
      <c r="A166" s="300"/>
      <c r="B166" s="293" t="s">
        <v>150</v>
      </c>
      <c r="C166" s="293"/>
      <c r="D166" s="293"/>
      <c r="E166" s="293"/>
      <c r="F166" s="293"/>
      <c r="G166" s="293"/>
      <c r="H166" s="293"/>
      <c r="I166" s="293"/>
      <c r="J166" s="293"/>
      <c r="K166" s="293"/>
      <c r="L166" s="293"/>
      <c r="M166" s="293"/>
      <c r="N166" s="293"/>
      <c r="O166" s="293"/>
      <c r="P166" s="293"/>
      <c r="Q166" s="293"/>
      <c r="R166" s="361">
        <f>-R99</f>
        <v>0</v>
      </c>
      <c r="S166" s="296"/>
      <c r="T166" s="273"/>
    </row>
    <row r="167" spans="1:252" ht="16.2" thickBot="1" x14ac:dyDescent="0.35">
      <c r="A167" s="258"/>
      <c r="B167" s="362"/>
      <c r="C167" s="362"/>
      <c r="D167" s="362"/>
      <c r="E167" s="362"/>
      <c r="F167" s="362"/>
      <c r="G167" s="362"/>
      <c r="H167" s="362"/>
      <c r="I167" s="362"/>
      <c r="J167" s="362"/>
      <c r="K167" s="362"/>
      <c r="L167" s="362"/>
      <c r="M167" s="362"/>
      <c r="N167" s="362"/>
      <c r="O167" s="362"/>
      <c r="P167" s="362"/>
      <c r="Q167" s="362"/>
      <c r="R167" s="393"/>
      <c r="S167" s="261"/>
      <c r="T167" s="256"/>
    </row>
    <row r="168" spans="1:252" x14ac:dyDescent="0.3">
      <c r="A168" s="252"/>
      <c r="B168" s="254"/>
      <c r="C168" s="254"/>
      <c r="D168" s="254"/>
      <c r="E168" s="254"/>
      <c r="F168" s="254"/>
      <c r="G168" s="254"/>
      <c r="H168" s="254"/>
      <c r="I168" s="254"/>
      <c r="J168" s="254"/>
      <c r="K168" s="254"/>
      <c r="L168" s="254"/>
      <c r="M168" s="254"/>
      <c r="N168" s="254"/>
      <c r="O168" s="254"/>
      <c r="P168" s="254"/>
      <c r="Q168" s="254"/>
      <c r="R168" s="401"/>
      <c r="S168" s="255"/>
      <c r="T168" s="256"/>
    </row>
    <row r="169" spans="1:252" s="403" customFormat="1" x14ac:dyDescent="0.3">
      <c r="A169" s="258"/>
      <c r="B169" s="392" t="s">
        <v>203</v>
      </c>
      <c r="C169" s="362"/>
      <c r="D169" s="362"/>
      <c r="E169" s="362"/>
      <c r="F169" s="362"/>
      <c r="G169" s="362"/>
      <c r="H169" s="362"/>
      <c r="I169" s="362"/>
      <c r="J169" s="362"/>
      <c r="K169" s="362"/>
      <c r="L169" s="362"/>
      <c r="M169" s="362"/>
      <c r="N169" s="362"/>
      <c r="O169" s="362"/>
      <c r="P169" s="362"/>
      <c r="Q169" s="362"/>
      <c r="R169" s="402"/>
      <c r="S169" s="261"/>
      <c r="T169" s="256"/>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c r="CP169" s="257"/>
      <c r="CQ169" s="257"/>
      <c r="CR169" s="257"/>
      <c r="CS169" s="257"/>
      <c r="CT169" s="257"/>
      <c r="CU169" s="257"/>
      <c r="CV169" s="257"/>
      <c r="CW169" s="257"/>
      <c r="CX169" s="257"/>
      <c r="CY169" s="257"/>
      <c r="CZ169" s="257"/>
      <c r="DA169" s="257"/>
      <c r="DB169" s="257"/>
      <c r="DC169" s="257"/>
      <c r="DD169" s="257"/>
      <c r="DE169" s="257"/>
      <c r="DF169" s="257"/>
      <c r="DG169" s="257"/>
      <c r="DH169" s="257"/>
      <c r="DI169" s="257"/>
      <c r="DJ169" s="257"/>
      <c r="DK169" s="257"/>
      <c r="DL169" s="257"/>
      <c r="DM169" s="257"/>
      <c r="DN169" s="257"/>
      <c r="DO169" s="257"/>
      <c r="DP169" s="257"/>
      <c r="DQ169" s="257"/>
      <c r="DR169" s="257"/>
      <c r="DS169" s="257"/>
      <c r="DT169" s="257"/>
      <c r="DU169" s="257"/>
      <c r="DV169" s="257"/>
      <c r="DW169" s="257"/>
      <c r="DX169" s="257"/>
      <c r="DY169" s="257"/>
      <c r="DZ169" s="257"/>
      <c r="EA169" s="257"/>
      <c r="EB169" s="257"/>
      <c r="EC169" s="257"/>
      <c r="ED169" s="257"/>
      <c r="EE169" s="257"/>
      <c r="EF169" s="257"/>
      <c r="EG169" s="257"/>
      <c r="EH169" s="257"/>
      <c r="EI169" s="257"/>
      <c r="EJ169" s="257"/>
      <c r="EK169" s="257"/>
      <c r="EL169" s="257"/>
      <c r="EM169" s="257"/>
      <c r="EN169" s="257"/>
      <c r="EO169" s="257"/>
      <c r="EP169" s="257"/>
      <c r="EQ169" s="257"/>
      <c r="ER169" s="257"/>
      <c r="ES169" s="257"/>
      <c r="ET169" s="257"/>
      <c r="EU169" s="257"/>
      <c r="EV169" s="257"/>
      <c r="EW169" s="257"/>
      <c r="EX169" s="257"/>
      <c r="EY169" s="257"/>
      <c r="EZ169" s="257"/>
      <c r="FA169" s="257"/>
      <c r="FB169" s="257"/>
      <c r="FC169" s="257"/>
      <c r="FD169" s="257"/>
      <c r="FE169" s="257"/>
      <c r="FF169" s="257"/>
      <c r="FG169" s="257"/>
      <c r="FH169" s="257"/>
      <c r="FI169" s="257"/>
      <c r="FJ169" s="257"/>
      <c r="FK169" s="257"/>
      <c r="FL169" s="257"/>
      <c r="FM169" s="257"/>
      <c r="FN169" s="257"/>
      <c r="FO169" s="257"/>
      <c r="FP169" s="257"/>
      <c r="FQ169" s="257"/>
      <c r="FR169" s="257"/>
      <c r="FS169" s="257"/>
      <c r="FT169" s="257"/>
      <c r="FU169" s="257"/>
      <c r="FV169" s="257"/>
      <c r="FW169" s="257"/>
      <c r="FX169" s="257"/>
      <c r="FY169" s="257"/>
      <c r="FZ169" s="257"/>
      <c r="GA169" s="257"/>
      <c r="GB169" s="257"/>
      <c r="GC169" s="257"/>
      <c r="GD169" s="257"/>
      <c r="GE169" s="257"/>
      <c r="GF169" s="257"/>
      <c r="GG169" s="257"/>
      <c r="GH169" s="257"/>
      <c r="GI169" s="257"/>
      <c r="GJ169" s="257"/>
      <c r="GK169" s="257"/>
      <c r="GL169" s="257"/>
      <c r="GM169" s="257"/>
      <c r="GN169" s="257"/>
      <c r="GO169" s="257"/>
      <c r="GP169" s="257"/>
      <c r="GQ169" s="257"/>
      <c r="GR169" s="257"/>
      <c r="GS169" s="257"/>
      <c r="GT169" s="257"/>
      <c r="GU169" s="257"/>
      <c r="GV169" s="257"/>
      <c r="GW169" s="257"/>
      <c r="GX169" s="257"/>
      <c r="GY169" s="257"/>
      <c r="GZ169" s="257"/>
      <c r="HA169" s="257"/>
      <c r="HB169" s="257"/>
      <c r="HC169" s="257"/>
      <c r="HD169" s="257"/>
      <c r="HE169" s="257"/>
      <c r="HF169" s="257"/>
      <c r="HG169" s="257"/>
      <c r="HH169" s="257"/>
      <c r="HI169" s="257"/>
      <c r="HJ169" s="257"/>
      <c r="HK169" s="257"/>
      <c r="HL169" s="257"/>
      <c r="HM169" s="257"/>
      <c r="HN169" s="257"/>
      <c r="HO169" s="257"/>
      <c r="HP169" s="257"/>
      <c r="HQ169" s="257"/>
      <c r="HR169" s="257"/>
      <c r="HS169" s="257"/>
      <c r="HT169" s="257"/>
      <c r="HU169" s="257"/>
      <c r="HV169" s="257"/>
      <c r="HW169" s="257"/>
      <c r="HX169" s="257"/>
      <c r="HY169" s="257"/>
      <c r="HZ169" s="257"/>
      <c r="IA169" s="257"/>
      <c r="IB169" s="257"/>
      <c r="IC169" s="257"/>
      <c r="ID169" s="257"/>
      <c r="IE169" s="257"/>
      <c r="IF169" s="257"/>
      <c r="IG169" s="257"/>
      <c r="IH169" s="257"/>
      <c r="II169" s="257"/>
      <c r="IJ169" s="257"/>
      <c r="IK169" s="257"/>
      <c r="IL169" s="257"/>
      <c r="IM169" s="257"/>
      <c r="IN169" s="257"/>
      <c r="IO169" s="257"/>
      <c r="IP169" s="257"/>
      <c r="IQ169" s="257"/>
      <c r="IR169" s="257"/>
    </row>
    <row r="170" spans="1:252" s="404" customFormat="1" x14ac:dyDescent="0.3">
      <c r="A170" s="300"/>
      <c r="B170" s="293" t="s">
        <v>141</v>
      </c>
      <c r="C170" s="293"/>
      <c r="D170" s="293"/>
      <c r="E170" s="293"/>
      <c r="F170" s="293"/>
      <c r="G170" s="293"/>
      <c r="H170" s="293"/>
      <c r="I170" s="293"/>
      <c r="J170" s="293"/>
      <c r="K170" s="293"/>
      <c r="L170" s="293"/>
      <c r="M170" s="293"/>
      <c r="N170" s="293"/>
      <c r="O170" s="293"/>
      <c r="P170" s="293"/>
      <c r="Q170" s="293"/>
      <c r="R170" s="361">
        <f>'Dec 17'!R173</f>
        <v>1153</v>
      </c>
      <c r="S170" s="296"/>
      <c r="T170" s="273"/>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row>
    <row r="171" spans="1:252" s="404" customFormat="1" x14ac:dyDescent="0.3">
      <c r="A171" s="300"/>
      <c r="B171" s="293" t="s">
        <v>282</v>
      </c>
      <c r="C171" s="293"/>
      <c r="D171" s="293"/>
      <c r="E171" s="293"/>
      <c r="F171" s="293"/>
      <c r="G171" s="293"/>
      <c r="H171" s="293"/>
      <c r="I171" s="293"/>
      <c r="J171" s="293"/>
      <c r="K171" s="293"/>
      <c r="L171" s="293"/>
      <c r="M171" s="293"/>
      <c r="N171" s="293"/>
      <c r="O171" s="293"/>
      <c r="P171" s="293"/>
      <c r="Q171" s="293"/>
      <c r="R171" s="361">
        <v>0</v>
      </c>
      <c r="S171" s="296"/>
      <c r="T171" s="273"/>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row>
    <row r="172" spans="1:252" s="404" customFormat="1" x14ac:dyDescent="0.3">
      <c r="A172" s="300"/>
      <c r="B172" s="293" t="s">
        <v>144</v>
      </c>
      <c r="C172" s="293"/>
      <c r="D172" s="293"/>
      <c r="E172" s="293"/>
      <c r="F172" s="293"/>
      <c r="G172" s="293"/>
      <c r="H172" s="293"/>
      <c r="I172" s="293"/>
      <c r="J172" s="293"/>
      <c r="K172" s="293"/>
      <c r="L172" s="293"/>
      <c r="M172" s="293"/>
      <c r="N172" s="293"/>
      <c r="O172" s="293"/>
      <c r="P172" s="293"/>
      <c r="Q172" s="293"/>
      <c r="R172" s="361">
        <f>+R92</f>
        <v>145</v>
      </c>
      <c r="S172" s="296"/>
      <c r="T172" s="273"/>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row>
    <row r="173" spans="1:252" s="404" customFormat="1" x14ac:dyDescent="0.3">
      <c r="A173" s="300"/>
      <c r="B173" s="293" t="s">
        <v>142</v>
      </c>
      <c r="C173" s="293"/>
      <c r="D173" s="293"/>
      <c r="E173" s="293"/>
      <c r="F173" s="293"/>
      <c r="G173" s="293"/>
      <c r="H173" s="293"/>
      <c r="I173" s="293"/>
      <c r="J173" s="293"/>
      <c r="K173" s="293"/>
      <c r="L173" s="293"/>
      <c r="M173" s="293"/>
      <c r="N173" s="293"/>
      <c r="O173" s="293"/>
      <c r="P173" s="293"/>
      <c r="Q173" s="293"/>
      <c r="R173" s="361">
        <f>+R170+R171-R172</f>
        <v>1008</v>
      </c>
      <c r="S173" s="296"/>
      <c r="T173" s="273"/>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row>
    <row r="174" spans="1:252" s="406" customFormat="1" ht="16.2" thickBot="1" x14ac:dyDescent="0.35">
      <c r="A174" s="405"/>
      <c r="B174" s="362"/>
      <c r="C174" s="362"/>
      <c r="D174" s="362"/>
      <c r="E174" s="362"/>
      <c r="F174" s="362"/>
      <c r="G174" s="362"/>
      <c r="H174" s="362"/>
      <c r="I174" s="362"/>
      <c r="J174" s="362"/>
      <c r="K174" s="362"/>
      <c r="L174" s="362"/>
      <c r="M174" s="362"/>
      <c r="N174" s="362"/>
      <c r="O174" s="362"/>
      <c r="P174" s="362"/>
      <c r="Q174" s="362"/>
      <c r="R174" s="393"/>
      <c r="S174" s="261"/>
      <c r="T174" s="256"/>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c r="CP174" s="257"/>
      <c r="CQ174" s="257"/>
      <c r="CR174" s="257"/>
      <c r="CS174" s="257"/>
      <c r="CT174" s="257"/>
      <c r="CU174" s="257"/>
      <c r="CV174" s="257"/>
      <c r="CW174" s="257"/>
      <c r="CX174" s="257"/>
      <c r="CY174" s="257"/>
      <c r="CZ174" s="257"/>
      <c r="DA174" s="257"/>
      <c r="DB174" s="257"/>
      <c r="DC174" s="257"/>
      <c r="DD174" s="257"/>
      <c r="DE174" s="257"/>
      <c r="DF174" s="257"/>
      <c r="DG174" s="257"/>
      <c r="DH174" s="257"/>
      <c r="DI174" s="257"/>
      <c r="DJ174" s="257"/>
      <c r="DK174" s="257"/>
      <c r="DL174" s="257"/>
      <c r="DM174" s="257"/>
      <c r="DN174" s="257"/>
      <c r="DO174" s="257"/>
      <c r="DP174" s="257"/>
      <c r="DQ174" s="257"/>
      <c r="DR174" s="257"/>
      <c r="DS174" s="257"/>
      <c r="DT174" s="257"/>
      <c r="DU174" s="257"/>
      <c r="DV174" s="257"/>
      <c r="DW174" s="257"/>
      <c r="DX174" s="257"/>
      <c r="DY174" s="257"/>
      <c r="DZ174" s="257"/>
      <c r="EA174" s="257"/>
      <c r="EB174" s="257"/>
      <c r="EC174" s="257"/>
      <c r="ED174" s="257"/>
      <c r="EE174" s="257"/>
      <c r="EF174" s="257"/>
      <c r="EG174" s="257"/>
      <c r="EH174" s="257"/>
      <c r="EI174" s="257"/>
      <c r="EJ174" s="257"/>
      <c r="EK174" s="257"/>
      <c r="EL174" s="257"/>
      <c r="EM174" s="257"/>
      <c r="EN174" s="257"/>
      <c r="EO174" s="257"/>
      <c r="EP174" s="257"/>
      <c r="EQ174" s="257"/>
      <c r="ER174" s="257"/>
      <c r="ES174" s="257"/>
      <c r="ET174" s="257"/>
      <c r="EU174" s="257"/>
      <c r="EV174" s="257"/>
      <c r="EW174" s="257"/>
      <c r="EX174" s="257"/>
      <c r="EY174" s="257"/>
      <c r="EZ174" s="257"/>
      <c r="FA174" s="257"/>
      <c r="FB174" s="257"/>
      <c r="FC174" s="257"/>
      <c r="FD174" s="257"/>
      <c r="FE174" s="257"/>
      <c r="FF174" s="257"/>
      <c r="FG174" s="257"/>
      <c r="FH174" s="257"/>
      <c r="FI174" s="257"/>
      <c r="FJ174" s="257"/>
      <c r="FK174" s="257"/>
      <c r="FL174" s="257"/>
      <c r="FM174" s="257"/>
      <c r="FN174" s="257"/>
      <c r="FO174" s="257"/>
      <c r="FP174" s="257"/>
      <c r="FQ174" s="257"/>
      <c r="FR174" s="257"/>
      <c r="FS174" s="257"/>
      <c r="FT174" s="257"/>
      <c r="FU174" s="257"/>
      <c r="FV174" s="257"/>
      <c r="FW174" s="257"/>
      <c r="FX174" s="257"/>
      <c r="FY174" s="257"/>
      <c r="FZ174" s="257"/>
      <c r="GA174" s="257"/>
      <c r="GB174" s="257"/>
      <c r="GC174" s="257"/>
      <c r="GD174" s="257"/>
      <c r="GE174" s="257"/>
      <c r="GF174" s="257"/>
      <c r="GG174" s="257"/>
      <c r="GH174" s="257"/>
      <c r="GI174" s="257"/>
      <c r="GJ174" s="257"/>
      <c r="GK174" s="257"/>
      <c r="GL174" s="257"/>
      <c r="GM174" s="257"/>
      <c r="GN174" s="257"/>
      <c r="GO174" s="257"/>
      <c r="GP174" s="257"/>
      <c r="GQ174" s="257"/>
      <c r="GR174" s="257"/>
      <c r="GS174" s="257"/>
      <c r="GT174" s="257"/>
      <c r="GU174" s="257"/>
      <c r="GV174" s="257"/>
      <c r="GW174" s="257"/>
      <c r="GX174" s="257"/>
      <c r="GY174" s="257"/>
      <c r="GZ174" s="257"/>
      <c r="HA174" s="257"/>
      <c r="HB174" s="257"/>
      <c r="HC174" s="257"/>
      <c r="HD174" s="257"/>
      <c r="HE174" s="257"/>
      <c r="HF174" s="257"/>
      <c r="HG174" s="257"/>
      <c r="HH174" s="257"/>
      <c r="HI174" s="257"/>
      <c r="HJ174" s="257"/>
      <c r="HK174" s="257"/>
      <c r="HL174" s="257"/>
      <c r="HM174" s="257"/>
      <c r="HN174" s="257"/>
      <c r="HO174" s="257"/>
      <c r="HP174" s="257"/>
      <c r="HQ174" s="257"/>
      <c r="HR174" s="257"/>
      <c r="HS174" s="257"/>
      <c r="HT174" s="257"/>
      <c r="HU174" s="257"/>
      <c r="HV174" s="257"/>
      <c r="HW174" s="257"/>
      <c r="HX174" s="257"/>
      <c r="HY174" s="257"/>
      <c r="HZ174" s="257"/>
      <c r="IA174" s="257"/>
      <c r="IB174" s="257"/>
      <c r="IC174" s="257"/>
      <c r="ID174" s="257"/>
      <c r="IE174" s="257"/>
      <c r="IF174" s="257"/>
      <c r="IG174" s="257"/>
      <c r="IH174" s="257"/>
      <c r="II174" s="257"/>
      <c r="IJ174" s="257"/>
      <c r="IK174" s="257"/>
      <c r="IL174" s="257"/>
      <c r="IM174" s="257"/>
      <c r="IN174" s="257"/>
      <c r="IO174" s="257"/>
      <c r="IP174" s="257"/>
      <c r="IQ174" s="257"/>
      <c r="IR174" s="257"/>
    </row>
    <row r="175" spans="1:252" s="407" customFormat="1" x14ac:dyDescent="0.3">
      <c r="A175" s="252"/>
      <c r="B175" s="254"/>
      <c r="C175" s="254"/>
      <c r="D175" s="254"/>
      <c r="E175" s="254"/>
      <c r="F175" s="254"/>
      <c r="G175" s="254"/>
      <c r="H175" s="254"/>
      <c r="I175" s="254"/>
      <c r="J175" s="254"/>
      <c r="K175" s="254"/>
      <c r="L175" s="254"/>
      <c r="M175" s="254"/>
      <c r="N175" s="254"/>
      <c r="O175" s="254"/>
      <c r="P175" s="254"/>
      <c r="Q175" s="254"/>
      <c r="R175" s="401"/>
      <c r="S175" s="255"/>
      <c r="T175" s="256"/>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c r="CP175" s="257"/>
      <c r="CQ175" s="257"/>
      <c r="CR175" s="257"/>
      <c r="CS175" s="257"/>
      <c r="CT175" s="257"/>
      <c r="CU175" s="257"/>
      <c r="CV175" s="257"/>
      <c r="CW175" s="257"/>
      <c r="CX175" s="257"/>
      <c r="CY175" s="257"/>
      <c r="CZ175" s="257"/>
      <c r="DA175" s="257"/>
      <c r="DB175" s="257"/>
      <c r="DC175" s="257"/>
      <c r="DD175" s="257"/>
      <c r="DE175" s="257"/>
      <c r="DF175" s="257"/>
      <c r="DG175" s="257"/>
      <c r="DH175" s="257"/>
      <c r="DI175" s="257"/>
      <c r="DJ175" s="257"/>
      <c r="DK175" s="257"/>
      <c r="DL175" s="257"/>
      <c r="DM175" s="257"/>
      <c r="DN175" s="257"/>
      <c r="DO175" s="257"/>
      <c r="DP175" s="257"/>
      <c r="DQ175" s="257"/>
      <c r="DR175" s="257"/>
      <c r="DS175" s="257"/>
      <c r="DT175" s="257"/>
      <c r="DU175" s="257"/>
      <c r="DV175" s="257"/>
      <c r="DW175" s="257"/>
      <c r="DX175" s="257"/>
      <c r="DY175" s="257"/>
      <c r="DZ175" s="257"/>
      <c r="EA175" s="257"/>
      <c r="EB175" s="257"/>
      <c r="EC175" s="257"/>
      <c r="ED175" s="257"/>
      <c r="EE175" s="257"/>
      <c r="EF175" s="257"/>
      <c r="EG175" s="257"/>
      <c r="EH175" s="257"/>
      <c r="EI175" s="257"/>
      <c r="EJ175" s="257"/>
      <c r="EK175" s="257"/>
      <c r="EL175" s="257"/>
      <c r="EM175" s="257"/>
      <c r="EN175" s="257"/>
      <c r="EO175" s="257"/>
      <c r="EP175" s="257"/>
      <c r="EQ175" s="257"/>
      <c r="ER175" s="257"/>
      <c r="ES175" s="257"/>
      <c r="ET175" s="257"/>
      <c r="EU175" s="257"/>
      <c r="EV175" s="257"/>
      <c r="EW175" s="257"/>
      <c r="EX175" s="257"/>
      <c r="EY175" s="257"/>
      <c r="EZ175" s="257"/>
      <c r="FA175" s="257"/>
      <c r="FB175" s="257"/>
      <c r="FC175" s="257"/>
      <c r="FD175" s="257"/>
      <c r="FE175" s="257"/>
      <c r="FF175" s="257"/>
      <c r="FG175" s="257"/>
      <c r="FH175" s="257"/>
      <c r="FI175" s="257"/>
      <c r="FJ175" s="257"/>
      <c r="FK175" s="257"/>
      <c r="FL175" s="257"/>
      <c r="FM175" s="257"/>
      <c r="FN175" s="257"/>
      <c r="FO175" s="257"/>
      <c r="FP175" s="257"/>
      <c r="FQ175" s="257"/>
      <c r="FR175" s="257"/>
      <c r="FS175" s="257"/>
      <c r="FT175" s="257"/>
      <c r="FU175" s="257"/>
      <c r="FV175" s="257"/>
      <c r="FW175" s="257"/>
      <c r="FX175" s="257"/>
      <c r="FY175" s="257"/>
      <c r="FZ175" s="257"/>
      <c r="GA175" s="257"/>
      <c r="GB175" s="257"/>
      <c r="GC175" s="257"/>
      <c r="GD175" s="257"/>
      <c r="GE175" s="257"/>
      <c r="GF175" s="257"/>
      <c r="GG175" s="257"/>
      <c r="GH175" s="257"/>
      <c r="GI175" s="257"/>
      <c r="GJ175" s="257"/>
      <c r="GK175" s="257"/>
      <c r="GL175" s="257"/>
      <c r="GM175" s="257"/>
      <c r="GN175" s="257"/>
      <c r="GO175" s="257"/>
      <c r="GP175" s="257"/>
      <c r="GQ175" s="257"/>
      <c r="GR175" s="257"/>
      <c r="GS175" s="257"/>
      <c r="GT175" s="257"/>
      <c r="GU175" s="257"/>
      <c r="GV175" s="257"/>
      <c r="GW175" s="257"/>
      <c r="GX175" s="257"/>
      <c r="GY175" s="257"/>
      <c r="GZ175" s="257"/>
      <c r="HA175" s="257"/>
      <c r="HB175" s="257"/>
      <c r="HC175" s="257"/>
      <c r="HD175" s="257"/>
      <c r="HE175" s="257"/>
      <c r="HF175" s="257"/>
      <c r="HG175" s="257"/>
      <c r="HH175" s="257"/>
      <c r="HI175" s="257"/>
      <c r="HJ175" s="257"/>
      <c r="HK175" s="257"/>
      <c r="HL175" s="257"/>
      <c r="HM175" s="257"/>
      <c r="HN175" s="257"/>
      <c r="HO175" s="257"/>
      <c r="HP175" s="257"/>
      <c r="HQ175" s="257"/>
      <c r="HR175" s="257"/>
      <c r="HS175" s="257"/>
      <c r="HT175" s="257"/>
      <c r="HU175" s="257"/>
      <c r="HV175" s="257"/>
      <c r="HW175" s="257"/>
      <c r="HX175" s="257"/>
      <c r="HY175" s="257"/>
      <c r="HZ175" s="257"/>
      <c r="IA175" s="257"/>
      <c r="IB175" s="257"/>
      <c r="IC175" s="257"/>
      <c r="ID175" s="257"/>
      <c r="IE175" s="257"/>
      <c r="IF175" s="257"/>
      <c r="IG175" s="257"/>
      <c r="IH175" s="257"/>
      <c r="II175" s="257"/>
      <c r="IJ175" s="257"/>
      <c r="IK175" s="257"/>
      <c r="IL175" s="257"/>
      <c r="IM175" s="257"/>
      <c r="IN175" s="257"/>
      <c r="IO175" s="257"/>
      <c r="IP175" s="257"/>
      <c r="IQ175" s="257"/>
      <c r="IR175" s="257"/>
    </row>
    <row r="176" spans="1:252" x14ac:dyDescent="0.3">
      <c r="A176" s="258"/>
      <c r="B176" s="392" t="s">
        <v>44</v>
      </c>
      <c r="C176" s="260"/>
      <c r="D176" s="260"/>
      <c r="E176" s="260"/>
      <c r="F176" s="260"/>
      <c r="G176" s="260"/>
      <c r="H176" s="260"/>
      <c r="I176" s="260"/>
      <c r="J176" s="260"/>
      <c r="K176" s="260"/>
      <c r="L176" s="260"/>
      <c r="M176" s="260"/>
      <c r="N176" s="260"/>
      <c r="O176" s="260"/>
      <c r="P176" s="260"/>
      <c r="Q176" s="260"/>
      <c r="R176" s="354"/>
      <c r="S176" s="261"/>
      <c r="T176" s="256"/>
    </row>
    <row r="177" spans="1:20" x14ac:dyDescent="0.3">
      <c r="A177" s="258"/>
      <c r="B177" s="391"/>
      <c r="C177" s="260"/>
      <c r="D177" s="260"/>
      <c r="E177" s="260"/>
      <c r="F177" s="260"/>
      <c r="G177" s="260"/>
      <c r="H177" s="260"/>
      <c r="I177" s="260"/>
      <c r="J177" s="260"/>
      <c r="K177" s="260"/>
      <c r="L177" s="260"/>
      <c r="M177" s="260"/>
      <c r="N177" s="260"/>
      <c r="O177" s="260"/>
      <c r="P177" s="260"/>
      <c r="Q177" s="260"/>
      <c r="R177" s="354"/>
      <c r="S177" s="261"/>
      <c r="T177" s="256"/>
    </row>
    <row r="178" spans="1:20" s="274" customFormat="1" x14ac:dyDescent="0.3">
      <c r="A178" s="300"/>
      <c r="B178" s="293" t="s">
        <v>171</v>
      </c>
      <c r="C178" s="293"/>
      <c r="D178" s="293"/>
      <c r="E178" s="293"/>
      <c r="F178" s="293"/>
      <c r="G178" s="293"/>
      <c r="H178" s="293"/>
      <c r="I178" s="293"/>
      <c r="J178" s="293"/>
      <c r="K178" s="293"/>
      <c r="L178" s="293"/>
      <c r="M178" s="293"/>
      <c r="N178" s="293"/>
      <c r="O178" s="293"/>
      <c r="P178" s="293"/>
      <c r="Q178" s="293"/>
      <c r="R178" s="361">
        <f>+R67</f>
        <v>101859</v>
      </c>
      <c r="S178" s="296"/>
      <c r="T178" s="273"/>
    </row>
    <row r="179" spans="1:20" s="274" customFormat="1" x14ac:dyDescent="0.3">
      <c r="A179" s="300"/>
      <c r="B179" s="293" t="s">
        <v>172</v>
      </c>
      <c r="C179" s="293"/>
      <c r="D179" s="293"/>
      <c r="E179" s="293"/>
      <c r="F179" s="293"/>
      <c r="G179" s="293"/>
      <c r="H179" s="293"/>
      <c r="I179" s="293"/>
      <c r="J179" s="293"/>
      <c r="K179" s="293"/>
      <c r="L179" s="293"/>
      <c r="M179" s="293"/>
      <c r="N179" s="293"/>
      <c r="O179" s="293"/>
      <c r="P179" s="293"/>
      <c r="Q179" s="293"/>
      <c r="R179" s="361">
        <f>+R77</f>
        <v>0</v>
      </c>
      <c r="S179" s="296"/>
      <c r="T179" s="273"/>
    </row>
    <row r="180" spans="1:20" s="274" customFormat="1" x14ac:dyDescent="0.3">
      <c r="A180" s="300"/>
      <c r="B180" s="293" t="s">
        <v>215</v>
      </c>
      <c r="C180" s="293"/>
      <c r="D180" s="293"/>
      <c r="E180" s="293"/>
      <c r="F180" s="293"/>
      <c r="G180" s="293"/>
      <c r="H180" s="293"/>
      <c r="I180" s="293"/>
      <c r="J180" s="293"/>
      <c r="K180" s="293"/>
      <c r="L180" s="293"/>
      <c r="M180" s="293"/>
      <c r="N180" s="293"/>
      <c r="O180" s="293"/>
      <c r="P180" s="293"/>
      <c r="Q180" s="293"/>
      <c r="R180" s="361">
        <f>+R78</f>
        <v>0</v>
      </c>
      <c r="S180" s="296"/>
      <c r="T180" s="273"/>
    </row>
    <row r="181" spans="1:20" s="274" customFormat="1" x14ac:dyDescent="0.3">
      <c r="A181" s="300"/>
      <c r="B181" s="293" t="s">
        <v>126</v>
      </c>
      <c r="C181" s="293"/>
      <c r="D181" s="293"/>
      <c r="E181" s="293"/>
      <c r="F181" s="293"/>
      <c r="G181" s="293"/>
      <c r="H181" s="293"/>
      <c r="I181" s="293"/>
      <c r="J181" s="293"/>
      <c r="K181" s="293"/>
      <c r="L181" s="293"/>
      <c r="M181" s="293"/>
      <c r="N181" s="293"/>
      <c r="O181" s="293"/>
      <c r="P181" s="293"/>
      <c r="Q181" s="293"/>
      <c r="R181" s="361">
        <f>+R178+R179+R180</f>
        <v>101859</v>
      </c>
      <c r="S181" s="296"/>
      <c r="T181" s="273"/>
    </row>
    <row r="182" spans="1:20" s="274" customFormat="1" x14ac:dyDescent="0.3">
      <c r="A182" s="300"/>
      <c r="B182" s="293" t="s">
        <v>45</v>
      </c>
      <c r="C182" s="293"/>
      <c r="D182" s="293"/>
      <c r="E182" s="293"/>
      <c r="F182" s="293"/>
      <c r="G182" s="293"/>
      <c r="H182" s="293"/>
      <c r="I182" s="293"/>
      <c r="J182" s="293"/>
      <c r="K182" s="293"/>
      <c r="L182" s="293"/>
      <c r="M182" s="293"/>
      <c r="N182" s="293"/>
      <c r="O182" s="293"/>
      <c r="P182" s="293"/>
      <c r="Q182" s="293"/>
      <c r="R182" s="361">
        <f>R80</f>
        <v>101859</v>
      </c>
      <c r="S182" s="296"/>
      <c r="T182" s="273"/>
    </row>
    <row r="183" spans="1:20" ht="16.2" thickBot="1" x14ac:dyDescent="0.35">
      <c r="A183" s="258"/>
      <c r="B183" s="362"/>
      <c r="C183" s="362"/>
      <c r="D183" s="362"/>
      <c r="E183" s="362"/>
      <c r="F183" s="362"/>
      <c r="G183" s="362"/>
      <c r="H183" s="362"/>
      <c r="I183" s="362"/>
      <c r="J183" s="362"/>
      <c r="K183" s="362"/>
      <c r="L183" s="362"/>
      <c r="M183" s="362"/>
      <c r="N183" s="362"/>
      <c r="O183" s="362"/>
      <c r="P183" s="362"/>
      <c r="Q183" s="362"/>
      <c r="R183" s="393"/>
      <c r="S183" s="261"/>
      <c r="T183" s="256"/>
    </row>
    <row r="184" spans="1:20" x14ac:dyDescent="0.3">
      <c r="A184" s="252"/>
      <c r="B184" s="254"/>
      <c r="C184" s="254"/>
      <c r="D184" s="254"/>
      <c r="E184" s="254"/>
      <c r="F184" s="254"/>
      <c r="G184" s="254"/>
      <c r="H184" s="254"/>
      <c r="I184" s="254"/>
      <c r="J184" s="254"/>
      <c r="K184" s="254"/>
      <c r="L184" s="254"/>
      <c r="M184" s="254"/>
      <c r="N184" s="254"/>
      <c r="O184" s="254"/>
      <c r="P184" s="254"/>
      <c r="Q184" s="254"/>
      <c r="R184" s="401"/>
      <c r="S184" s="255"/>
      <c r="T184" s="256"/>
    </row>
    <row r="185" spans="1:20" s="324" customFormat="1" x14ac:dyDescent="0.3">
      <c r="A185" s="355"/>
      <c r="B185" s="392" t="s">
        <v>46</v>
      </c>
      <c r="C185" s="408"/>
      <c r="D185" s="409"/>
      <c r="E185" s="409"/>
      <c r="F185" s="409"/>
      <c r="G185" s="409"/>
      <c r="H185" s="409"/>
      <c r="I185" s="409"/>
      <c r="J185" s="409"/>
      <c r="K185" s="409"/>
      <c r="L185" s="409"/>
      <c r="M185" s="409"/>
      <c r="N185" s="409"/>
      <c r="O185" s="409" t="s">
        <v>82</v>
      </c>
      <c r="P185" s="409" t="s">
        <v>170</v>
      </c>
      <c r="Q185" s="263"/>
      <c r="R185" s="410" t="s">
        <v>94</v>
      </c>
      <c r="S185" s="411"/>
      <c r="T185" s="323"/>
    </row>
    <row r="186" spans="1:20" s="274" customFormat="1" x14ac:dyDescent="0.3">
      <c r="A186" s="300"/>
      <c r="B186" s="293" t="s">
        <v>47</v>
      </c>
      <c r="C186" s="293"/>
      <c r="D186" s="293"/>
      <c r="E186" s="293"/>
      <c r="F186" s="293"/>
      <c r="G186" s="293"/>
      <c r="H186" s="293"/>
      <c r="I186" s="293"/>
      <c r="J186" s="293"/>
      <c r="K186" s="293"/>
      <c r="L186" s="293"/>
      <c r="M186" s="293"/>
      <c r="N186" s="293"/>
      <c r="O186" s="361">
        <f>+R31*0.08</f>
        <v>28008.880000000001</v>
      </c>
      <c r="P186" s="332"/>
      <c r="Q186" s="293"/>
      <c r="R186" s="361"/>
      <c r="S186" s="296"/>
      <c r="T186" s="273"/>
    </row>
    <row r="187" spans="1:20" s="274" customFormat="1" x14ac:dyDescent="0.3">
      <c r="A187" s="300"/>
      <c r="B187" s="293" t="s">
        <v>48</v>
      </c>
      <c r="C187" s="293"/>
      <c r="D187" s="293"/>
      <c r="E187" s="293"/>
      <c r="F187" s="293"/>
      <c r="G187" s="293"/>
      <c r="H187" s="293"/>
      <c r="I187" s="293"/>
      <c r="J187" s="293"/>
      <c r="K187" s="293"/>
      <c r="L187" s="293"/>
      <c r="M187" s="293"/>
      <c r="N187" s="293"/>
      <c r="O187" s="361">
        <f>+'Dec 17'!O189</f>
        <v>497</v>
      </c>
      <c r="P187" s="361">
        <f>+'Dec 17'!P189</f>
        <v>727</v>
      </c>
      <c r="Q187" s="293"/>
      <c r="R187" s="361">
        <f>O187+P187</f>
        <v>1224</v>
      </c>
      <c r="S187" s="296"/>
      <c r="T187" s="273"/>
    </row>
    <row r="188" spans="1:20" s="274" customFormat="1" x14ac:dyDescent="0.3">
      <c r="A188" s="300"/>
      <c r="B188" s="293" t="s">
        <v>49</v>
      </c>
      <c r="C188" s="293"/>
      <c r="D188" s="293"/>
      <c r="E188" s="293"/>
      <c r="F188" s="293"/>
      <c r="G188" s="293"/>
      <c r="H188" s="293"/>
      <c r="I188" s="293"/>
      <c r="J188" s="293"/>
      <c r="K188" s="293"/>
      <c r="L188" s="293"/>
      <c r="M188" s="293"/>
      <c r="N188" s="293"/>
      <c r="O188" s="360">
        <v>0</v>
      </c>
      <c r="P188" s="360">
        <v>0</v>
      </c>
      <c r="Q188" s="293"/>
      <c r="R188" s="361">
        <f>O188+P188</f>
        <v>0</v>
      </c>
      <c r="S188" s="296"/>
      <c r="T188" s="273"/>
    </row>
    <row r="189" spans="1:20" s="274" customFormat="1" x14ac:dyDescent="0.3">
      <c r="A189" s="300"/>
      <c r="B189" s="293" t="s">
        <v>50</v>
      </c>
      <c r="C189" s="293"/>
      <c r="D189" s="293"/>
      <c r="E189" s="293"/>
      <c r="F189" s="293"/>
      <c r="G189" s="293"/>
      <c r="H189" s="293"/>
      <c r="I189" s="293"/>
      <c r="J189" s="293"/>
      <c r="K189" s="293"/>
      <c r="L189" s="293"/>
      <c r="M189" s="293"/>
      <c r="N189" s="293"/>
      <c r="O189" s="361">
        <f>O187+O188</f>
        <v>497</v>
      </c>
      <c r="P189" s="361">
        <f>P188+P187</f>
        <v>727</v>
      </c>
      <c r="Q189" s="293"/>
      <c r="R189" s="361">
        <f>O189+P189</f>
        <v>1224</v>
      </c>
      <c r="S189" s="296"/>
      <c r="T189" s="273"/>
    </row>
    <row r="190" spans="1:20" s="274" customFormat="1" x14ac:dyDescent="0.3">
      <c r="A190" s="300"/>
      <c r="B190" s="293" t="s">
        <v>51</v>
      </c>
      <c r="C190" s="293"/>
      <c r="D190" s="293"/>
      <c r="E190" s="293"/>
      <c r="F190" s="293"/>
      <c r="G190" s="293"/>
      <c r="H190" s="293"/>
      <c r="I190" s="293"/>
      <c r="J190" s="293"/>
      <c r="K190" s="293"/>
      <c r="L190" s="293"/>
      <c r="M190" s="293"/>
      <c r="N190" s="293"/>
      <c r="O190" s="361">
        <f>O186-O189-P189</f>
        <v>26784.880000000001</v>
      </c>
      <c r="P190" s="332"/>
      <c r="Q190" s="293"/>
      <c r="R190" s="361"/>
      <c r="S190" s="296"/>
      <c r="T190" s="273"/>
    </row>
    <row r="191" spans="1:20" ht="16.2" thickBot="1" x14ac:dyDescent="0.35">
      <c r="A191" s="258"/>
      <c r="B191" s="362"/>
      <c r="C191" s="362"/>
      <c r="D191" s="362"/>
      <c r="E191" s="362"/>
      <c r="F191" s="362"/>
      <c r="G191" s="362"/>
      <c r="H191" s="362"/>
      <c r="I191" s="362"/>
      <c r="J191" s="362"/>
      <c r="K191" s="362"/>
      <c r="L191" s="362"/>
      <c r="M191" s="362"/>
      <c r="N191" s="362"/>
      <c r="O191" s="362"/>
      <c r="P191" s="362"/>
      <c r="Q191" s="362"/>
      <c r="R191" s="393"/>
      <c r="S191" s="261"/>
      <c r="T191" s="256"/>
    </row>
    <row r="192" spans="1:20" x14ac:dyDescent="0.3">
      <c r="A192" s="252"/>
      <c r="B192" s="254"/>
      <c r="C192" s="254"/>
      <c r="D192" s="254"/>
      <c r="E192" s="254"/>
      <c r="F192" s="254"/>
      <c r="G192" s="254"/>
      <c r="H192" s="254"/>
      <c r="I192" s="254"/>
      <c r="J192" s="254"/>
      <c r="K192" s="254"/>
      <c r="L192" s="254"/>
      <c r="M192" s="254"/>
      <c r="N192" s="254"/>
      <c r="O192" s="254"/>
      <c r="P192" s="254"/>
      <c r="Q192" s="254"/>
      <c r="R192" s="401"/>
      <c r="S192" s="255"/>
      <c r="T192" s="256"/>
    </row>
    <row r="193" spans="1:20" x14ac:dyDescent="0.3">
      <c r="A193" s="258"/>
      <c r="B193" s="392" t="s">
        <v>52</v>
      </c>
      <c r="C193" s="260"/>
      <c r="D193" s="260"/>
      <c r="E193" s="260"/>
      <c r="F193" s="260"/>
      <c r="G193" s="260"/>
      <c r="H193" s="260"/>
      <c r="I193" s="260"/>
      <c r="J193" s="260"/>
      <c r="K193" s="260"/>
      <c r="L193" s="260"/>
      <c r="M193" s="260"/>
      <c r="N193" s="260"/>
      <c r="O193" s="260"/>
      <c r="P193" s="260"/>
      <c r="Q193" s="260"/>
      <c r="R193" s="412"/>
      <c r="S193" s="261"/>
      <c r="T193" s="256"/>
    </row>
    <row r="194" spans="1:20" s="274" customFormat="1" x14ac:dyDescent="0.3">
      <c r="A194" s="300"/>
      <c r="B194" s="293" t="s">
        <v>53</v>
      </c>
      <c r="C194" s="293"/>
      <c r="D194" s="293"/>
      <c r="E194" s="293"/>
      <c r="F194" s="293"/>
      <c r="G194" s="293"/>
      <c r="H194" s="293"/>
      <c r="I194" s="293"/>
      <c r="J194" s="293"/>
      <c r="K194" s="293"/>
      <c r="L194" s="293"/>
      <c r="M194" s="293"/>
      <c r="N194" s="293"/>
      <c r="O194" s="293"/>
      <c r="P194" s="293"/>
      <c r="Q194" s="293"/>
      <c r="R194" s="413">
        <f>(R100+R102+R103+R104+R105)/-(R106+R107)</f>
        <v>3.8664772727272729</v>
      </c>
      <c r="S194" s="296" t="s">
        <v>95</v>
      </c>
      <c r="T194" s="273"/>
    </row>
    <row r="195" spans="1:20" s="274" customFormat="1" x14ac:dyDescent="0.3">
      <c r="A195" s="300"/>
      <c r="B195" s="293" t="s">
        <v>54</v>
      </c>
      <c r="C195" s="293"/>
      <c r="D195" s="293"/>
      <c r="E195" s="293"/>
      <c r="F195" s="293"/>
      <c r="G195" s="293"/>
      <c r="H195" s="293"/>
      <c r="I195" s="293"/>
      <c r="J195" s="293"/>
      <c r="K195" s="293"/>
      <c r="L195" s="293"/>
      <c r="M195" s="293"/>
      <c r="N195" s="293"/>
      <c r="O195" s="293"/>
      <c r="P195" s="293"/>
      <c r="Q195" s="293"/>
      <c r="R195" s="414">
        <v>2.4500000000000002</v>
      </c>
      <c r="S195" s="296" t="s">
        <v>95</v>
      </c>
      <c r="T195" s="273"/>
    </row>
    <row r="196" spans="1:20" s="274" customFormat="1" x14ac:dyDescent="0.3">
      <c r="A196" s="300"/>
      <c r="B196" s="293" t="s">
        <v>182</v>
      </c>
      <c r="C196" s="293"/>
      <c r="D196" s="293"/>
      <c r="E196" s="293"/>
      <c r="F196" s="293"/>
      <c r="G196" s="293"/>
      <c r="H196" s="293"/>
      <c r="I196" s="293"/>
      <c r="J196" s="293"/>
      <c r="K196" s="293"/>
      <c r="L196" s="293"/>
      <c r="M196" s="293"/>
      <c r="N196" s="293"/>
      <c r="O196" s="293"/>
      <c r="P196" s="293"/>
      <c r="Q196" s="293"/>
      <c r="R196" s="413">
        <f>(R100+R102+R103+R104+R105+R106+R107)/-(R108)</f>
        <v>7.0559440559440558</v>
      </c>
      <c r="S196" s="296" t="s">
        <v>95</v>
      </c>
      <c r="T196" s="273"/>
    </row>
    <row r="197" spans="1:20" s="274" customFormat="1" x14ac:dyDescent="0.3">
      <c r="A197" s="300"/>
      <c r="B197" s="293" t="s">
        <v>183</v>
      </c>
      <c r="C197" s="293"/>
      <c r="D197" s="293"/>
      <c r="E197" s="293"/>
      <c r="F197" s="293"/>
      <c r="G197" s="293"/>
      <c r="H197" s="293"/>
      <c r="I197" s="293"/>
      <c r="J197" s="293"/>
      <c r="K197" s="293"/>
      <c r="L197" s="293"/>
      <c r="M197" s="293"/>
      <c r="N197" s="293"/>
      <c r="O197" s="293"/>
      <c r="P197" s="293"/>
      <c r="Q197" s="293"/>
      <c r="R197" s="414">
        <v>12.82</v>
      </c>
      <c r="S197" s="296" t="s">
        <v>95</v>
      </c>
      <c r="T197" s="273"/>
    </row>
    <row r="198" spans="1:20" s="274" customFormat="1" x14ac:dyDescent="0.3">
      <c r="A198" s="300"/>
      <c r="B198" s="293" t="s">
        <v>184</v>
      </c>
      <c r="C198" s="293"/>
      <c r="D198" s="293"/>
      <c r="E198" s="293"/>
      <c r="F198" s="293"/>
      <c r="G198" s="293"/>
      <c r="H198" s="293"/>
      <c r="I198" s="293"/>
      <c r="J198" s="293"/>
      <c r="K198" s="293"/>
      <c r="L198" s="293"/>
      <c r="M198" s="293"/>
      <c r="N198" s="293"/>
      <c r="O198" s="293"/>
      <c r="P198" s="293"/>
      <c r="Q198" s="293"/>
      <c r="R198" s="413">
        <f>(R100+R102+R103+R104+R105+R106+R107+R108)/-(R109)</f>
        <v>3.6694915254237288</v>
      </c>
      <c r="S198" s="296" t="s">
        <v>95</v>
      </c>
      <c r="T198" s="273"/>
    </row>
    <row r="199" spans="1:20" s="274" customFormat="1" x14ac:dyDescent="0.3">
      <c r="A199" s="300"/>
      <c r="B199" s="293" t="s">
        <v>185</v>
      </c>
      <c r="C199" s="293"/>
      <c r="D199" s="293"/>
      <c r="E199" s="293"/>
      <c r="F199" s="293"/>
      <c r="G199" s="293"/>
      <c r="H199" s="293"/>
      <c r="I199" s="293"/>
      <c r="J199" s="293"/>
      <c r="K199" s="293"/>
      <c r="L199" s="293"/>
      <c r="M199" s="293"/>
      <c r="N199" s="293"/>
      <c r="O199" s="293"/>
      <c r="P199" s="293"/>
      <c r="Q199" s="293"/>
      <c r="R199" s="414">
        <v>7.14</v>
      </c>
      <c r="S199" s="296" t="s">
        <v>95</v>
      </c>
      <c r="T199" s="273"/>
    </row>
    <row r="200" spans="1:20" s="274" customFormat="1" x14ac:dyDescent="0.3">
      <c r="A200" s="300"/>
      <c r="B200" s="293" t="s">
        <v>272</v>
      </c>
      <c r="C200" s="293"/>
      <c r="D200" s="293"/>
      <c r="E200" s="293"/>
      <c r="F200" s="293"/>
      <c r="G200" s="293"/>
      <c r="H200" s="293"/>
      <c r="I200" s="293"/>
      <c r="J200" s="293"/>
      <c r="K200" s="293"/>
      <c r="L200" s="293"/>
      <c r="M200" s="293"/>
      <c r="N200" s="293"/>
      <c r="O200" s="293"/>
      <c r="P200" s="293"/>
      <c r="Q200" s="293"/>
      <c r="R200" s="413">
        <f>(R100+R102+R103+R104+R105+R106+R107+R108+R109+R110+R111+R112+R113+R114)/-(R115)</f>
        <v>6.797752808988764</v>
      </c>
      <c r="S200" s="296" t="s">
        <v>95</v>
      </c>
      <c r="T200" s="273"/>
    </row>
    <row r="201" spans="1:20" s="274" customFormat="1" x14ac:dyDescent="0.3">
      <c r="A201" s="300"/>
      <c r="B201" s="293" t="s">
        <v>273</v>
      </c>
      <c r="C201" s="293"/>
      <c r="D201" s="293"/>
      <c r="E201" s="293"/>
      <c r="F201" s="293"/>
      <c r="G201" s="293"/>
      <c r="H201" s="293"/>
      <c r="I201" s="293"/>
      <c r="J201" s="293"/>
      <c r="K201" s="293"/>
      <c r="L201" s="293"/>
      <c r="M201" s="293"/>
      <c r="N201" s="293"/>
      <c r="O201" s="293"/>
      <c r="P201" s="293"/>
      <c r="Q201" s="293"/>
      <c r="R201" s="414">
        <v>15.99</v>
      </c>
      <c r="S201" s="296" t="s">
        <v>95</v>
      </c>
      <c r="T201" s="273"/>
    </row>
    <row r="202" spans="1:20" s="274" customFormat="1" x14ac:dyDescent="0.3">
      <c r="A202" s="300"/>
      <c r="B202" s="293"/>
      <c r="C202" s="293"/>
      <c r="D202" s="293"/>
      <c r="E202" s="293"/>
      <c r="F202" s="293"/>
      <c r="G202" s="293"/>
      <c r="H202" s="293"/>
      <c r="I202" s="293"/>
      <c r="J202" s="293"/>
      <c r="K202" s="293"/>
      <c r="L202" s="293"/>
      <c r="M202" s="293"/>
      <c r="N202" s="293"/>
      <c r="O202" s="293"/>
      <c r="P202" s="293"/>
      <c r="Q202" s="293"/>
      <c r="R202" s="293"/>
      <c r="S202" s="296"/>
      <c r="T202" s="273"/>
    </row>
    <row r="203" spans="1:20" s="274" customFormat="1" x14ac:dyDescent="0.3">
      <c r="A203" s="269"/>
      <c r="B203" s="290"/>
      <c r="C203" s="290"/>
      <c r="D203" s="290"/>
      <c r="E203" s="290"/>
      <c r="F203" s="290"/>
      <c r="G203" s="290"/>
      <c r="H203" s="290"/>
      <c r="I203" s="290"/>
      <c r="J203" s="290"/>
      <c r="K203" s="290"/>
      <c r="L203" s="290"/>
      <c r="M203" s="290"/>
      <c r="N203" s="290"/>
      <c r="O203" s="290"/>
      <c r="P203" s="290"/>
      <c r="Q203" s="290"/>
      <c r="R203" s="290"/>
      <c r="S203" s="272"/>
      <c r="T203" s="273"/>
    </row>
    <row r="204" spans="1:20" s="274" customFormat="1" x14ac:dyDescent="0.3">
      <c r="A204" s="269"/>
      <c r="B204" s="271"/>
      <c r="C204" s="271"/>
      <c r="D204" s="271"/>
      <c r="E204" s="271"/>
      <c r="F204" s="271"/>
      <c r="G204" s="271"/>
      <c r="H204" s="271"/>
      <c r="I204" s="271"/>
      <c r="J204" s="271"/>
      <c r="K204" s="271"/>
      <c r="L204" s="271"/>
      <c r="M204" s="271"/>
      <c r="N204" s="271"/>
      <c r="O204" s="271"/>
      <c r="P204" s="271"/>
      <c r="Q204" s="271"/>
      <c r="R204" s="271"/>
      <c r="S204" s="272"/>
      <c r="T204" s="273"/>
    </row>
    <row r="205" spans="1:20" s="274" customFormat="1" ht="18.600000000000001" thickBot="1" x14ac:dyDescent="0.4">
      <c r="A205" s="346"/>
      <c r="B205" s="347" t="str">
        <f>B132</f>
        <v>PM24 INVESTOR REPORT QUARTER ENDING MARCH 2018</v>
      </c>
      <c r="C205" s="348"/>
      <c r="D205" s="348"/>
      <c r="E205" s="348"/>
      <c r="F205" s="348"/>
      <c r="G205" s="348"/>
      <c r="H205" s="348"/>
      <c r="I205" s="348"/>
      <c r="J205" s="348"/>
      <c r="K205" s="348"/>
      <c r="L205" s="348"/>
      <c r="M205" s="348"/>
      <c r="N205" s="348"/>
      <c r="O205" s="348"/>
      <c r="P205" s="348"/>
      <c r="Q205" s="348"/>
      <c r="R205" s="348"/>
      <c r="S205" s="350"/>
      <c r="T205" s="273"/>
    </row>
    <row r="206" spans="1:20" x14ac:dyDescent="0.3">
      <c r="A206" s="386"/>
      <c r="B206" s="387" t="s">
        <v>55</v>
      </c>
      <c r="C206" s="415"/>
      <c r="D206" s="416"/>
      <c r="E206" s="416"/>
      <c r="F206" s="416"/>
      <c r="G206" s="416"/>
      <c r="H206" s="416"/>
      <c r="I206" s="416"/>
      <c r="J206" s="416"/>
      <c r="K206" s="416"/>
      <c r="L206" s="416"/>
      <c r="M206" s="416"/>
      <c r="N206" s="416"/>
      <c r="O206" s="416"/>
      <c r="P206" s="416">
        <v>43188</v>
      </c>
      <c r="Q206" s="388"/>
      <c r="R206" s="388"/>
      <c r="S206" s="390"/>
      <c r="T206" s="256"/>
    </row>
    <row r="207" spans="1:20" x14ac:dyDescent="0.3">
      <c r="A207" s="417"/>
      <c r="B207" s="418"/>
      <c r="C207" s="419"/>
      <c r="D207" s="420"/>
      <c r="E207" s="420"/>
      <c r="F207" s="420"/>
      <c r="G207" s="420"/>
      <c r="H207" s="420"/>
      <c r="I207" s="420"/>
      <c r="J207" s="420"/>
      <c r="K207" s="420"/>
      <c r="L207" s="420"/>
      <c r="M207" s="420"/>
      <c r="N207" s="420"/>
      <c r="O207" s="420"/>
      <c r="P207" s="420"/>
      <c r="Q207" s="260"/>
      <c r="R207" s="260"/>
      <c r="S207" s="261"/>
      <c r="T207" s="256"/>
    </row>
    <row r="208" spans="1:20" s="274" customFormat="1" x14ac:dyDescent="0.3">
      <c r="A208" s="300"/>
      <c r="B208" s="293" t="s">
        <v>56</v>
      </c>
      <c r="C208" s="421"/>
      <c r="D208" s="336"/>
      <c r="E208" s="336"/>
      <c r="F208" s="336"/>
      <c r="G208" s="336"/>
      <c r="H208" s="336"/>
      <c r="I208" s="336"/>
      <c r="J208" s="336"/>
      <c r="K208" s="336"/>
      <c r="L208" s="336"/>
      <c r="M208" s="336"/>
      <c r="N208" s="336"/>
      <c r="O208" s="336"/>
      <c r="P208" s="328">
        <v>3.8129999999999997E-2</v>
      </c>
      <c r="Q208" s="293"/>
      <c r="R208" s="293"/>
      <c r="S208" s="296"/>
      <c r="T208" s="273"/>
    </row>
    <row r="209" spans="1:20" s="274" customFormat="1" x14ac:dyDescent="0.3">
      <c r="A209" s="300"/>
      <c r="B209" s="293" t="s">
        <v>158</v>
      </c>
      <c r="C209" s="421"/>
      <c r="D209" s="336"/>
      <c r="E209" s="336"/>
      <c r="F209" s="336"/>
      <c r="G209" s="336"/>
      <c r="H209" s="336"/>
      <c r="I209" s="336"/>
      <c r="J209" s="336"/>
      <c r="K209" s="336"/>
      <c r="L209" s="336"/>
      <c r="M209" s="336"/>
      <c r="N209" s="336"/>
      <c r="O209" s="336"/>
      <c r="P209" s="328">
        <v>2.4610284713705084E-2</v>
      </c>
      <c r="Q209" s="293"/>
      <c r="R209" s="293"/>
      <c r="S209" s="296"/>
      <c r="T209" s="273"/>
    </row>
    <row r="210" spans="1:20" s="274" customFormat="1" x14ac:dyDescent="0.3">
      <c r="A210" s="300"/>
      <c r="B210" s="293" t="s">
        <v>57</v>
      </c>
      <c r="C210" s="421"/>
      <c r="D210" s="336"/>
      <c r="E210" s="336"/>
      <c r="F210" s="336"/>
      <c r="G210" s="336"/>
      <c r="H210" s="336"/>
      <c r="I210" s="336"/>
      <c r="J210" s="336"/>
      <c r="K210" s="336"/>
      <c r="L210" s="336"/>
      <c r="M210" s="336"/>
      <c r="N210" s="336"/>
      <c r="O210" s="336"/>
      <c r="P210" s="328">
        <f>P208-P209</f>
        <v>1.3519715286294913E-2</v>
      </c>
      <c r="Q210" s="293"/>
      <c r="R210" s="293"/>
      <c r="S210" s="296"/>
      <c r="T210" s="273"/>
    </row>
    <row r="211" spans="1:20" s="274" customFormat="1" x14ac:dyDescent="0.3">
      <c r="A211" s="300"/>
      <c r="B211" s="293" t="s">
        <v>161</v>
      </c>
      <c r="C211" s="421"/>
      <c r="D211" s="336"/>
      <c r="E211" s="336"/>
      <c r="F211" s="336"/>
      <c r="G211" s="336"/>
      <c r="H211" s="336"/>
      <c r="I211" s="336"/>
      <c r="J211" s="336"/>
      <c r="K211" s="336"/>
      <c r="L211" s="336"/>
      <c r="M211" s="336"/>
      <c r="N211" s="336"/>
      <c r="O211" s="336"/>
      <c r="P211" s="328">
        <v>4.5212500000000003E-2</v>
      </c>
      <c r="Q211" s="293"/>
      <c r="R211" s="293"/>
      <c r="S211" s="296"/>
      <c r="T211" s="273"/>
    </row>
    <row r="212" spans="1:20" s="274" customFormat="1" x14ac:dyDescent="0.3">
      <c r="A212" s="300"/>
      <c r="B212" s="293" t="s">
        <v>58</v>
      </c>
      <c r="C212" s="421"/>
      <c r="D212" s="336"/>
      <c r="E212" s="336"/>
      <c r="F212" s="336"/>
      <c r="G212" s="336"/>
      <c r="H212" s="336"/>
      <c r="I212" s="336"/>
      <c r="J212" s="336"/>
      <c r="K212" s="336"/>
      <c r="L212" s="336"/>
      <c r="M212" s="336"/>
      <c r="N212" s="336"/>
      <c r="O212" s="336"/>
      <c r="P212" s="328">
        <v>4.58E-2</v>
      </c>
      <c r="Q212" s="293"/>
      <c r="R212" s="293"/>
      <c r="S212" s="296"/>
      <c r="T212" s="273"/>
    </row>
    <row r="213" spans="1:20" s="274" customFormat="1" x14ac:dyDescent="0.3">
      <c r="A213" s="300"/>
      <c r="B213" s="293" t="s">
        <v>159</v>
      </c>
      <c r="C213" s="421"/>
      <c r="D213" s="336"/>
      <c r="E213" s="336"/>
      <c r="F213" s="336"/>
      <c r="G213" s="336"/>
      <c r="H213" s="336"/>
      <c r="I213" s="336"/>
      <c r="J213" s="336"/>
      <c r="K213" s="336"/>
      <c r="L213" s="336"/>
      <c r="M213" s="336"/>
      <c r="N213" s="336"/>
      <c r="O213" s="336"/>
      <c r="P213" s="328">
        <f>R40</f>
        <v>2.7200792073291315E-2</v>
      </c>
      <c r="Q213" s="293"/>
      <c r="R213" s="293"/>
      <c r="S213" s="296"/>
      <c r="T213" s="273"/>
    </row>
    <row r="214" spans="1:20" s="274" customFormat="1" x14ac:dyDescent="0.3">
      <c r="A214" s="300"/>
      <c r="B214" s="293" t="s">
        <v>59</v>
      </c>
      <c r="C214" s="421"/>
      <c r="D214" s="336"/>
      <c r="E214" s="336"/>
      <c r="F214" s="336"/>
      <c r="G214" s="336"/>
      <c r="H214" s="336"/>
      <c r="I214" s="336"/>
      <c r="J214" s="336"/>
      <c r="K214" s="336"/>
      <c r="L214" s="336"/>
      <c r="M214" s="336"/>
      <c r="N214" s="336"/>
      <c r="O214" s="336"/>
      <c r="P214" s="328">
        <f>P212-P213</f>
        <v>1.8599207926708685E-2</v>
      </c>
      <c r="Q214" s="293"/>
      <c r="R214" s="293"/>
      <c r="S214" s="296"/>
      <c r="T214" s="273"/>
    </row>
    <row r="215" spans="1:20" s="274" customFormat="1" x14ac:dyDescent="0.3">
      <c r="A215" s="300"/>
      <c r="B215" s="293" t="s">
        <v>139</v>
      </c>
      <c r="C215" s="421"/>
      <c r="D215" s="336"/>
      <c r="E215" s="336"/>
      <c r="F215" s="336"/>
      <c r="G215" s="336"/>
      <c r="H215" s="336"/>
      <c r="I215" s="336"/>
      <c r="J215" s="336"/>
      <c r="K215" s="336"/>
      <c r="L215" s="336"/>
      <c r="M215" s="336"/>
      <c r="N215" s="336"/>
      <c r="O215" s="336"/>
      <c r="P215" s="328">
        <f>(+R100+R102)/H80</f>
        <v>1.2202895911119206E-2</v>
      </c>
      <c r="Q215" s="293"/>
      <c r="R215" s="293"/>
      <c r="S215" s="296"/>
      <c r="T215" s="273"/>
    </row>
    <row r="216" spans="1:20" s="274" customFormat="1" x14ac:dyDescent="0.3">
      <c r="A216" s="300"/>
      <c r="B216" s="293" t="s">
        <v>132</v>
      </c>
      <c r="C216" s="421"/>
      <c r="D216" s="336"/>
      <c r="E216" s="336"/>
      <c r="F216" s="336"/>
      <c r="G216" s="336"/>
      <c r="H216" s="336"/>
      <c r="I216" s="336"/>
      <c r="J216" s="336"/>
      <c r="K216" s="336"/>
      <c r="L216" s="336"/>
      <c r="M216" s="336"/>
      <c r="N216" s="336"/>
      <c r="O216" s="336"/>
      <c r="P216" s="422">
        <v>52427</v>
      </c>
      <c r="Q216" s="293"/>
      <c r="R216" s="293"/>
      <c r="S216" s="296"/>
      <c r="T216" s="273"/>
    </row>
    <row r="217" spans="1:20" s="274" customFormat="1" x14ac:dyDescent="0.3">
      <c r="A217" s="300"/>
      <c r="B217" s="293" t="s">
        <v>186</v>
      </c>
      <c r="C217" s="421"/>
      <c r="D217" s="336"/>
      <c r="E217" s="336"/>
      <c r="F217" s="336"/>
      <c r="G217" s="336"/>
      <c r="H217" s="336"/>
      <c r="I217" s="336"/>
      <c r="J217" s="336"/>
      <c r="K217" s="336"/>
      <c r="L217" s="336"/>
      <c r="M217" s="336"/>
      <c r="N217" s="336"/>
      <c r="O217" s="336"/>
      <c r="P217" s="422">
        <v>52427</v>
      </c>
      <c r="Q217" s="293"/>
      <c r="R217" s="293"/>
      <c r="S217" s="296"/>
      <c r="T217" s="273"/>
    </row>
    <row r="218" spans="1:20" s="274" customFormat="1" x14ac:dyDescent="0.3">
      <c r="A218" s="300"/>
      <c r="B218" s="293" t="s">
        <v>187</v>
      </c>
      <c r="C218" s="421"/>
      <c r="D218" s="336"/>
      <c r="E218" s="336"/>
      <c r="F218" s="336"/>
      <c r="G218" s="336"/>
      <c r="H218" s="336"/>
      <c r="I218" s="336"/>
      <c r="J218" s="336"/>
      <c r="K218" s="336"/>
      <c r="L218" s="336"/>
      <c r="M218" s="336"/>
      <c r="N218" s="336"/>
      <c r="O218" s="336"/>
      <c r="P218" s="422">
        <v>52427</v>
      </c>
      <c r="Q218" s="293"/>
      <c r="R218" s="293"/>
      <c r="S218" s="296"/>
      <c r="T218" s="273"/>
    </row>
    <row r="219" spans="1:20" s="274" customFormat="1" x14ac:dyDescent="0.3">
      <c r="A219" s="300"/>
      <c r="B219" s="293" t="s">
        <v>274</v>
      </c>
      <c r="C219" s="421"/>
      <c r="D219" s="336"/>
      <c r="E219" s="336"/>
      <c r="F219" s="336"/>
      <c r="G219" s="336"/>
      <c r="H219" s="336"/>
      <c r="I219" s="336"/>
      <c r="J219" s="336"/>
      <c r="K219" s="336"/>
      <c r="L219" s="336"/>
      <c r="M219" s="336"/>
      <c r="N219" s="336"/>
      <c r="O219" s="336"/>
      <c r="P219" s="422">
        <v>52427</v>
      </c>
      <c r="Q219" s="293"/>
      <c r="R219" s="293"/>
      <c r="S219" s="296"/>
      <c r="T219" s="273"/>
    </row>
    <row r="220" spans="1:20" s="274" customFormat="1" x14ac:dyDescent="0.3">
      <c r="A220" s="300"/>
      <c r="B220" s="293" t="s">
        <v>60</v>
      </c>
      <c r="C220" s="421"/>
      <c r="D220" s="336"/>
      <c r="E220" s="336"/>
      <c r="F220" s="336"/>
      <c r="G220" s="336"/>
      <c r="H220" s="336"/>
      <c r="I220" s="336"/>
      <c r="J220" s="336"/>
      <c r="K220" s="336"/>
      <c r="L220" s="336"/>
      <c r="M220" s="336"/>
      <c r="N220" s="336"/>
      <c r="O220" s="336"/>
      <c r="P220" s="334">
        <v>20.96</v>
      </c>
      <c r="Q220" s="293" t="s">
        <v>90</v>
      </c>
      <c r="R220" s="293"/>
      <c r="S220" s="296"/>
      <c r="T220" s="273"/>
    </row>
    <row r="221" spans="1:20" s="274" customFormat="1" x14ac:dyDescent="0.3">
      <c r="A221" s="300"/>
      <c r="B221" s="293" t="s">
        <v>61</v>
      </c>
      <c r="C221" s="421"/>
      <c r="D221" s="336"/>
      <c r="E221" s="336"/>
      <c r="F221" s="336"/>
      <c r="G221" s="336"/>
      <c r="H221" s="336"/>
      <c r="I221" s="336"/>
      <c r="J221" s="336"/>
      <c r="K221" s="336"/>
      <c r="L221" s="336"/>
      <c r="M221" s="336"/>
      <c r="N221" s="336"/>
      <c r="O221" s="336"/>
      <c r="P221" s="334">
        <v>17.920000000000002</v>
      </c>
      <c r="Q221" s="293" t="s">
        <v>90</v>
      </c>
      <c r="R221" s="293"/>
      <c r="S221" s="296"/>
      <c r="T221" s="273"/>
    </row>
    <row r="222" spans="1:20" s="274" customFormat="1" x14ac:dyDescent="0.3">
      <c r="A222" s="300"/>
      <c r="B222" s="293" t="s">
        <v>62</v>
      </c>
      <c r="C222" s="421"/>
      <c r="D222" s="336"/>
      <c r="E222" s="336"/>
      <c r="F222" s="336"/>
      <c r="G222" s="336"/>
      <c r="H222" s="336"/>
      <c r="I222" s="336"/>
      <c r="J222" s="336"/>
      <c r="K222" s="336"/>
      <c r="L222" s="336"/>
      <c r="M222" s="336"/>
      <c r="N222" s="336"/>
      <c r="O222" s="336"/>
      <c r="P222" s="328">
        <f>(+J64+L64+P64)/(H64+H77)</f>
        <v>0.15673353147171562</v>
      </c>
      <c r="Q222" s="293"/>
      <c r="R222" s="293"/>
      <c r="S222" s="296"/>
      <c r="T222" s="273"/>
    </row>
    <row r="223" spans="1:20" s="274" customFormat="1" x14ac:dyDescent="0.3">
      <c r="A223" s="300"/>
      <c r="B223" s="293" t="s">
        <v>63</v>
      </c>
      <c r="C223" s="421"/>
      <c r="D223" s="336"/>
      <c r="E223" s="336"/>
      <c r="F223" s="336"/>
      <c r="G223" s="336"/>
      <c r="H223" s="336"/>
      <c r="I223" s="336"/>
      <c r="J223" s="336"/>
      <c r="K223" s="336"/>
      <c r="L223" s="336"/>
      <c r="M223" s="336"/>
      <c r="N223" s="336"/>
      <c r="O223" s="336"/>
      <c r="P223" s="328">
        <v>0.4012</v>
      </c>
      <c r="Q223" s="293"/>
      <c r="R223" s="293"/>
      <c r="S223" s="296"/>
      <c r="T223" s="273"/>
    </row>
    <row r="224" spans="1:20" x14ac:dyDescent="0.3">
      <c r="A224" s="417"/>
      <c r="B224" s="423"/>
      <c r="C224" s="423"/>
      <c r="D224" s="362"/>
      <c r="E224" s="362"/>
      <c r="F224" s="362"/>
      <c r="G224" s="362"/>
      <c r="H224" s="362"/>
      <c r="I224" s="362"/>
      <c r="J224" s="362"/>
      <c r="K224" s="362"/>
      <c r="L224" s="362"/>
      <c r="M224" s="362"/>
      <c r="N224" s="362"/>
      <c r="O224" s="362"/>
      <c r="P224" s="393"/>
      <c r="Q224" s="362"/>
      <c r="R224" s="424"/>
      <c r="S224" s="261"/>
      <c r="T224" s="256"/>
    </row>
    <row r="225" spans="1:20" x14ac:dyDescent="0.3">
      <c r="A225" s="425"/>
      <c r="B225" s="368" t="s">
        <v>64</v>
      </c>
      <c r="C225" s="369"/>
      <c r="D225" s="369"/>
      <c r="E225" s="369"/>
      <c r="F225" s="369"/>
      <c r="G225" s="369"/>
      <c r="H225" s="369"/>
      <c r="I225" s="369"/>
      <c r="J225" s="369"/>
      <c r="K225" s="369"/>
      <c r="L225" s="369"/>
      <c r="M225" s="369"/>
      <c r="N225" s="369"/>
      <c r="O225" s="369" t="s">
        <v>83</v>
      </c>
      <c r="P225" s="426" t="s">
        <v>88</v>
      </c>
      <c r="Q225" s="286"/>
      <c r="R225" s="286"/>
      <c r="S225" s="289"/>
      <c r="T225" s="256"/>
    </row>
    <row r="226" spans="1:20" s="274" customFormat="1" x14ac:dyDescent="0.3">
      <c r="A226" s="427"/>
      <c r="B226" s="290" t="s">
        <v>65</v>
      </c>
      <c r="C226" s="372"/>
      <c r="D226" s="428"/>
      <c r="E226" s="428"/>
      <c r="F226" s="428"/>
      <c r="G226" s="428"/>
      <c r="H226" s="428"/>
      <c r="I226" s="428"/>
      <c r="J226" s="428"/>
      <c r="K226" s="428"/>
      <c r="L226" s="428"/>
      <c r="M226" s="428"/>
      <c r="N226" s="428"/>
      <c r="O226" s="428">
        <v>0</v>
      </c>
      <c r="P226" s="429">
        <v>0</v>
      </c>
      <c r="Q226" s="290"/>
      <c r="R226" s="430"/>
      <c r="S226" s="431"/>
      <c r="T226" s="273"/>
    </row>
    <row r="227" spans="1:20" s="274" customFormat="1" x14ac:dyDescent="0.3">
      <c r="A227" s="432"/>
      <c r="B227" s="293" t="s">
        <v>113</v>
      </c>
      <c r="C227" s="360"/>
      <c r="D227" s="301"/>
      <c r="E227" s="301"/>
      <c r="F227" s="301"/>
      <c r="G227" s="301"/>
      <c r="H227" s="301"/>
      <c r="I227" s="301"/>
      <c r="J227" s="301"/>
      <c r="K227" s="301"/>
      <c r="L227" s="301"/>
      <c r="M227" s="301"/>
      <c r="N227" s="301"/>
      <c r="O227" s="433">
        <f>+N279</f>
        <v>0</v>
      </c>
      <c r="P227" s="434">
        <f>+P279</f>
        <v>0</v>
      </c>
      <c r="Q227" s="293"/>
      <c r="R227" s="435"/>
      <c r="S227" s="436"/>
      <c r="T227" s="273"/>
    </row>
    <row r="228" spans="1:20" s="274" customFormat="1" x14ac:dyDescent="0.3">
      <c r="A228" s="432"/>
      <c r="B228" s="293" t="s">
        <v>66</v>
      </c>
      <c r="C228" s="360"/>
      <c r="D228" s="301"/>
      <c r="E228" s="301"/>
      <c r="F228" s="301"/>
      <c r="G228" s="301"/>
      <c r="H228" s="301"/>
      <c r="I228" s="301"/>
      <c r="J228" s="301"/>
      <c r="K228" s="301"/>
      <c r="L228" s="301"/>
      <c r="M228" s="301"/>
      <c r="N228" s="301"/>
      <c r="O228" s="433">
        <f>+N291</f>
        <v>0</v>
      </c>
      <c r="P228" s="434">
        <f>+P291</f>
        <v>0</v>
      </c>
      <c r="Q228" s="293"/>
      <c r="R228" s="435"/>
      <c r="S228" s="436"/>
      <c r="T228" s="273"/>
    </row>
    <row r="229" spans="1:20" x14ac:dyDescent="0.3">
      <c r="A229" s="437"/>
      <c r="B229" s="438" t="s">
        <v>277</v>
      </c>
      <c r="C229" s="439"/>
      <c r="D229" s="316"/>
      <c r="E229" s="316"/>
      <c r="F229" s="316"/>
      <c r="G229" s="316"/>
      <c r="H229" s="316"/>
      <c r="I229" s="316"/>
      <c r="J229" s="316"/>
      <c r="K229" s="316"/>
      <c r="L229" s="316"/>
      <c r="M229" s="316"/>
      <c r="N229" s="316"/>
      <c r="O229" s="379"/>
      <c r="P229" s="434">
        <f>+P64</f>
        <v>4850</v>
      </c>
      <c r="Q229" s="316"/>
      <c r="R229" s="440"/>
      <c r="S229" s="441"/>
      <c r="T229" s="256"/>
    </row>
    <row r="230" spans="1:20" x14ac:dyDescent="0.3">
      <c r="A230" s="437"/>
      <c r="B230" s="438" t="s">
        <v>140</v>
      </c>
      <c r="C230" s="439"/>
      <c r="D230" s="316"/>
      <c r="E230" s="316"/>
      <c r="F230" s="316"/>
      <c r="G230" s="316"/>
      <c r="H230" s="316"/>
      <c r="I230" s="316"/>
      <c r="J230" s="316"/>
      <c r="K230" s="316"/>
      <c r="L230" s="316"/>
      <c r="M230" s="316"/>
      <c r="N230" s="316"/>
      <c r="O230" s="379"/>
      <c r="P230" s="434">
        <f>-J77</f>
        <v>0</v>
      </c>
      <c r="Q230" s="316"/>
      <c r="R230" s="440"/>
      <c r="S230" s="441"/>
      <c r="T230" s="256"/>
    </row>
    <row r="231" spans="1:20" x14ac:dyDescent="0.3">
      <c r="A231" s="442"/>
      <c r="B231" s="438" t="s">
        <v>67</v>
      </c>
      <c r="C231" s="443"/>
      <c r="D231" s="316"/>
      <c r="E231" s="316"/>
      <c r="F231" s="316"/>
      <c r="G231" s="316"/>
      <c r="H231" s="316"/>
      <c r="I231" s="316"/>
      <c r="J231" s="316"/>
      <c r="K231" s="316"/>
      <c r="L231" s="316"/>
      <c r="M231" s="316"/>
      <c r="N231" s="316"/>
      <c r="O231" s="379"/>
      <c r="P231" s="444"/>
      <c r="Q231" s="316"/>
      <c r="R231" s="440"/>
      <c r="S231" s="445"/>
      <c r="T231" s="256"/>
    </row>
    <row r="232" spans="1:20" s="274" customFormat="1" x14ac:dyDescent="0.3">
      <c r="A232" s="446"/>
      <c r="B232" s="293" t="s">
        <v>68</v>
      </c>
      <c r="C232" s="293"/>
      <c r="D232" s="293"/>
      <c r="E232" s="293"/>
      <c r="F232" s="293"/>
      <c r="G232" s="293"/>
      <c r="H232" s="293"/>
      <c r="I232" s="293"/>
      <c r="J232" s="293"/>
      <c r="K232" s="293"/>
      <c r="L232" s="293"/>
      <c r="M232" s="293"/>
      <c r="N232" s="293"/>
      <c r="O232" s="301"/>
      <c r="P232" s="434">
        <f>R162</f>
        <v>0</v>
      </c>
      <c r="Q232" s="293"/>
      <c r="R232" s="435"/>
      <c r="S232" s="447"/>
      <c r="T232" s="273"/>
    </row>
    <row r="233" spans="1:20" s="274" customFormat="1" x14ac:dyDescent="0.3">
      <c r="A233" s="432"/>
      <c r="B233" s="293" t="s">
        <v>69</v>
      </c>
      <c r="C233" s="360"/>
      <c r="D233" s="293"/>
      <c r="E233" s="293"/>
      <c r="F233" s="293"/>
      <c r="G233" s="293"/>
      <c r="H233" s="293"/>
      <c r="I233" s="293"/>
      <c r="J233" s="293"/>
      <c r="K233" s="293"/>
      <c r="L233" s="293"/>
      <c r="M233" s="293"/>
      <c r="N233" s="293"/>
      <c r="O233" s="301"/>
      <c r="P233" s="434">
        <f>'Dec 17'!P233+P232</f>
        <v>0</v>
      </c>
      <c r="Q233" s="293"/>
      <c r="R233" s="435"/>
      <c r="S233" s="447"/>
      <c r="T233" s="273"/>
    </row>
    <row r="234" spans="1:20" x14ac:dyDescent="0.3">
      <c r="A234" s="442"/>
      <c r="B234" s="438" t="s">
        <v>151</v>
      </c>
      <c r="C234" s="443"/>
      <c r="D234" s="316"/>
      <c r="E234" s="316"/>
      <c r="F234" s="316"/>
      <c r="G234" s="316"/>
      <c r="H234" s="316"/>
      <c r="I234" s="316"/>
      <c r="J234" s="316"/>
      <c r="K234" s="316"/>
      <c r="L234" s="316"/>
      <c r="M234" s="316"/>
      <c r="N234" s="316"/>
      <c r="O234" s="448"/>
      <c r="P234" s="444"/>
      <c r="Q234" s="316"/>
      <c r="R234" s="440"/>
      <c r="S234" s="445"/>
      <c r="T234" s="256"/>
    </row>
    <row r="235" spans="1:20" s="274" customFormat="1" x14ac:dyDescent="0.3">
      <c r="A235" s="446"/>
      <c r="B235" s="293" t="s">
        <v>160</v>
      </c>
      <c r="C235" s="293"/>
      <c r="D235" s="293"/>
      <c r="E235" s="293"/>
      <c r="F235" s="293"/>
      <c r="G235" s="293"/>
      <c r="H235" s="293"/>
      <c r="I235" s="293"/>
      <c r="J235" s="293"/>
      <c r="K235" s="293"/>
      <c r="L235" s="293"/>
      <c r="M235" s="293"/>
      <c r="N235" s="293"/>
      <c r="O235" s="301">
        <v>0</v>
      </c>
      <c r="P235" s="434">
        <v>0</v>
      </c>
      <c r="Q235" s="293"/>
      <c r="R235" s="435"/>
      <c r="S235" s="447"/>
      <c r="T235" s="273"/>
    </row>
    <row r="236" spans="1:20" s="274" customFormat="1" x14ac:dyDescent="0.3">
      <c r="A236" s="432"/>
      <c r="B236" s="293" t="s">
        <v>70</v>
      </c>
      <c r="C236" s="332"/>
      <c r="D236" s="293"/>
      <c r="E236" s="293"/>
      <c r="F236" s="293"/>
      <c r="G236" s="293"/>
      <c r="H236" s="293"/>
      <c r="I236" s="293"/>
      <c r="J236" s="293"/>
      <c r="K236" s="293"/>
      <c r="L236" s="293"/>
      <c r="M236" s="293"/>
      <c r="N236" s="293"/>
      <c r="O236" s="293"/>
      <c r="P236" s="449">
        <v>0</v>
      </c>
      <c r="Q236" s="293"/>
      <c r="R236" s="435"/>
      <c r="S236" s="447"/>
      <c r="T236" s="273"/>
    </row>
    <row r="237" spans="1:20" s="274" customFormat="1" x14ac:dyDescent="0.3">
      <c r="A237" s="432"/>
      <c r="B237" s="293" t="s">
        <v>71</v>
      </c>
      <c r="C237" s="332"/>
      <c r="D237" s="293"/>
      <c r="E237" s="293"/>
      <c r="F237" s="293"/>
      <c r="G237" s="293"/>
      <c r="H237" s="293"/>
      <c r="I237" s="293"/>
      <c r="J237" s="293"/>
      <c r="K237" s="293"/>
      <c r="L237" s="293"/>
      <c r="M237" s="293"/>
      <c r="N237" s="293"/>
      <c r="O237" s="293"/>
      <c r="P237" s="449">
        <v>0</v>
      </c>
      <c r="Q237" s="293"/>
      <c r="R237" s="435"/>
      <c r="S237" s="447"/>
      <c r="T237" s="273"/>
    </row>
    <row r="238" spans="1:20" x14ac:dyDescent="0.3">
      <c r="A238" s="437"/>
      <c r="B238" s="438" t="s">
        <v>136</v>
      </c>
      <c r="C238" s="450"/>
      <c r="D238" s="316"/>
      <c r="E238" s="316"/>
      <c r="F238" s="316"/>
      <c r="G238" s="316"/>
      <c r="H238" s="316"/>
      <c r="I238" s="316"/>
      <c r="J238" s="316"/>
      <c r="K238" s="316"/>
      <c r="L238" s="316"/>
      <c r="M238" s="316"/>
      <c r="N238" s="316"/>
      <c r="O238" s="379"/>
      <c r="P238" s="451"/>
      <c r="Q238" s="316"/>
      <c r="R238" s="440"/>
      <c r="S238" s="445"/>
      <c r="T238" s="256"/>
    </row>
    <row r="239" spans="1:20" s="274" customFormat="1" x14ac:dyDescent="0.3">
      <c r="A239" s="432"/>
      <c r="B239" s="293" t="s">
        <v>160</v>
      </c>
      <c r="C239" s="332"/>
      <c r="D239" s="293"/>
      <c r="E239" s="293"/>
      <c r="F239" s="293"/>
      <c r="G239" s="293"/>
      <c r="H239" s="293"/>
      <c r="I239" s="293"/>
      <c r="J239" s="293"/>
      <c r="K239" s="293"/>
      <c r="L239" s="293"/>
      <c r="M239" s="293"/>
      <c r="N239" s="293"/>
      <c r="O239" s="301">
        <v>0</v>
      </c>
      <c r="P239" s="434">
        <v>0</v>
      </c>
      <c r="Q239" s="293"/>
      <c r="R239" s="435"/>
      <c r="S239" s="447"/>
      <c r="T239" s="273"/>
    </row>
    <row r="240" spans="1:20" s="274" customFormat="1" x14ac:dyDescent="0.3">
      <c r="A240" s="432"/>
      <c r="B240" s="293" t="s">
        <v>137</v>
      </c>
      <c r="C240" s="332"/>
      <c r="D240" s="293"/>
      <c r="E240" s="293"/>
      <c r="F240" s="293"/>
      <c r="G240" s="293"/>
      <c r="H240" s="293"/>
      <c r="I240" s="293"/>
      <c r="J240" s="293"/>
      <c r="K240" s="293"/>
      <c r="L240" s="293"/>
      <c r="M240" s="293"/>
      <c r="N240" s="293"/>
      <c r="O240" s="293"/>
      <c r="P240" s="449">
        <v>0</v>
      </c>
      <c r="Q240" s="293"/>
      <c r="R240" s="435"/>
      <c r="S240" s="447"/>
      <c r="T240" s="273"/>
    </row>
    <row r="241" spans="1:20" x14ac:dyDescent="0.3">
      <c r="A241" s="437"/>
      <c r="B241" s="443"/>
      <c r="C241" s="450"/>
      <c r="D241" s="316"/>
      <c r="E241" s="316"/>
      <c r="F241" s="316"/>
      <c r="G241" s="316"/>
      <c r="H241" s="316"/>
      <c r="I241" s="316"/>
      <c r="J241" s="316"/>
      <c r="K241" s="316"/>
      <c r="L241" s="316"/>
      <c r="M241" s="316"/>
      <c r="N241" s="316"/>
      <c r="O241" s="379"/>
      <c r="P241" s="451"/>
      <c r="Q241" s="316"/>
      <c r="R241" s="440"/>
      <c r="S241" s="445"/>
      <c r="T241" s="256"/>
    </row>
    <row r="242" spans="1:20" x14ac:dyDescent="0.3">
      <c r="A242" s="437"/>
      <c r="B242" s="443"/>
      <c r="C242" s="450"/>
      <c r="D242" s="316"/>
      <c r="E242" s="316"/>
      <c r="F242" s="316"/>
      <c r="G242" s="316"/>
      <c r="H242" s="316"/>
      <c r="I242" s="316"/>
      <c r="J242" s="316"/>
      <c r="K242" s="316"/>
      <c r="L242" s="316"/>
      <c r="M242" s="316"/>
      <c r="N242" s="316"/>
      <c r="O242" s="316"/>
      <c r="P242" s="452"/>
      <c r="Q242" s="316"/>
      <c r="R242" s="440"/>
      <c r="S242" s="445"/>
      <c r="T242" s="256"/>
    </row>
    <row r="243" spans="1:20" ht="18" x14ac:dyDescent="0.35">
      <c r="A243" s="437"/>
      <c r="B243" s="453" t="s">
        <v>129</v>
      </c>
      <c r="C243" s="450"/>
      <c r="D243" s="316"/>
      <c r="E243" s="316"/>
      <c r="F243" s="316"/>
      <c r="G243" s="316"/>
      <c r="H243" s="316"/>
      <c r="I243" s="316"/>
      <c r="J243" s="316"/>
      <c r="K243" s="316"/>
      <c r="L243" s="454"/>
      <c r="M243" s="316"/>
      <c r="N243" s="455" t="s">
        <v>285</v>
      </c>
      <c r="O243" s="454"/>
      <c r="P243" s="452"/>
      <c r="Q243" s="316"/>
      <c r="R243" s="440"/>
      <c r="S243" s="445"/>
      <c r="T243" s="256"/>
    </row>
    <row r="244" spans="1:20" ht="18" x14ac:dyDescent="0.35">
      <c r="A244" s="456"/>
      <c r="B244" s="457"/>
      <c r="C244" s="458"/>
      <c r="D244" s="362"/>
      <c r="E244" s="362"/>
      <c r="F244" s="362"/>
      <c r="G244" s="362"/>
      <c r="H244" s="362"/>
      <c r="I244" s="362"/>
      <c r="J244" s="362"/>
      <c r="K244" s="362"/>
      <c r="L244" s="459"/>
      <c r="M244" s="362"/>
      <c r="N244" s="362"/>
      <c r="O244" s="362"/>
      <c r="P244" s="460"/>
      <c r="Q244" s="362"/>
      <c r="R244" s="424"/>
      <c r="S244" s="461"/>
      <c r="T244" s="256"/>
    </row>
    <row r="245" spans="1:20" x14ac:dyDescent="0.3">
      <c r="A245" s="285"/>
      <c r="B245" s="368" t="s">
        <v>152</v>
      </c>
      <c r="C245" s="369"/>
      <c r="D245" s="369"/>
      <c r="E245" s="369"/>
      <c r="F245" s="369"/>
      <c r="G245" s="369"/>
      <c r="H245" s="369"/>
      <c r="I245" s="369"/>
      <c r="J245" s="369"/>
      <c r="K245" s="369"/>
      <c r="L245" s="369"/>
      <c r="M245" s="369"/>
      <c r="N245" s="426" t="s">
        <v>83</v>
      </c>
      <c r="O245" s="369" t="s">
        <v>84</v>
      </c>
      <c r="P245" s="426" t="s">
        <v>89</v>
      </c>
      <c r="Q245" s="369" t="s">
        <v>84</v>
      </c>
      <c r="R245" s="286"/>
      <c r="S245" s="462"/>
      <c r="T245" s="256"/>
    </row>
    <row r="246" spans="1:20" s="274" customFormat="1" x14ac:dyDescent="0.3">
      <c r="A246" s="269"/>
      <c r="B246" s="372" t="s">
        <v>72</v>
      </c>
      <c r="C246" s="463"/>
      <c r="D246" s="463"/>
      <c r="E246" s="463"/>
      <c r="F246" s="463"/>
      <c r="G246" s="463"/>
      <c r="H246" s="463"/>
      <c r="I246" s="463"/>
      <c r="J246" s="463"/>
      <c r="K246" s="463"/>
      <c r="L246" s="463"/>
      <c r="M246" s="463"/>
      <c r="N246" s="372">
        <f>+N258+N270+N282</f>
        <v>633</v>
      </c>
      <c r="O246" s="464">
        <f>N246/$N$255</f>
        <v>1</v>
      </c>
      <c r="P246" s="373">
        <f>+P258+P270+P282</f>
        <v>101859</v>
      </c>
      <c r="Q246" s="464">
        <f t="shared" ref="Q246:Q253" si="5">P246/$P$255</f>
        <v>1</v>
      </c>
      <c r="R246" s="430"/>
      <c r="S246" s="465"/>
      <c r="T246" s="273"/>
    </row>
    <row r="247" spans="1:20" s="274" customFormat="1" x14ac:dyDescent="0.3">
      <c r="A247" s="300"/>
      <c r="B247" s="360" t="s">
        <v>73</v>
      </c>
      <c r="C247" s="466"/>
      <c r="D247" s="466"/>
      <c r="E247" s="466"/>
      <c r="F247" s="466"/>
      <c r="G247" s="466"/>
      <c r="H247" s="466"/>
      <c r="I247" s="466"/>
      <c r="J247" s="466"/>
      <c r="K247" s="466"/>
      <c r="L247" s="466"/>
      <c r="M247" s="466"/>
      <c r="N247" s="467">
        <f t="shared" ref="N247:N252" si="6">+N259+N271+N283</f>
        <v>0</v>
      </c>
      <c r="O247" s="468">
        <f t="shared" ref="O247:O253" si="7">N247/$N$255</f>
        <v>0</v>
      </c>
      <c r="P247" s="469">
        <f t="shared" ref="P247:P253" si="8">+P259+P271+P283</f>
        <v>0</v>
      </c>
      <c r="Q247" s="470">
        <f t="shared" si="5"/>
        <v>0</v>
      </c>
      <c r="R247" s="435"/>
      <c r="S247" s="447"/>
      <c r="T247" s="273"/>
    </row>
    <row r="248" spans="1:20" s="274" customFormat="1" x14ac:dyDescent="0.3">
      <c r="A248" s="300"/>
      <c r="B248" s="360" t="s">
        <v>74</v>
      </c>
      <c r="C248" s="466"/>
      <c r="D248" s="466"/>
      <c r="E248" s="466"/>
      <c r="F248" s="466"/>
      <c r="G248" s="466"/>
      <c r="H248" s="466"/>
      <c r="I248" s="466"/>
      <c r="J248" s="466"/>
      <c r="K248" s="466"/>
      <c r="L248" s="466"/>
      <c r="M248" s="466"/>
      <c r="N248" s="471">
        <f t="shared" si="6"/>
        <v>0</v>
      </c>
      <c r="O248" s="472">
        <f t="shared" si="7"/>
        <v>0</v>
      </c>
      <c r="P248" s="398">
        <f t="shared" si="8"/>
        <v>0</v>
      </c>
      <c r="Q248" s="470">
        <f t="shared" si="5"/>
        <v>0</v>
      </c>
      <c r="R248" s="435"/>
      <c r="S248" s="447"/>
      <c r="T248" s="273"/>
    </row>
    <row r="249" spans="1:20" s="274" customFormat="1" x14ac:dyDescent="0.3">
      <c r="A249" s="300"/>
      <c r="B249" s="360" t="s">
        <v>119</v>
      </c>
      <c r="C249" s="466"/>
      <c r="D249" s="466"/>
      <c r="E249" s="466"/>
      <c r="F249" s="466"/>
      <c r="G249" s="466"/>
      <c r="H249" s="466"/>
      <c r="I249" s="466"/>
      <c r="J249" s="466"/>
      <c r="K249" s="466"/>
      <c r="L249" s="466"/>
      <c r="M249" s="466"/>
      <c r="N249" s="471">
        <f t="shared" si="6"/>
        <v>0</v>
      </c>
      <c r="O249" s="472">
        <f t="shared" si="7"/>
        <v>0</v>
      </c>
      <c r="P249" s="398">
        <f t="shared" si="8"/>
        <v>0</v>
      </c>
      <c r="Q249" s="470">
        <f t="shared" si="5"/>
        <v>0</v>
      </c>
      <c r="R249" s="435"/>
      <c r="S249" s="447"/>
      <c r="T249" s="273"/>
    </row>
    <row r="250" spans="1:20" s="274" customFormat="1" x14ac:dyDescent="0.3">
      <c r="A250" s="300"/>
      <c r="B250" s="360" t="s">
        <v>120</v>
      </c>
      <c r="C250" s="466"/>
      <c r="D250" s="466"/>
      <c r="E250" s="466"/>
      <c r="F250" s="466"/>
      <c r="G250" s="466"/>
      <c r="H250" s="466"/>
      <c r="I250" s="466"/>
      <c r="J250" s="466"/>
      <c r="K250" s="466"/>
      <c r="L250" s="466"/>
      <c r="M250" s="466"/>
      <c r="N250" s="471">
        <f t="shared" si="6"/>
        <v>0</v>
      </c>
      <c r="O250" s="472">
        <f t="shared" si="7"/>
        <v>0</v>
      </c>
      <c r="P250" s="398">
        <f t="shared" si="8"/>
        <v>0</v>
      </c>
      <c r="Q250" s="470">
        <f t="shared" si="5"/>
        <v>0</v>
      </c>
      <c r="R250" s="435"/>
      <c r="S250" s="447"/>
      <c r="T250" s="273"/>
    </row>
    <row r="251" spans="1:20" s="274" customFormat="1" x14ac:dyDescent="0.3">
      <c r="A251" s="300"/>
      <c r="B251" s="360" t="s">
        <v>121</v>
      </c>
      <c r="C251" s="466"/>
      <c r="D251" s="466"/>
      <c r="E251" s="466"/>
      <c r="F251" s="466"/>
      <c r="G251" s="466"/>
      <c r="H251" s="466"/>
      <c r="I251" s="466"/>
      <c r="J251" s="466"/>
      <c r="K251" s="466"/>
      <c r="L251" s="466"/>
      <c r="M251" s="466"/>
      <c r="N251" s="471">
        <f t="shared" si="6"/>
        <v>0</v>
      </c>
      <c r="O251" s="472">
        <f t="shared" si="7"/>
        <v>0</v>
      </c>
      <c r="P251" s="398">
        <f t="shared" si="8"/>
        <v>0</v>
      </c>
      <c r="Q251" s="470">
        <f t="shared" si="5"/>
        <v>0</v>
      </c>
      <c r="R251" s="435"/>
      <c r="S251" s="447"/>
      <c r="T251" s="273"/>
    </row>
    <row r="252" spans="1:20" s="274" customFormat="1" x14ac:dyDescent="0.3">
      <c r="A252" s="300"/>
      <c r="B252" s="360" t="s">
        <v>122</v>
      </c>
      <c r="C252" s="466"/>
      <c r="D252" s="466"/>
      <c r="E252" s="466"/>
      <c r="F252" s="466"/>
      <c r="G252" s="466"/>
      <c r="H252" s="466"/>
      <c r="I252" s="466"/>
      <c r="J252" s="466"/>
      <c r="K252" s="466"/>
      <c r="L252" s="466"/>
      <c r="M252" s="466"/>
      <c r="N252" s="473">
        <f t="shared" si="6"/>
        <v>0</v>
      </c>
      <c r="O252" s="474">
        <f t="shared" si="7"/>
        <v>0</v>
      </c>
      <c r="P252" s="475">
        <f t="shared" si="8"/>
        <v>0</v>
      </c>
      <c r="Q252" s="470">
        <f t="shared" si="5"/>
        <v>0</v>
      </c>
      <c r="R252" s="435"/>
      <c r="S252" s="447"/>
      <c r="T252" s="273"/>
    </row>
    <row r="253" spans="1:20" s="274" customFormat="1" x14ac:dyDescent="0.3">
      <c r="A253" s="300"/>
      <c r="B253" s="360" t="s">
        <v>123</v>
      </c>
      <c r="C253" s="466"/>
      <c r="D253" s="466"/>
      <c r="E253" s="466"/>
      <c r="F253" s="466"/>
      <c r="G253" s="466"/>
      <c r="H253" s="466"/>
      <c r="I253" s="466"/>
      <c r="J253" s="466"/>
      <c r="K253" s="466"/>
      <c r="L253" s="466"/>
      <c r="M253" s="466"/>
      <c r="N253" s="372">
        <f>+N265+N277+N289</f>
        <v>0</v>
      </c>
      <c r="O253" s="470">
        <f t="shared" si="7"/>
        <v>0</v>
      </c>
      <c r="P253" s="373">
        <f t="shared" si="8"/>
        <v>0</v>
      </c>
      <c r="Q253" s="470">
        <f t="shared" si="5"/>
        <v>0</v>
      </c>
      <c r="R253" s="435"/>
      <c r="S253" s="447"/>
      <c r="T253" s="273"/>
    </row>
    <row r="254" spans="1:20" s="274" customFormat="1" x14ac:dyDescent="0.3">
      <c r="A254" s="300"/>
      <c r="B254" s="360"/>
      <c r="C254" s="466"/>
      <c r="D254" s="466"/>
      <c r="E254" s="466"/>
      <c r="F254" s="466"/>
      <c r="G254" s="466"/>
      <c r="H254" s="466"/>
      <c r="I254" s="466"/>
      <c r="J254" s="466"/>
      <c r="K254" s="466"/>
      <c r="L254" s="466"/>
      <c r="M254" s="466"/>
      <c r="N254" s="360"/>
      <c r="O254" s="470"/>
      <c r="P254" s="361"/>
      <c r="Q254" s="470"/>
      <c r="R254" s="435"/>
      <c r="S254" s="447"/>
      <c r="T254" s="273"/>
    </row>
    <row r="255" spans="1:20" s="274" customFormat="1" x14ac:dyDescent="0.3">
      <c r="A255" s="300"/>
      <c r="B255" s="293" t="s">
        <v>94</v>
      </c>
      <c r="C255" s="293"/>
      <c r="D255" s="476"/>
      <c r="E255" s="476"/>
      <c r="F255" s="476"/>
      <c r="G255" s="476"/>
      <c r="H255" s="476"/>
      <c r="I255" s="476"/>
      <c r="J255" s="476"/>
      <c r="K255" s="476"/>
      <c r="L255" s="476"/>
      <c r="M255" s="476"/>
      <c r="N255" s="360">
        <f>SUM(N246:N254)</f>
        <v>633</v>
      </c>
      <c r="O255" s="470">
        <f>SUM(O246:O254)</f>
        <v>1</v>
      </c>
      <c r="P255" s="361">
        <f>SUM(P246:P254)</f>
        <v>101859</v>
      </c>
      <c r="Q255" s="470">
        <f>SUM(Q246:Q254)</f>
        <v>1</v>
      </c>
      <c r="R255" s="293"/>
      <c r="S255" s="296"/>
      <c r="T255" s="273"/>
    </row>
    <row r="256" spans="1:20" x14ac:dyDescent="0.3">
      <c r="A256" s="258"/>
      <c r="B256" s="423"/>
      <c r="C256" s="458"/>
      <c r="D256" s="362"/>
      <c r="E256" s="362"/>
      <c r="F256" s="362"/>
      <c r="G256" s="362"/>
      <c r="H256" s="362"/>
      <c r="I256" s="362"/>
      <c r="J256" s="362"/>
      <c r="K256" s="362"/>
      <c r="L256" s="362"/>
      <c r="M256" s="362"/>
      <c r="N256" s="362"/>
      <c r="O256" s="362"/>
      <c r="P256" s="460"/>
      <c r="Q256" s="362"/>
      <c r="R256" s="362"/>
      <c r="S256" s="261"/>
      <c r="T256" s="256"/>
    </row>
    <row r="257" spans="1:21" x14ac:dyDescent="0.3">
      <c r="A257" s="285"/>
      <c r="B257" s="368" t="s">
        <v>124</v>
      </c>
      <c r="C257" s="369"/>
      <c r="D257" s="369"/>
      <c r="E257" s="369"/>
      <c r="F257" s="369"/>
      <c r="G257" s="369"/>
      <c r="H257" s="369"/>
      <c r="I257" s="369"/>
      <c r="J257" s="369"/>
      <c r="K257" s="369"/>
      <c r="L257" s="369"/>
      <c r="M257" s="369"/>
      <c r="N257" s="426" t="s">
        <v>83</v>
      </c>
      <c r="O257" s="369" t="s">
        <v>84</v>
      </c>
      <c r="P257" s="426" t="s">
        <v>89</v>
      </c>
      <c r="Q257" s="369" t="s">
        <v>84</v>
      </c>
      <c r="R257" s="286"/>
      <c r="S257" s="462"/>
      <c r="T257" s="256"/>
    </row>
    <row r="258" spans="1:21" s="274" customFormat="1" x14ac:dyDescent="0.3">
      <c r="A258" s="269"/>
      <c r="B258" s="372" t="s">
        <v>72</v>
      </c>
      <c r="C258" s="463"/>
      <c r="D258" s="463"/>
      <c r="E258" s="463"/>
      <c r="F258" s="463"/>
      <c r="G258" s="463"/>
      <c r="H258" s="463"/>
      <c r="I258" s="463"/>
      <c r="J258" s="463"/>
      <c r="K258" s="463"/>
      <c r="L258" s="463"/>
      <c r="M258" s="463"/>
      <c r="N258" s="372">
        <v>633</v>
      </c>
      <c r="O258" s="464">
        <f>N258/$N$267</f>
        <v>1</v>
      </c>
      <c r="P258" s="373">
        <v>101859</v>
      </c>
      <c r="Q258" s="464">
        <f>P258/$P$267</f>
        <v>1</v>
      </c>
      <c r="R258" s="430"/>
      <c r="S258" s="465"/>
      <c r="T258" s="273"/>
    </row>
    <row r="259" spans="1:21" s="274" customFormat="1" x14ac:dyDescent="0.3">
      <c r="A259" s="300"/>
      <c r="B259" s="360" t="s">
        <v>73</v>
      </c>
      <c r="C259" s="466"/>
      <c r="D259" s="466"/>
      <c r="E259" s="466"/>
      <c r="F259" s="466"/>
      <c r="G259" s="466"/>
      <c r="H259" s="466"/>
      <c r="I259" s="466"/>
      <c r="J259" s="466"/>
      <c r="K259" s="466"/>
      <c r="L259" s="466"/>
      <c r="M259" s="466"/>
      <c r="N259" s="360">
        <v>0</v>
      </c>
      <c r="O259" s="470">
        <f t="shared" ref="O259:O265" si="9">N259/$N$267</f>
        <v>0</v>
      </c>
      <c r="P259" s="361">
        <v>0</v>
      </c>
      <c r="Q259" s="470">
        <f t="shared" ref="Q259:Q265" si="10">P259/$P$267</f>
        <v>0</v>
      </c>
      <c r="R259" s="435"/>
      <c r="S259" s="447"/>
      <c r="T259" s="273"/>
      <c r="U259" s="382"/>
    </row>
    <row r="260" spans="1:21" s="274" customFormat="1" x14ac:dyDescent="0.3">
      <c r="A260" s="300"/>
      <c r="B260" s="360" t="s">
        <v>74</v>
      </c>
      <c r="C260" s="466"/>
      <c r="D260" s="466"/>
      <c r="E260" s="466"/>
      <c r="F260" s="466"/>
      <c r="G260" s="466"/>
      <c r="H260" s="466"/>
      <c r="I260" s="466"/>
      <c r="J260" s="466"/>
      <c r="K260" s="466"/>
      <c r="L260" s="466"/>
      <c r="M260" s="466"/>
      <c r="N260" s="360">
        <v>0</v>
      </c>
      <c r="O260" s="470">
        <f t="shared" si="9"/>
        <v>0</v>
      </c>
      <c r="P260" s="361">
        <v>0</v>
      </c>
      <c r="Q260" s="470">
        <f t="shared" si="10"/>
        <v>0</v>
      </c>
      <c r="R260" s="435"/>
      <c r="S260" s="447"/>
      <c r="T260" s="273"/>
    </row>
    <row r="261" spans="1:21" s="274" customFormat="1" x14ac:dyDescent="0.3">
      <c r="A261" s="300"/>
      <c r="B261" s="360" t="s">
        <v>119</v>
      </c>
      <c r="C261" s="466"/>
      <c r="D261" s="466"/>
      <c r="E261" s="466"/>
      <c r="F261" s="466"/>
      <c r="G261" s="466"/>
      <c r="H261" s="466"/>
      <c r="I261" s="466"/>
      <c r="J261" s="466"/>
      <c r="K261" s="466"/>
      <c r="L261" s="466"/>
      <c r="M261" s="466"/>
      <c r="N261" s="360">
        <v>0</v>
      </c>
      <c r="O261" s="470">
        <f t="shared" si="9"/>
        <v>0</v>
      </c>
      <c r="P261" s="361">
        <v>0</v>
      </c>
      <c r="Q261" s="470">
        <f t="shared" si="10"/>
        <v>0</v>
      </c>
      <c r="R261" s="435"/>
      <c r="S261" s="447"/>
      <c r="T261" s="273"/>
      <c r="U261" s="382"/>
    </row>
    <row r="262" spans="1:21" s="274" customFormat="1" x14ac:dyDescent="0.3">
      <c r="A262" s="300"/>
      <c r="B262" s="360" t="s">
        <v>120</v>
      </c>
      <c r="C262" s="466"/>
      <c r="D262" s="466"/>
      <c r="E262" s="466"/>
      <c r="F262" s="466"/>
      <c r="G262" s="466"/>
      <c r="H262" s="466"/>
      <c r="I262" s="466"/>
      <c r="J262" s="466"/>
      <c r="K262" s="466"/>
      <c r="L262" s="466"/>
      <c r="M262" s="466"/>
      <c r="N262" s="360">
        <v>0</v>
      </c>
      <c r="O262" s="470">
        <f t="shared" si="9"/>
        <v>0</v>
      </c>
      <c r="P262" s="361">
        <v>0</v>
      </c>
      <c r="Q262" s="470">
        <f t="shared" si="10"/>
        <v>0</v>
      </c>
      <c r="R262" s="435"/>
      <c r="S262" s="447"/>
      <c r="T262" s="273"/>
    </row>
    <row r="263" spans="1:21" s="274" customFormat="1" x14ac:dyDescent="0.3">
      <c r="A263" s="300"/>
      <c r="B263" s="360" t="s">
        <v>121</v>
      </c>
      <c r="C263" s="466"/>
      <c r="D263" s="466"/>
      <c r="E263" s="466"/>
      <c r="F263" s="466"/>
      <c r="G263" s="466"/>
      <c r="H263" s="466"/>
      <c r="I263" s="466"/>
      <c r="J263" s="466"/>
      <c r="K263" s="466"/>
      <c r="L263" s="466"/>
      <c r="M263" s="466"/>
      <c r="N263" s="360">
        <v>0</v>
      </c>
      <c r="O263" s="470">
        <f t="shared" si="9"/>
        <v>0</v>
      </c>
      <c r="P263" s="361">
        <v>0</v>
      </c>
      <c r="Q263" s="470">
        <f t="shared" si="10"/>
        <v>0</v>
      </c>
      <c r="R263" s="435"/>
      <c r="S263" s="447"/>
      <c r="T263" s="273"/>
      <c r="U263" s="382"/>
    </row>
    <row r="264" spans="1:21" s="274" customFormat="1" x14ac:dyDescent="0.3">
      <c r="A264" s="300"/>
      <c r="B264" s="360" t="s">
        <v>122</v>
      </c>
      <c r="C264" s="466"/>
      <c r="D264" s="466"/>
      <c r="E264" s="466"/>
      <c r="F264" s="466"/>
      <c r="G264" s="466"/>
      <c r="H264" s="466"/>
      <c r="I264" s="466"/>
      <c r="J264" s="466"/>
      <c r="K264" s="466"/>
      <c r="L264" s="466"/>
      <c r="M264" s="466"/>
      <c r="N264" s="360">
        <v>0</v>
      </c>
      <c r="O264" s="470">
        <f t="shared" si="9"/>
        <v>0</v>
      </c>
      <c r="P264" s="361">
        <v>0</v>
      </c>
      <c r="Q264" s="470">
        <f t="shared" si="10"/>
        <v>0</v>
      </c>
      <c r="R264" s="435"/>
      <c r="S264" s="447"/>
      <c r="T264" s="273"/>
    </row>
    <row r="265" spans="1:21" s="274" customFormat="1" x14ac:dyDescent="0.3">
      <c r="A265" s="300"/>
      <c r="B265" s="360" t="s">
        <v>123</v>
      </c>
      <c r="C265" s="466"/>
      <c r="D265" s="466"/>
      <c r="E265" s="466"/>
      <c r="F265" s="466"/>
      <c r="G265" s="466"/>
      <c r="H265" s="466"/>
      <c r="I265" s="466"/>
      <c r="J265" s="466"/>
      <c r="K265" s="466"/>
      <c r="L265" s="466"/>
      <c r="M265" s="466"/>
      <c r="N265" s="360">
        <v>0</v>
      </c>
      <c r="O265" s="470">
        <f t="shared" si="9"/>
        <v>0</v>
      </c>
      <c r="P265" s="361">
        <v>0</v>
      </c>
      <c r="Q265" s="470">
        <f t="shared" si="10"/>
        <v>0</v>
      </c>
      <c r="R265" s="435"/>
      <c r="S265" s="447"/>
      <c r="T265" s="273"/>
      <c r="U265" s="382"/>
    </row>
    <row r="266" spans="1:21" s="274" customFormat="1" x14ac:dyDescent="0.3">
      <c r="A266" s="300"/>
      <c r="B266" s="360"/>
      <c r="C266" s="466"/>
      <c r="D266" s="466"/>
      <c r="E266" s="466"/>
      <c r="F266" s="466"/>
      <c r="G266" s="466"/>
      <c r="H266" s="466"/>
      <c r="I266" s="466"/>
      <c r="J266" s="466"/>
      <c r="K266" s="466"/>
      <c r="L266" s="466"/>
      <c r="M266" s="466"/>
      <c r="N266" s="360"/>
      <c r="O266" s="470"/>
      <c r="P266" s="361"/>
      <c r="Q266" s="470"/>
      <c r="R266" s="435"/>
      <c r="S266" s="447"/>
      <c r="T266" s="273"/>
    </row>
    <row r="267" spans="1:21" s="274" customFormat="1" x14ac:dyDescent="0.3">
      <c r="A267" s="300"/>
      <c r="B267" s="293" t="s">
        <v>94</v>
      </c>
      <c r="C267" s="293"/>
      <c r="D267" s="476"/>
      <c r="E267" s="476"/>
      <c r="F267" s="476"/>
      <c r="G267" s="476"/>
      <c r="H267" s="476"/>
      <c r="I267" s="476"/>
      <c r="J267" s="476"/>
      <c r="K267" s="476"/>
      <c r="L267" s="476"/>
      <c r="M267" s="476"/>
      <c r="N267" s="360">
        <f>SUM(N258:N266)</f>
        <v>633</v>
      </c>
      <c r="O267" s="470">
        <f>SUM(O258:O266)</f>
        <v>1</v>
      </c>
      <c r="P267" s="361">
        <f>SUM(P258:P266)</f>
        <v>101859</v>
      </c>
      <c r="Q267" s="470">
        <f>SUM(Q258:Q266)</f>
        <v>1</v>
      </c>
      <c r="R267" s="293"/>
      <c r="S267" s="296"/>
      <c r="T267" s="273"/>
    </row>
    <row r="268" spans="1:21" x14ac:dyDescent="0.3">
      <c r="A268" s="258"/>
      <c r="B268" s="362"/>
      <c r="C268" s="362"/>
      <c r="D268" s="477"/>
      <c r="E268" s="477"/>
      <c r="F268" s="477"/>
      <c r="G268" s="477"/>
      <c r="H268" s="477"/>
      <c r="I268" s="477"/>
      <c r="J268" s="477"/>
      <c r="K268" s="477"/>
      <c r="L268" s="477"/>
      <c r="M268" s="477"/>
      <c r="N268" s="363"/>
      <c r="O268" s="478"/>
      <c r="P268" s="479"/>
      <c r="Q268" s="478"/>
      <c r="R268" s="362"/>
      <c r="S268" s="261"/>
      <c r="T268" s="256"/>
    </row>
    <row r="269" spans="1:21" x14ac:dyDescent="0.3">
      <c r="A269" s="285"/>
      <c r="B269" s="368" t="s">
        <v>146</v>
      </c>
      <c r="C269" s="369"/>
      <c r="D269" s="369"/>
      <c r="E269" s="369"/>
      <c r="F269" s="369"/>
      <c r="G269" s="369"/>
      <c r="H269" s="369"/>
      <c r="I269" s="369"/>
      <c r="J269" s="369"/>
      <c r="K269" s="369"/>
      <c r="L269" s="369"/>
      <c r="M269" s="369"/>
      <c r="N269" s="426" t="s">
        <v>83</v>
      </c>
      <c r="O269" s="369" t="s">
        <v>84</v>
      </c>
      <c r="P269" s="426" t="s">
        <v>89</v>
      </c>
      <c r="Q269" s="369" t="s">
        <v>84</v>
      </c>
      <c r="R269" s="286"/>
      <c r="S269" s="289"/>
      <c r="T269" s="256"/>
    </row>
    <row r="270" spans="1:21" s="274" customFormat="1" x14ac:dyDescent="0.3">
      <c r="A270" s="269"/>
      <c r="B270" s="372" t="s">
        <v>72</v>
      </c>
      <c r="C270" s="463"/>
      <c r="D270" s="463"/>
      <c r="E270" s="463"/>
      <c r="F270" s="463"/>
      <c r="G270" s="463"/>
      <c r="H270" s="463"/>
      <c r="I270" s="463"/>
      <c r="J270" s="463"/>
      <c r="K270" s="463"/>
      <c r="L270" s="463"/>
      <c r="M270" s="463"/>
      <c r="N270" s="372">
        <v>0</v>
      </c>
      <c r="O270" s="464">
        <v>0</v>
      </c>
      <c r="P270" s="373">
        <v>0</v>
      </c>
      <c r="Q270" s="464">
        <v>0</v>
      </c>
      <c r="R270" s="290"/>
      <c r="S270" s="272"/>
      <c r="T270" s="273"/>
    </row>
    <row r="271" spans="1:21" s="274" customFormat="1" x14ac:dyDescent="0.3">
      <c r="A271" s="300"/>
      <c r="B271" s="360" t="s">
        <v>73</v>
      </c>
      <c r="C271" s="466"/>
      <c r="D271" s="466"/>
      <c r="E271" s="466"/>
      <c r="F271" s="466"/>
      <c r="G271" s="466"/>
      <c r="H271" s="466"/>
      <c r="I271" s="466"/>
      <c r="J271" s="466"/>
      <c r="K271" s="466"/>
      <c r="L271" s="466"/>
      <c r="M271" s="466"/>
      <c r="N271" s="360">
        <v>0</v>
      </c>
      <c r="O271" s="470">
        <v>0</v>
      </c>
      <c r="P271" s="361">
        <v>0</v>
      </c>
      <c r="Q271" s="470">
        <v>0</v>
      </c>
      <c r="R271" s="293"/>
      <c r="S271" s="296"/>
      <c r="T271" s="273"/>
    </row>
    <row r="272" spans="1:21" s="274" customFormat="1" x14ac:dyDescent="0.3">
      <c r="A272" s="300"/>
      <c r="B272" s="360" t="s">
        <v>74</v>
      </c>
      <c r="C272" s="466"/>
      <c r="D272" s="466"/>
      <c r="E272" s="466"/>
      <c r="F272" s="466"/>
      <c r="G272" s="466"/>
      <c r="H272" s="466"/>
      <c r="I272" s="466"/>
      <c r="J272" s="466"/>
      <c r="K272" s="466"/>
      <c r="L272" s="466"/>
      <c r="M272" s="466"/>
      <c r="N272" s="360">
        <v>0</v>
      </c>
      <c r="O272" s="470">
        <v>0</v>
      </c>
      <c r="P272" s="361">
        <v>0</v>
      </c>
      <c r="Q272" s="470">
        <v>0</v>
      </c>
      <c r="R272" s="293"/>
      <c r="S272" s="296"/>
      <c r="T272" s="273"/>
    </row>
    <row r="273" spans="1:20" s="274" customFormat="1" x14ac:dyDescent="0.3">
      <c r="A273" s="300"/>
      <c r="B273" s="360" t="s">
        <v>119</v>
      </c>
      <c r="C273" s="466"/>
      <c r="D273" s="466"/>
      <c r="E273" s="466"/>
      <c r="F273" s="466"/>
      <c r="G273" s="466"/>
      <c r="H273" s="466"/>
      <c r="I273" s="466"/>
      <c r="J273" s="466"/>
      <c r="K273" s="466"/>
      <c r="L273" s="466"/>
      <c r="M273" s="466"/>
      <c r="N273" s="360">
        <v>0</v>
      </c>
      <c r="O273" s="470">
        <v>0</v>
      </c>
      <c r="P273" s="361">
        <v>0</v>
      </c>
      <c r="Q273" s="470">
        <v>0</v>
      </c>
      <c r="R273" s="293"/>
      <c r="S273" s="296"/>
      <c r="T273" s="273"/>
    </row>
    <row r="274" spans="1:20" s="274" customFormat="1" x14ac:dyDescent="0.3">
      <c r="A274" s="300"/>
      <c r="B274" s="360" t="s">
        <v>120</v>
      </c>
      <c r="C274" s="466"/>
      <c r="D274" s="466"/>
      <c r="E274" s="466"/>
      <c r="F274" s="466"/>
      <c r="G274" s="466"/>
      <c r="H274" s="466"/>
      <c r="I274" s="466"/>
      <c r="J274" s="466"/>
      <c r="K274" s="466"/>
      <c r="L274" s="466"/>
      <c r="M274" s="466"/>
      <c r="N274" s="360">
        <v>0</v>
      </c>
      <c r="O274" s="470">
        <v>0</v>
      </c>
      <c r="P274" s="361">
        <v>0</v>
      </c>
      <c r="Q274" s="470">
        <v>0</v>
      </c>
      <c r="R274" s="293"/>
      <c r="S274" s="296"/>
      <c r="T274" s="273"/>
    </row>
    <row r="275" spans="1:20" s="274" customFormat="1" x14ac:dyDescent="0.3">
      <c r="A275" s="300"/>
      <c r="B275" s="360" t="s">
        <v>121</v>
      </c>
      <c r="C275" s="466"/>
      <c r="D275" s="466"/>
      <c r="E275" s="466"/>
      <c r="F275" s="466"/>
      <c r="G275" s="466"/>
      <c r="H275" s="466"/>
      <c r="I275" s="466"/>
      <c r="J275" s="466"/>
      <c r="K275" s="466"/>
      <c r="L275" s="466"/>
      <c r="M275" s="466"/>
      <c r="N275" s="360">
        <v>0</v>
      </c>
      <c r="O275" s="470">
        <v>0</v>
      </c>
      <c r="P275" s="361">
        <v>0</v>
      </c>
      <c r="Q275" s="470">
        <v>0</v>
      </c>
      <c r="R275" s="293"/>
      <c r="S275" s="296"/>
      <c r="T275" s="273"/>
    </row>
    <row r="276" spans="1:20" s="274" customFormat="1" x14ac:dyDescent="0.3">
      <c r="A276" s="300"/>
      <c r="B276" s="360" t="s">
        <v>122</v>
      </c>
      <c r="C276" s="466"/>
      <c r="D276" s="466"/>
      <c r="E276" s="466"/>
      <c r="F276" s="466"/>
      <c r="G276" s="466"/>
      <c r="H276" s="466"/>
      <c r="I276" s="466"/>
      <c r="J276" s="466"/>
      <c r="K276" s="466"/>
      <c r="L276" s="466"/>
      <c r="M276" s="466"/>
      <c r="N276" s="360">
        <v>0</v>
      </c>
      <c r="O276" s="470">
        <v>0</v>
      </c>
      <c r="P276" s="361">
        <v>0</v>
      </c>
      <c r="Q276" s="470">
        <v>0</v>
      </c>
      <c r="R276" s="293"/>
      <c r="S276" s="296"/>
      <c r="T276" s="273"/>
    </row>
    <row r="277" spans="1:20" s="274" customFormat="1" x14ac:dyDescent="0.3">
      <c r="A277" s="300"/>
      <c r="B277" s="360" t="s">
        <v>123</v>
      </c>
      <c r="C277" s="466"/>
      <c r="D277" s="466"/>
      <c r="E277" s="466"/>
      <c r="F277" s="466"/>
      <c r="G277" s="466"/>
      <c r="H277" s="466"/>
      <c r="I277" s="466"/>
      <c r="J277" s="466"/>
      <c r="K277" s="466"/>
      <c r="L277" s="466"/>
      <c r="M277" s="466"/>
      <c r="N277" s="360">
        <v>0</v>
      </c>
      <c r="O277" s="470">
        <v>0</v>
      </c>
      <c r="P277" s="361">
        <v>0</v>
      </c>
      <c r="Q277" s="470">
        <v>0</v>
      </c>
      <c r="R277" s="293"/>
      <c r="S277" s="296"/>
      <c r="T277" s="273"/>
    </row>
    <row r="278" spans="1:20" s="274" customFormat="1" x14ac:dyDescent="0.3">
      <c r="A278" s="300"/>
      <c r="B278" s="360"/>
      <c r="C278" s="466"/>
      <c r="D278" s="466"/>
      <c r="E278" s="466"/>
      <c r="F278" s="466"/>
      <c r="G278" s="466"/>
      <c r="H278" s="466"/>
      <c r="I278" s="466"/>
      <c r="J278" s="466"/>
      <c r="K278" s="466"/>
      <c r="L278" s="466"/>
      <c r="M278" s="466"/>
      <c r="N278" s="360"/>
      <c r="O278" s="470"/>
      <c r="P278" s="361"/>
      <c r="Q278" s="470"/>
      <c r="R278" s="293"/>
      <c r="S278" s="296"/>
      <c r="T278" s="273"/>
    </row>
    <row r="279" spans="1:20" s="274" customFormat="1" x14ac:dyDescent="0.3">
      <c r="A279" s="300"/>
      <c r="B279" s="293" t="s">
        <v>94</v>
      </c>
      <c r="C279" s="293"/>
      <c r="D279" s="476"/>
      <c r="E279" s="476"/>
      <c r="F279" s="476"/>
      <c r="G279" s="476"/>
      <c r="H279" s="476"/>
      <c r="I279" s="476"/>
      <c r="J279" s="476"/>
      <c r="K279" s="476"/>
      <c r="L279" s="476"/>
      <c r="M279" s="476"/>
      <c r="N279" s="360">
        <f>SUM(N270:N278)</f>
        <v>0</v>
      </c>
      <c r="O279" s="470">
        <f>SUM(O270:O278)</f>
        <v>0</v>
      </c>
      <c r="P279" s="361">
        <f>SUM(P270:P278)</f>
        <v>0</v>
      </c>
      <c r="Q279" s="470">
        <f>SUM(Q270:Q278)</f>
        <v>0</v>
      </c>
      <c r="R279" s="293"/>
      <c r="S279" s="296"/>
      <c r="T279" s="273"/>
    </row>
    <row r="280" spans="1:20" x14ac:dyDescent="0.3">
      <c r="A280" s="258"/>
      <c r="B280" s="362"/>
      <c r="C280" s="362"/>
      <c r="D280" s="477"/>
      <c r="E280" s="477"/>
      <c r="F280" s="477"/>
      <c r="G280" s="477"/>
      <c r="H280" s="477"/>
      <c r="I280" s="477"/>
      <c r="J280" s="477"/>
      <c r="K280" s="477"/>
      <c r="L280" s="477"/>
      <c r="M280" s="477"/>
      <c r="N280" s="363"/>
      <c r="O280" s="478"/>
      <c r="P280" s="479"/>
      <c r="Q280" s="478"/>
      <c r="R280" s="362"/>
      <c r="S280" s="261"/>
      <c r="T280" s="256"/>
    </row>
    <row r="281" spans="1:20" x14ac:dyDescent="0.3">
      <c r="A281" s="285"/>
      <c r="B281" s="368" t="s">
        <v>125</v>
      </c>
      <c r="C281" s="286"/>
      <c r="D281" s="480"/>
      <c r="E281" s="480"/>
      <c r="F281" s="480"/>
      <c r="G281" s="480"/>
      <c r="H281" s="480"/>
      <c r="I281" s="480"/>
      <c r="J281" s="480"/>
      <c r="K281" s="480"/>
      <c r="L281" s="480"/>
      <c r="M281" s="480"/>
      <c r="N281" s="426" t="s">
        <v>83</v>
      </c>
      <c r="O281" s="369" t="s">
        <v>84</v>
      </c>
      <c r="P281" s="426" t="s">
        <v>89</v>
      </c>
      <c r="Q281" s="369" t="s">
        <v>84</v>
      </c>
      <c r="R281" s="286"/>
      <c r="S281" s="289"/>
      <c r="T281" s="256"/>
    </row>
    <row r="282" spans="1:20" s="274" customFormat="1" x14ac:dyDescent="0.3">
      <c r="A282" s="269"/>
      <c r="B282" s="372" t="s">
        <v>72</v>
      </c>
      <c r="C282" s="290"/>
      <c r="D282" s="481"/>
      <c r="E282" s="481"/>
      <c r="F282" s="481"/>
      <c r="G282" s="481"/>
      <c r="H282" s="481"/>
      <c r="I282" s="481"/>
      <c r="J282" s="481"/>
      <c r="K282" s="481"/>
      <c r="L282" s="481"/>
      <c r="M282" s="481"/>
      <c r="N282" s="372">
        <v>0</v>
      </c>
      <c r="O282" s="464">
        <v>0</v>
      </c>
      <c r="P282" s="373">
        <v>0</v>
      </c>
      <c r="Q282" s="464">
        <v>0</v>
      </c>
      <c r="R282" s="290"/>
      <c r="S282" s="272"/>
      <c r="T282" s="273"/>
    </row>
    <row r="283" spans="1:20" s="274" customFormat="1" x14ac:dyDescent="0.3">
      <c r="A283" s="300"/>
      <c r="B283" s="360" t="s">
        <v>73</v>
      </c>
      <c r="C283" s="293"/>
      <c r="D283" s="476"/>
      <c r="E283" s="476"/>
      <c r="F283" s="476"/>
      <c r="G283" s="476"/>
      <c r="H283" s="476"/>
      <c r="I283" s="476"/>
      <c r="J283" s="476"/>
      <c r="K283" s="476"/>
      <c r="L283" s="476"/>
      <c r="M283" s="476"/>
      <c r="N283" s="360">
        <v>0</v>
      </c>
      <c r="O283" s="470">
        <v>0</v>
      </c>
      <c r="P283" s="361">
        <v>0</v>
      </c>
      <c r="Q283" s="470">
        <v>0</v>
      </c>
      <c r="R283" s="293"/>
      <c r="S283" s="296"/>
      <c r="T283" s="273"/>
    </row>
    <row r="284" spans="1:20" s="274" customFormat="1" x14ac:dyDescent="0.3">
      <c r="A284" s="300"/>
      <c r="B284" s="360" t="s">
        <v>74</v>
      </c>
      <c r="C284" s="293"/>
      <c r="D284" s="476"/>
      <c r="E284" s="476"/>
      <c r="F284" s="476"/>
      <c r="G284" s="476"/>
      <c r="H284" s="476"/>
      <c r="I284" s="476"/>
      <c r="J284" s="476"/>
      <c r="K284" s="476"/>
      <c r="L284" s="476"/>
      <c r="M284" s="476"/>
      <c r="N284" s="360">
        <v>0</v>
      </c>
      <c r="O284" s="470">
        <v>0</v>
      </c>
      <c r="P284" s="361">
        <v>0</v>
      </c>
      <c r="Q284" s="470">
        <v>0</v>
      </c>
      <c r="R284" s="293"/>
      <c r="S284" s="296"/>
      <c r="T284" s="273"/>
    </row>
    <row r="285" spans="1:20" s="274" customFormat="1" x14ac:dyDescent="0.3">
      <c r="A285" s="300"/>
      <c r="B285" s="360" t="s">
        <v>119</v>
      </c>
      <c r="C285" s="293"/>
      <c r="D285" s="476"/>
      <c r="E285" s="476"/>
      <c r="F285" s="476"/>
      <c r="G285" s="476"/>
      <c r="H285" s="476"/>
      <c r="I285" s="476"/>
      <c r="J285" s="476"/>
      <c r="K285" s="476"/>
      <c r="L285" s="476"/>
      <c r="M285" s="476"/>
      <c r="N285" s="360">
        <v>0</v>
      </c>
      <c r="O285" s="470">
        <v>0</v>
      </c>
      <c r="P285" s="361">
        <v>0</v>
      </c>
      <c r="Q285" s="470">
        <v>0</v>
      </c>
      <c r="R285" s="293"/>
      <c r="S285" s="296"/>
      <c r="T285" s="273"/>
    </row>
    <row r="286" spans="1:20" s="274" customFormat="1" x14ac:dyDescent="0.3">
      <c r="A286" s="300"/>
      <c r="B286" s="360" t="s">
        <v>120</v>
      </c>
      <c r="C286" s="293"/>
      <c r="D286" s="476"/>
      <c r="E286" s="476"/>
      <c r="F286" s="476"/>
      <c r="G286" s="476"/>
      <c r="H286" s="476"/>
      <c r="I286" s="476"/>
      <c r="J286" s="476"/>
      <c r="K286" s="476"/>
      <c r="L286" s="476"/>
      <c r="M286" s="476"/>
      <c r="N286" s="360">
        <v>0</v>
      </c>
      <c r="O286" s="470">
        <v>0</v>
      </c>
      <c r="P286" s="361">
        <v>0</v>
      </c>
      <c r="Q286" s="470">
        <v>0</v>
      </c>
      <c r="R286" s="293"/>
      <c r="S286" s="296"/>
      <c r="T286" s="273"/>
    </row>
    <row r="287" spans="1:20" s="274" customFormat="1" x14ac:dyDescent="0.3">
      <c r="A287" s="300"/>
      <c r="B287" s="360" t="s">
        <v>121</v>
      </c>
      <c r="C287" s="293"/>
      <c r="D287" s="476"/>
      <c r="E287" s="476"/>
      <c r="F287" s="476"/>
      <c r="G287" s="476"/>
      <c r="H287" s="476"/>
      <c r="I287" s="476"/>
      <c r="J287" s="476"/>
      <c r="K287" s="476"/>
      <c r="L287" s="476"/>
      <c r="M287" s="476"/>
      <c r="N287" s="360">
        <v>0</v>
      </c>
      <c r="O287" s="470">
        <v>0</v>
      </c>
      <c r="P287" s="361">
        <v>0</v>
      </c>
      <c r="Q287" s="470">
        <v>0</v>
      </c>
      <c r="R287" s="293"/>
      <c r="S287" s="296"/>
      <c r="T287" s="273"/>
    </row>
    <row r="288" spans="1:20" s="274" customFormat="1" x14ac:dyDescent="0.3">
      <c r="A288" s="300"/>
      <c r="B288" s="360" t="s">
        <v>122</v>
      </c>
      <c r="C288" s="293"/>
      <c r="D288" s="476"/>
      <c r="E288" s="476"/>
      <c r="F288" s="476"/>
      <c r="G288" s="476"/>
      <c r="H288" s="476"/>
      <c r="I288" s="476"/>
      <c r="J288" s="476"/>
      <c r="K288" s="476"/>
      <c r="L288" s="476"/>
      <c r="M288" s="476"/>
      <c r="N288" s="360">
        <v>0</v>
      </c>
      <c r="O288" s="470">
        <v>0</v>
      </c>
      <c r="P288" s="361">
        <v>0</v>
      </c>
      <c r="Q288" s="470">
        <v>0</v>
      </c>
      <c r="R288" s="293"/>
      <c r="S288" s="296"/>
      <c r="T288" s="273"/>
    </row>
    <row r="289" spans="1:20" s="274" customFormat="1" x14ac:dyDescent="0.3">
      <c r="A289" s="300"/>
      <c r="B289" s="360" t="s">
        <v>123</v>
      </c>
      <c r="C289" s="293"/>
      <c r="D289" s="476"/>
      <c r="E289" s="476"/>
      <c r="F289" s="476"/>
      <c r="G289" s="476"/>
      <c r="H289" s="476"/>
      <c r="I289" s="476"/>
      <c r="J289" s="476"/>
      <c r="K289" s="476"/>
      <c r="L289" s="476"/>
      <c r="M289" s="476"/>
      <c r="N289" s="360">
        <v>0</v>
      </c>
      <c r="O289" s="470">
        <v>0</v>
      </c>
      <c r="P289" s="361">
        <v>0</v>
      </c>
      <c r="Q289" s="470">
        <v>0</v>
      </c>
      <c r="R289" s="293"/>
      <c r="S289" s="296"/>
      <c r="T289" s="273"/>
    </row>
    <row r="290" spans="1:20" s="274" customFormat="1" x14ac:dyDescent="0.3">
      <c r="A290" s="300"/>
      <c r="B290" s="360"/>
      <c r="C290" s="293"/>
      <c r="D290" s="476"/>
      <c r="E290" s="476"/>
      <c r="F290" s="476"/>
      <c r="G290" s="476"/>
      <c r="H290" s="476"/>
      <c r="I290" s="476"/>
      <c r="J290" s="476"/>
      <c r="K290" s="476"/>
      <c r="L290" s="476"/>
      <c r="M290" s="476"/>
      <c r="N290" s="360"/>
      <c r="O290" s="470"/>
      <c r="P290" s="361"/>
      <c r="Q290" s="470"/>
      <c r="R290" s="293"/>
      <c r="S290" s="296"/>
      <c r="T290" s="273"/>
    </row>
    <row r="291" spans="1:20" s="274" customFormat="1" x14ac:dyDescent="0.3">
      <c r="A291" s="300"/>
      <c r="B291" s="293" t="s">
        <v>94</v>
      </c>
      <c r="C291" s="293"/>
      <c r="D291" s="476"/>
      <c r="E291" s="476"/>
      <c r="F291" s="476"/>
      <c r="G291" s="476"/>
      <c r="H291" s="476"/>
      <c r="I291" s="476"/>
      <c r="J291" s="476"/>
      <c r="K291" s="476"/>
      <c r="L291" s="476"/>
      <c r="M291" s="476"/>
      <c r="N291" s="360">
        <f>SUM(N282:N289)</f>
        <v>0</v>
      </c>
      <c r="O291" s="470">
        <f>SUM(O282:O289)</f>
        <v>0</v>
      </c>
      <c r="P291" s="361">
        <f>SUM(P282:P289)</f>
        <v>0</v>
      </c>
      <c r="Q291" s="470">
        <f>SUM(Q282:Q289)</f>
        <v>0</v>
      </c>
      <c r="R291" s="293"/>
      <c r="S291" s="296"/>
      <c r="T291" s="273"/>
    </row>
    <row r="292" spans="1:20" s="274" customFormat="1" x14ac:dyDescent="0.3">
      <c r="A292" s="300"/>
      <c r="B292" s="293"/>
      <c r="C292" s="293"/>
      <c r="D292" s="476"/>
      <c r="E292" s="476"/>
      <c r="F292" s="476"/>
      <c r="G292" s="476"/>
      <c r="H292" s="476"/>
      <c r="I292" s="476"/>
      <c r="J292" s="476"/>
      <c r="K292" s="476"/>
      <c r="L292" s="476"/>
      <c r="M292" s="476"/>
      <c r="N292" s="360"/>
      <c r="O292" s="470"/>
      <c r="P292" s="361"/>
      <c r="Q292" s="470"/>
      <c r="R292" s="293"/>
      <c r="S292" s="296"/>
      <c r="T292" s="273"/>
    </row>
    <row r="293" spans="1:20" s="274" customFormat="1" x14ac:dyDescent="0.3">
      <c r="A293" s="300"/>
      <c r="B293" s="297" t="s">
        <v>176</v>
      </c>
      <c r="C293" s="293"/>
      <c r="D293" s="476"/>
      <c r="E293" s="476"/>
      <c r="F293" s="476"/>
      <c r="G293" s="476"/>
      <c r="H293" s="476"/>
      <c r="I293" s="476"/>
      <c r="J293" s="476"/>
      <c r="K293" s="476"/>
      <c r="L293" s="476"/>
      <c r="M293" s="476"/>
      <c r="N293" s="482">
        <f>N291+N279+N267</f>
        <v>633</v>
      </c>
      <c r="O293" s="470"/>
      <c r="P293" s="483">
        <f>+P291+P279+P267</f>
        <v>101859</v>
      </c>
      <c r="Q293" s="470"/>
      <c r="R293" s="293"/>
      <c r="S293" s="296"/>
      <c r="T293" s="273"/>
    </row>
    <row r="294" spans="1:20" s="274" customFormat="1" x14ac:dyDescent="0.3">
      <c r="A294" s="300"/>
      <c r="B294" s="297" t="s">
        <v>216</v>
      </c>
      <c r="C294" s="297"/>
      <c r="D294" s="484"/>
      <c r="E294" s="484"/>
      <c r="F294" s="484"/>
      <c r="G294" s="484"/>
      <c r="H294" s="484"/>
      <c r="I294" s="484"/>
      <c r="J294" s="484"/>
      <c r="K294" s="484"/>
      <c r="L294" s="484"/>
      <c r="M294" s="484"/>
      <c r="N294" s="482"/>
      <c r="O294" s="485"/>
      <c r="P294" s="483">
        <f>+R180</f>
        <v>0</v>
      </c>
      <c r="Q294" s="470"/>
      <c r="R294" s="293"/>
      <c r="S294" s="296"/>
      <c r="T294" s="273"/>
    </row>
    <row r="295" spans="1:20" s="274" customFormat="1" x14ac:dyDescent="0.3">
      <c r="A295" s="300"/>
      <c r="B295" s="297" t="s">
        <v>126</v>
      </c>
      <c r="C295" s="297"/>
      <c r="D295" s="484"/>
      <c r="E295" s="484"/>
      <c r="F295" s="484"/>
      <c r="G295" s="484"/>
      <c r="H295" s="484"/>
      <c r="I295" s="484"/>
      <c r="J295" s="484"/>
      <c r="K295" s="484"/>
      <c r="L295" s="484"/>
      <c r="M295" s="484"/>
      <c r="N295" s="482"/>
      <c r="O295" s="485"/>
      <c r="P295" s="483">
        <f>+P293+P294</f>
        <v>101859</v>
      </c>
      <c r="Q295" s="470"/>
      <c r="R295" s="293"/>
      <c r="S295" s="296"/>
      <c r="T295" s="273"/>
    </row>
    <row r="296" spans="1:20" s="274" customFormat="1" x14ac:dyDescent="0.3">
      <c r="A296" s="300"/>
      <c r="B296" s="297" t="s">
        <v>175</v>
      </c>
      <c r="C296" s="293"/>
      <c r="D296" s="476"/>
      <c r="E296" s="476"/>
      <c r="F296" s="476"/>
      <c r="G296" s="476"/>
      <c r="H296" s="476"/>
      <c r="I296" s="476"/>
      <c r="J296" s="476"/>
      <c r="K296" s="476"/>
      <c r="L296" s="476"/>
      <c r="M296" s="476"/>
      <c r="N296" s="482"/>
      <c r="O296" s="470"/>
      <c r="P296" s="483">
        <f>+R80</f>
        <v>101859</v>
      </c>
      <c r="Q296" s="470"/>
      <c r="R296" s="293"/>
      <c r="S296" s="296"/>
      <c r="T296" s="273"/>
    </row>
    <row r="297" spans="1:20" s="274" customFormat="1" x14ac:dyDescent="0.3">
      <c r="A297" s="300"/>
      <c r="B297" s="297"/>
      <c r="C297" s="293"/>
      <c r="D297" s="476"/>
      <c r="E297" s="476"/>
      <c r="F297" s="476"/>
      <c r="G297" s="476"/>
      <c r="H297" s="476"/>
      <c r="I297" s="476"/>
      <c r="J297" s="476"/>
      <c r="K297" s="476"/>
      <c r="L297" s="476"/>
      <c r="M297" s="476"/>
      <c r="N297" s="482"/>
      <c r="O297" s="470"/>
      <c r="P297" s="483"/>
      <c r="Q297" s="470"/>
      <c r="R297" s="293"/>
      <c r="S297" s="296"/>
      <c r="T297" s="273"/>
    </row>
    <row r="298" spans="1:20" s="274" customFormat="1" x14ac:dyDescent="0.3">
      <c r="A298" s="300"/>
      <c r="B298" s="297" t="s">
        <v>201</v>
      </c>
      <c r="C298" s="293"/>
      <c r="D298" s="476"/>
      <c r="E298" s="476"/>
      <c r="F298" s="476"/>
      <c r="G298" s="476"/>
      <c r="H298" s="476"/>
      <c r="I298" s="476"/>
      <c r="J298" s="476"/>
      <c r="K298" s="476"/>
      <c r="L298" s="476"/>
      <c r="M298" s="476"/>
      <c r="N298" s="482"/>
      <c r="O298" s="470"/>
      <c r="P298" s="486">
        <f>(L33+R147)/R33</f>
        <v>0.17186525882474829</v>
      </c>
      <c r="Q298" s="470"/>
      <c r="R298" s="293"/>
      <c r="S298" s="296"/>
      <c r="T298" s="273"/>
    </row>
    <row r="299" spans="1:20" s="274" customFormat="1" x14ac:dyDescent="0.3">
      <c r="A299" s="269"/>
      <c r="B299" s="271"/>
      <c r="C299" s="271"/>
      <c r="D299" s="487"/>
      <c r="E299" s="487"/>
      <c r="F299" s="487"/>
      <c r="G299" s="487"/>
      <c r="H299" s="487"/>
      <c r="I299" s="487"/>
      <c r="J299" s="487"/>
      <c r="K299" s="487"/>
      <c r="L299" s="487"/>
      <c r="M299" s="487"/>
      <c r="N299" s="487"/>
      <c r="O299" s="487"/>
      <c r="P299" s="488"/>
      <c r="Q299" s="487"/>
      <c r="R299" s="271"/>
      <c r="S299" s="272"/>
      <c r="T299" s="273"/>
    </row>
    <row r="300" spans="1:20" s="274" customFormat="1" x14ac:dyDescent="0.3">
      <c r="A300" s="269"/>
      <c r="B300" s="270" t="s">
        <v>75</v>
      </c>
      <c r="C300" s="271"/>
      <c r="D300" s="489" t="s">
        <v>79</v>
      </c>
      <c r="E300" s="270"/>
      <c r="F300" s="270" t="s">
        <v>80</v>
      </c>
      <c r="G300" s="271"/>
      <c r="H300" s="270"/>
      <c r="I300" s="271"/>
      <c r="J300" s="271"/>
      <c r="K300" s="271"/>
      <c r="L300" s="271"/>
      <c r="M300" s="271"/>
      <c r="N300" s="271"/>
      <c r="O300" s="271"/>
      <c r="P300" s="271"/>
      <c r="Q300" s="271"/>
      <c r="R300" s="271"/>
      <c r="S300" s="272"/>
      <c r="T300" s="273"/>
    </row>
    <row r="301" spans="1:20" s="274" customFormat="1" x14ac:dyDescent="0.3">
      <c r="A301" s="269"/>
      <c r="B301" s="271"/>
      <c r="C301" s="271"/>
      <c r="D301" s="271"/>
      <c r="E301" s="271"/>
      <c r="F301" s="271"/>
      <c r="G301" s="271"/>
      <c r="H301" s="271"/>
      <c r="I301" s="271"/>
      <c r="J301" s="271"/>
      <c r="K301" s="271"/>
      <c r="L301" s="271"/>
      <c r="M301" s="271"/>
      <c r="N301" s="271"/>
      <c r="O301" s="271"/>
      <c r="P301" s="271"/>
      <c r="Q301" s="271"/>
      <c r="R301" s="271"/>
      <c r="S301" s="272"/>
      <c r="T301" s="273"/>
    </row>
    <row r="302" spans="1:20" s="274" customFormat="1" x14ac:dyDescent="0.3">
      <c r="A302" s="269"/>
      <c r="B302" s="270" t="s">
        <v>192</v>
      </c>
      <c r="C302" s="270"/>
      <c r="D302" s="490" t="s">
        <v>147</v>
      </c>
      <c r="E302" s="270"/>
      <c r="F302" s="270" t="s">
        <v>286</v>
      </c>
      <c r="G302" s="270"/>
      <c r="H302" s="270"/>
      <c r="I302" s="271"/>
      <c r="J302" s="271"/>
      <c r="K302" s="271"/>
      <c r="L302" s="271"/>
      <c r="M302" s="271"/>
      <c r="N302" s="271"/>
      <c r="O302" s="271"/>
      <c r="P302" s="271"/>
      <c r="Q302" s="271"/>
      <c r="R302" s="271"/>
      <c r="S302" s="272"/>
      <c r="T302" s="273"/>
    </row>
    <row r="303" spans="1:20" s="274" customFormat="1" x14ac:dyDescent="0.3">
      <c r="A303" s="269"/>
      <c r="B303" s="270" t="s">
        <v>193</v>
      </c>
      <c r="C303" s="270"/>
      <c r="D303" s="490" t="s">
        <v>114</v>
      </c>
      <c r="E303" s="270"/>
      <c r="F303" s="270" t="s">
        <v>287</v>
      </c>
      <c r="G303" s="270"/>
      <c r="H303" s="270"/>
      <c r="I303" s="271"/>
      <c r="J303" s="271"/>
      <c r="K303" s="271"/>
      <c r="L303" s="271"/>
      <c r="M303" s="271"/>
      <c r="N303" s="271"/>
      <c r="O303" s="271"/>
      <c r="P303" s="271"/>
      <c r="Q303" s="271"/>
      <c r="R303" s="271"/>
      <c r="S303" s="272"/>
      <c r="T303" s="273"/>
    </row>
    <row r="304" spans="1:20" x14ac:dyDescent="0.3">
      <c r="A304" s="491"/>
      <c r="B304" s="492"/>
      <c r="C304" s="492"/>
      <c r="D304" s="493"/>
      <c r="E304" s="493"/>
      <c r="F304" s="493"/>
      <c r="G304" s="493"/>
      <c r="H304" s="493"/>
      <c r="I304" s="493"/>
      <c r="J304" s="493"/>
      <c r="K304" s="493"/>
      <c r="L304" s="493"/>
      <c r="M304" s="493"/>
      <c r="N304" s="493"/>
      <c r="O304" s="493"/>
      <c r="P304" s="493"/>
      <c r="Q304" s="493"/>
      <c r="R304" s="493"/>
      <c r="S304" s="494"/>
      <c r="T304" s="256"/>
    </row>
    <row r="305" spans="1:20" x14ac:dyDescent="0.3">
      <c r="A305" s="491"/>
      <c r="B305" s="492"/>
      <c r="C305" s="492"/>
      <c r="D305" s="493"/>
      <c r="E305" s="493"/>
      <c r="F305" s="493"/>
      <c r="G305" s="493"/>
      <c r="H305" s="493"/>
      <c r="I305" s="493"/>
      <c r="J305" s="493"/>
      <c r="K305" s="493"/>
      <c r="L305" s="493"/>
      <c r="M305" s="493"/>
      <c r="N305" s="493"/>
      <c r="O305" s="493"/>
      <c r="P305" s="493"/>
      <c r="Q305" s="493"/>
      <c r="R305" s="493"/>
      <c r="S305" s="494"/>
      <c r="T305" s="256"/>
    </row>
    <row r="306" spans="1:20" ht="18.600000000000001" thickBot="1" x14ac:dyDescent="0.4">
      <c r="A306" s="491"/>
      <c r="B306" s="495" t="str">
        <f>B205</f>
        <v>PM24 INVESTOR REPORT QUARTER ENDING MARCH 2018</v>
      </c>
      <c r="C306" s="492"/>
      <c r="D306" s="493"/>
      <c r="E306" s="493"/>
      <c r="F306" s="493"/>
      <c r="G306" s="493"/>
      <c r="H306" s="493"/>
      <c r="I306" s="493"/>
      <c r="J306" s="493"/>
      <c r="K306" s="493"/>
      <c r="L306" s="493"/>
      <c r="M306" s="493"/>
      <c r="N306" s="493"/>
      <c r="O306" s="493"/>
      <c r="P306" s="493"/>
      <c r="Q306" s="493"/>
      <c r="R306" s="493"/>
      <c r="S306" s="496"/>
      <c r="T306" s="256"/>
    </row>
    <row r="307" spans="1:20" x14ac:dyDescent="0.3">
      <c r="A307" s="497"/>
      <c r="B307" s="497"/>
      <c r="C307" s="497"/>
      <c r="D307" s="497"/>
      <c r="E307" s="497"/>
      <c r="F307" s="497"/>
      <c r="G307" s="497"/>
      <c r="H307" s="497"/>
      <c r="I307" s="497"/>
      <c r="J307" s="497"/>
      <c r="K307" s="497"/>
      <c r="L307" s="497"/>
      <c r="M307" s="497"/>
      <c r="N307" s="497"/>
      <c r="O307" s="497"/>
      <c r="P307" s="497"/>
      <c r="Q307" s="497"/>
      <c r="R307" s="497"/>
      <c r="S307" s="497"/>
    </row>
  </sheetData>
  <hyperlinks>
    <hyperlink ref="N243" r:id="rId1" display="http://www.paragon-group.co.uk" xr:uid="{00000000-0004-0000-0800-000000000000}"/>
    <hyperlink ref="K9" r:id="rId2" display="http://www.paragon-group.co.uk" xr:uid="{00000000-0004-0000-0800-000001000000}"/>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60" max="18" man="1"/>
    <brk id="132" max="18" man="1"/>
    <brk id="205"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85</vt:i4>
      </vt:variant>
    </vt:vector>
  </HeadingPairs>
  <TitlesOfParts>
    <vt:vector size="102" baseType="lpstr">
      <vt:lpstr>March 16</vt:lpstr>
      <vt:lpstr>June 16</vt:lpstr>
      <vt:lpstr>Sept 16</vt:lpstr>
      <vt:lpstr>Dec 16</vt:lpstr>
      <vt:lpstr>March 17</vt:lpstr>
      <vt:lpstr>June 17</vt:lpstr>
      <vt:lpstr>Sept 17</vt:lpstr>
      <vt:lpstr>Dec 17</vt:lpstr>
      <vt:lpstr>March 18</vt:lpstr>
      <vt:lpstr>June 18</vt:lpstr>
      <vt:lpstr>Sept 18</vt:lpstr>
      <vt:lpstr>Dec 18</vt:lpstr>
      <vt:lpstr>March 19</vt:lpstr>
      <vt:lpstr>June 19</vt:lpstr>
      <vt:lpstr>Sept 19</vt:lpstr>
      <vt:lpstr>Dec 19</vt:lpstr>
      <vt:lpstr>Mar 20</vt:lpstr>
      <vt:lpstr>'Dec 16'!_1PAGE_1</vt:lpstr>
      <vt:lpstr>'Dec 17'!_1PAGE_1</vt:lpstr>
      <vt:lpstr>'Dec 18'!_1PAGE_1</vt:lpstr>
      <vt:lpstr>'Dec 19'!_1PAGE_1</vt:lpstr>
      <vt:lpstr>'June 16'!_1PAGE_1</vt:lpstr>
      <vt:lpstr>'June 17'!_1PAGE_1</vt:lpstr>
      <vt:lpstr>'June 18'!_1PAGE_1</vt:lpstr>
      <vt:lpstr>'June 19'!_1PAGE_1</vt:lpstr>
      <vt:lpstr>'Mar 20'!_1PAGE_1</vt:lpstr>
      <vt:lpstr>'March 16'!_1PAGE_1</vt:lpstr>
      <vt:lpstr>'March 17'!_1PAGE_1</vt:lpstr>
      <vt:lpstr>'March 18'!_1PAGE_1</vt:lpstr>
      <vt:lpstr>'March 19'!_1PAGE_1</vt:lpstr>
      <vt:lpstr>'Sept 16'!_1PAGE_1</vt:lpstr>
      <vt:lpstr>'Sept 17'!_1PAGE_1</vt:lpstr>
      <vt:lpstr>'Sept 18'!_1PAGE_1</vt:lpstr>
      <vt:lpstr>'Sept 19'!_1PAGE_1</vt:lpstr>
      <vt:lpstr>'Dec 16'!_3PAGE_2</vt:lpstr>
      <vt:lpstr>'Dec 17'!_3PAGE_2</vt:lpstr>
      <vt:lpstr>'Dec 18'!_3PAGE_2</vt:lpstr>
      <vt:lpstr>'Dec 19'!_3PAGE_2</vt:lpstr>
      <vt:lpstr>'June 16'!_3PAGE_2</vt:lpstr>
      <vt:lpstr>'June 17'!_3PAGE_2</vt:lpstr>
      <vt:lpstr>'June 18'!_3PAGE_2</vt:lpstr>
      <vt:lpstr>'June 19'!_3PAGE_2</vt:lpstr>
      <vt:lpstr>'Mar 20'!_3PAGE_2</vt:lpstr>
      <vt:lpstr>'March 16'!_3PAGE_2</vt:lpstr>
      <vt:lpstr>'March 17'!_3PAGE_2</vt:lpstr>
      <vt:lpstr>'March 18'!_3PAGE_2</vt:lpstr>
      <vt:lpstr>'March 19'!_3PAGE_2</vt:lpstr>
      <vt:lpstr>'Sept 16'!_3PAGE_2</vt:lpstr>
      <vt:lpstr>'Sept 17'!_3PAGE_2</vt:lpstr>
      <vt:lpstr>'Sept 18'!_3PAGE_2</vt:lpstr>
      <vt:lpstr>'Sept 19'!_3PAGE_2</vt:lpstr>
      <vt:lpstr>'Dec 16'!_5PAGE_3</vt:lpstr>
      <vt:lpstr>'Dec 17'!_5PAGE_3</vt:lpstr>
      <vt:lpstr>'Dec 18'!_5PAGE_3</vt:lpstr>
      <vt:lpstr>'Dec 19'!_5PAGE_3</vt:lpstr>
      <vt:lpstr>'June 16'!_5PAGE_3</vt:lpstr>
      <vt:lpstr>'June 17'!_5PAGE_3</vt:lpstr>
      <vt:lpstr>'June 18'!_5PAGE_3</vt:lpstr>
      <vt:lpstr>'June 19'!_5PAGE_3</vt:lpstr>
      <vt:lpstr>'Mar 20'!_5PAGE_3</vt:lpstr>
      <vt:lpstr>'March 16'!_5PAGE_3</vt:lpstr>
      <vt:lpstr>'March 17'!_5PAGE_3</vt:lpstr>
      <vt:lpstr>'March 18'!_5PAGE_3</vt:lpstr>
      <vt:lpstr>'March 19'!_5PAGE_3</vt:lpstr>
      <vt:lpstr>'Sept 16'!_5PAGE_3</vt:lpstr>
      <vt:lpstr>'Sept 17'!_5PAGE_3</vt:lpstr>
      <vt:lpstr>'Sept 18'!_5PAGE_3</vt:lpstr>
      <vt:lpstr>'Sept 19'!_5PAGE_3</vt:lpstr>
      <vt:lpstr>'Dec 16'!_7PAGE_4</vt:lpstr>
      <vt:lpstr>'Dec 17'!_7PAGE_4</vt:lpstr>
      <vt:lpstr>'Dec 18'!_7PAGE_4</vt:lpstr>
      <vt:lpstr>'Dec 19'!_7PAGE_4</vt:lpstr>
      <vt:lpstr>'June 16'!_7PAGE_4</vt:lpstr>
      <vt:lpstr>'June 17'!_7PAGE_4</vt:lpstr>
      <vt:lpstr>'June 18'!_7PAGE_4</vt:lpstr>
      <vt:lpstr>'June 19'!_7PAGE_4</vt:lpstr>
      <vt:lpstr>'Mar 20'!_7PAGE_4</vt:lpstr>
      <vt:lpstr>'March 16'!_7PAGE_4</vt:lpstr>
      <vt:lpstr>'March 17'!_7PAGE_4</vt:lpstr>
      <vt:lpstr>'March 18'!_7PAGE_4</vt:lpstr>
      <vt:lpstr>'March 19'!_7PAGE_4</vt:lpstr>
      <vt:lpstr>'Sept 16'!_7PAGE_4</vt:lpstr>
      <vt:lpstr>'Sept 17'!_7PAGE_4</vt:lpstr>
      <vt:lpstr>'Sept 18'!_7PAGE_4</vt:lpstr>
      <vt:lpstr>'Sept 19'!_7PAGE_4</vt:lpstr>
      <vt:lpstr>'Dec 16'!Print_Area</vt:lpstr>
      <vt:lpstr>'Dec 17'!Print_Area</vt:lpstr>
      <vt:lpstr>'Dec 18'!Print_Area</vt:lpstr>
      <vt:lpstr>'Dec 19'!Print_Area</vt:lpstr>
      <vt:lpstr>'June 16'!Print_Area</vt:lpstr>
      <vt:lpstr>'June 17'!Print_Area</vt:lpstr>
      <vt:lpstr>'June 18'!Print_Area</vt:lpstr>
      <vt:lpstr>'June 19'!Print_Area</vt:lpstr>
      <vt:lpstr>'Mar 20'!Print_Area</vt:lpstr>
      <vt:lpstr>'March 16'!Print_Area</vt:lpstr>
      <vt:lpstr>'March 17'!Print_Area</vt:lpstr>
      <vt:lpstr>'March 18'!Print_Area</vt:lpstr>
      <vt:lpstr>'March 19'!Print_Area</vt:lpstr>
      <vt:lpstr>'Sept 16'!Print_Area</vt:lpstr>
      <vt:lpstr>'Sept 17'!Print_Area</vt:lpstr>
      <vt:lpstr>'Sept 18'!Print_Area</vt:lpstr>
      <vt:lpstr>'Sept 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2019-10-08T08:36:24Z</cp:lastPrinted>
  <dcterms:created xsi:type="dcterms:W3CDTF">2003-11-18T07:58:35Z</dcterms:created>
  <dcterms:modified xsi:type="dcterms:W3CDTF">2020-04-17T14:41:27Z</dcterms:modified>
</cp:coreProperties>
</file>