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N:\JPG\Investor Reporting\Paragon Finance\PM23\"/>
    </mc:Choice>
  </mc:AlternateContent>
  <xr:revisionPtr revIDLastSave="0" documentId="13_ncr:1_{8D7D1292-47F8-495C-AF99-04A4B2E23FE0}" xr6:coauthVersionLast="41" xr6:coauthVersionMax="41" xr10:uidLastSave="{00000000-0000-0000-0000-000000000000}"/>
  <bookViews>
    <workbookView xWindow="20052" yWindow="-108" windowWidth="20376" windowHeight="12216" firstSheet="8" activeTab="16" xr2:uid="{00000000-000D-0000-FFFF-FFFF00000000}"/>
  </bookViews>
  <sheets>
    <sheet name="Sept 15" sheetId="11" r:id="rId1"/>
    <sheet name="Dec 15" sheetId="12" r:id="rId2"/>
    <sheet name="March 16" sheetId="13" r:id="rId3"/>
    <sheet name="June 16" sheetId="14" r:id="rId4"/>
    <sheet name="Sept 16" sheetId="15" r:id="rId5"/>
    <sheet name="Dec 16" sheetId="16" r:id="rId6"/>
    <sheet name="March 17" sheetId="17" r:id="rId7"/>
    <sheet name="June 17" sheetId="18" r:id="rId8"/>
    <sheet name="Sept 17" sheetId="19" r:id="rId9"/>
    <sheet name="Dec 17" sheetId="20" r:id="rId10"/>
    <sheet name="March 18" sheetId="21" r:id="rId11"/>
    <sheet name="June 18" sheetId="22" r:id="rId12"/>
    <sheet name="Sept 18" sheetId="23" r:id="rId13"/>
    <sheet name="Dec 18" sheetId="24" r:id="rId14"/>
    <sheet name="March 19" sheetId="25" r:id="rId15"/>
    <sheet name="June 19" sheetId="26" r:id="rId16"/>
    <sheet name="Sept 19" sheetId="27" r:id="rId17"/>
  </sheets>
  <definedNames>
    <definedName name="_1PAGE_1" localSheetId="1">'Dec 15'!$A$1:$S$60</definedName>
    <definedName name="_1PAGE_1" localSheetId="5">'Dec 16'!$A$1:$S$60</definedName>
    <definedName name="_1PAGE_1" localSheetId="9">'Dec 17'!$A$1:$S$60</definedName>
    <definedName name="_1PAGE_1" localSheetId="13">'Dec 18'!$A$1:$S$60</definedName>
    <definedName name="_1PAGE_1" localSheetId="3">'June 16'!$A$1:$S$60</definedName>
    <definedName name="_1PAGE_1" localSheetId="7">'June 17'!$A$1:$S$60</definedName>
    <definedName name="_1PAGE_1" localSheetId="11">'June 18'!$A$1:$S$60</definedName>
    <definedName name="_1PAGE_1" localSheetId="15">'June 19'!$A$1:$S$60</definedName>
    <definedName name="_1PAGE_1" localSheetId="2">'March 16'!$A$1:$S$60</definedName>
    <definedName name="_1PAGE_1" localSheetId="6">'March 17'!$A$1:$S$60</definedName>
    <definedName name="_1PAGE_1" localSheetId="10">'March 18'!$A$1:$S$60</definedName>
    <definedName name="_1PAGE_1" localSheetId="14">'March 19'!$A$1:$S$60</definedName>
    <definedName name="_1PAGE_1" localSheetId="0">'Sept 15'!$A$1:$S$60</definedName>
    <definedName name="_1PAGE_1" localSheetId="4">'Sept 16'!$A$1:$S$60</definedName>
    <definedName name="_1PAGE_1" localSheetId="8">'Sept 17'!$A$1:$S$60</definedName>
    <definedName name="_1PAGE_1" localSheetId="12">'Sept 18'!$A$1:$S$60</definedName>
    <definedName name="_1PAGE_1" localSheetId="16">'Sept 19'!$A$1:$S$60</definedName>
    <definedName name="_2PAGE_1" localSheetId="1">#REF!</definedName>
    <definedName name="_2PAGE_1" localSheetId="5">#REF!</definedName>
    <definedName name="_2PAGE_1" localSheetId="9">#REF!</definedName>
    <definedName name="_2PAGE_1" localSheetId="13">#REF!</definedName>
    <definedName name="_2PAGE_1" localSheetId="3">#REF!</definedName>
    <definedName name="_2PAGE_1" localSheetId="7">#REF!</definedName>
    <definedName name="_2PAGE_1" localSheetId="11">#REF!</definedName>
    <definedName name="_2PAGE_1" localSheetId="15">#REF!</definedName>
    <definedName name="_2PAGE_1" localSheetId="2">#REF!</definedName>
    <definedName name="_2PAGE_1" localSheetId="6">#REF!</definedName>
    <definedName name="_2PAGE_1" localSheetId="10">#REF!</definedName>
    <definedName name="_2PAGE_1" localSheetId="14">#REF!</definedName>
    <definedName name="_2PAGE_1" localSheetId="4">#REF!</definedName>
    <definedName name="_2PAGE_1" localSheetId="8">#REF!</definedName>
    <definedName name="_2PAGE_1" localSheetId="12">#REF!</definedName>
    <definedName name="_2PAGE_1" localSheetId="16">#REF!</definedName>
    <definedName name="_2PAGE_1">#REF!</definedName>
    <definedName name="_3PAGE_2" localSheetId="1">'Dec 15'!$A$61:$S$132</definedName>
    <definedName name="_3PAGE_2" localSheetId="5">'Dec 16'!$A$61:$S$132</definedName>
    <definedName name="_3PAGE_2" localSheetId="9">'Dec 17'!$A$61:$S$132</definedName>
    <definedName name="_3PAGE_2" localSheetId="13">'Dec 18'!$A$61:$S$132</definedName>
    <definedName name="_3PAGE_2" localSheetId="3">'June 16'!$A$61:$S$132</definedName>
    <definedName name="_3PAGE_2" localSheetId="7">'June 17'!$A$61:$S$132</definedName>
    <definedName name="_3PAGE_2" localSheetId="11">'June 18'!$A$61:$S$132</definedName>
    <definedName name="_3PAGE_2" localSheetId="15">'June 19'!$A$61:$S$132</definedName>
    <definedName name="_3PAGE_2" localSheetId="2">'March 16'!$A$61:$S$132</definedName>
    <definedName name="_3PAGE_2" localSheetId="6">'March 17'!$A$61:$S$132</definedName>
    <definedName name="_3PAGE_2" localSheetId="10">'March 18'!$A$61:$S$132</definedName>
    <definedName name="_3PAGE_2" localSheetId="14">'March 19'!$A$61:$S$132</definedName>
    <definedName name="_3PAGE_2" localSheetId="0">'Sept 15'!$A$61:$S$134</definedName>
    <definedName name="_3PAGE_2" localSheetId="4">'Sept 16'!$A$61:$S$132</definedName>
    <definedName name="_3PAGE_2" localSheetId="8">'Sept 17'!$A$61:$S$132</definedName>
    <definedName name="_3PAGE_2" localSheetId="12">'Sept 18'!$A$61:$S$132</definedName>
    <definedName name="_3PAGE_2" localSheetId="16">'Sept 19'!$A$61:$S$136</definedName>
    <definedName name="_4PAGE_2" localSheetId="1">#REF!</definedName>
    <definedName name="_4PAGE_2" localSheetId="5">#REF!</definedName>
    <definedName name="_4PAGE_2" localSheetId="9">#REF!</definedName>
    <definedName name="_4PAGE_2" localSheetId="13">#REF!</definedName>
    <definedName name="_4PAGE_2" localSheetId="3">#REF!</definedName>
    <definedName name="_4PAGE_2" localSheetId="7">#REF!</definedName>
    <definedName name="_4PAGE_2" localSheetId="11">#REF!</definedName>
    <definedName name="_4PAGE_2" localSheetId="15">#REF!</definedName>
    <definedName name="_4PAGE_2" localSheetId="2">#REF!</definedName>
    <definedName name="_4PAGE_2" localSheetId="6">#REF!</definedName>
    <definedName name="_4PAGE_2" localSheetId="10">#REF!</definedName>
    <definedName name="_4PAGE_2" localSheetId="14">#REF!</definedName>
    <definedName name="_4PAGE_2" localSheetId="4">#REF!</definedName>
    <definedName name="_4PAGE_2" localSheetId="8">#REF!</definedName>
    <definedName name="_4PAGE_2" localSheetId="12">#REF!</definedName>
    <definedName name="_4PAGE_2" localSheetId="16">#REF!</definedName>
    <definedName name="_4PAGE_2">#REF!</definedName>
    <definedName name="_5PAGE_3" localSheetId="1">'Dec 15'!$A$133:$S$205</definedName>
    <definedName name="_5PAGE_3" localSheetId="5">'Dec 16'!$A$133:$S$205</definedName>
    <definedName name="_5PAGE_3" localSheetId="9">'Dec 17'!$A$133:$S$205</definedName>
    <definedName name="_5PAGE_3" localSheetId="13">'Dec 18'!$A$133:$S$205</definedName>
    <definedName name="_5PAGE_3" localSheetId="3">'June 16'!$A$133:$S$205</definedName>
    <definedName name="_5PAGE_3" localSheetId="7">'June 17'!$A$133:$S$205</definedName>
    <definedName name="_5PAGE_3" localSheetId="11">'June 18'!$A$133:$S$205</definedName>
    <definedName name="_5PAGE_3" localSheetId="15">'June 19'!$A$133:$S$205</definedName>
    <definedName name="_5PAGE_3" localSheetId="2">'March 16'!$A$133:$S$205</definedName>
    <definedName name="_5PAGE_3" localSheetId="6">'March 17'!$A$133:$S$205</definedName>
    <definedName name="_5PAGE_3" localSheetId="10">'March 18'!$A$133:$S$205</definedName>
    <definedName name="_5PAGE_3" localSheetId="14">'March 19'!$A$133:$S$205</definedName>
    <definedName name="_5PAGE_3" localSheetId="0">'Sept 15'!$A$135:$S$207</definedName>
    <definedName name="_5PAGE_3" localSheetId="4">'Sept 16'!$A$133:$S$205</definedName>
    <definedName name="_5PAGE_3" localSheetId="8">'Sept 17'!$A$133:$S$205</definedName>
    <definedName name="_5PAGE_3" localSheetId="12">'Sept 18'!$A$133:$S$205</definedName>
    <definedName name="_5PAGE_3" localSheetId="16">'Sept 19'!$A$137:$S$210</definedName>
    <definedName name="_6PAGE_3" localSheetId="1">#REF!</definedName>
    <definedName name="_6PAGE_3" localSheetId="5">#REF!</definedName>
    <definedName name="_6PAGE_3" localSheetId="9">#REF!</definedName>
    <definedName name="_6PAGE_3" localSheetId="13">#REF!</definedName>
    <definedName name="_6PAGE_3" localSheetId="3">#REF!</definedName>
    <definedName name="_6PAGE_3" localSheetId="7">#REF!</definedName>
    <definedName name="_6PAGE_3" localSheetId="11">#REF!</definedName>
    <definedName name="_6PAGE_3" localSheetId="15">#REF!</definedName>
    <definedName name="_6PAGE_3" localSheetId="2">#REF!</definedName>
    <definedName name="_6PAGE_3" localSheetId="6">#REF!</definedName>
    <definedName name="_6PAGE_3" localSheetId="10">#REF!</definedName>
    <definedName name="_6PAGE_3" localSheetId="14">#REF!</definedName>
    <definedName name="_6PAGE_3" localSheetId="4">#REF!</definedName>
    <definedName name="_6PAGE_3" localSheetId="8">#REF!</definedName>
    <definedName name="_6PAGE_3" localSheetId="12">#REF!</definedName>
    <definedName name="_6PAGE_3" localSheetId="16">#REF!</definedName>
    <definedName name="_6PAGE_3">#REF!</definedName>
    <definedName name="_7PAGE_4" localSheetId="1">'Dec 15'!$A$206:$S$307</definedName>
    <definedName name="_7PAGE_4" localSheetId="5">'Dec 16'!$A$206:$S$307</definedName>
    <definedName name="_7PAGE_4" localSheetId="9">'Dec 17'!$A$206:$S$306</definedName>
    <definedName name="_7PAGE_4" localSheetId="13">'Dec 18'!$A$206:$S$306</definedName>
    <definedName name="_7PAGE_4" localSheetId="3">'June 16'!$A$206:$S$307</definedName>
    <definedName name="_7PAGE_4" localSheetId="7">'June 17'!$A$206:$S$306</definedName>
    <definedName name="_7PAGE_4" localSheetId="11">'June 18'!$A$206:$S$306</definedName>
    <definedName name="_7PAGE_4" localSheetId="15">'June 19'!$A$206:$S$306</definedName>
    <definedName name="_7PAGE_4" localSheetId="2">'March 16'!$A$206:$S$307</definedName>
    <definedName name="_7PAGE_4" localSheetId="6">'March 17'!$A$206:$S$306</definedName>
    <definedName name="_7PAGE_4" localSheetId="10">'March 18'!$A$206:$S$306</definedName>
    <definedName name="_7PAGE_4" localSheetId="14">'March 19'!$A$206:$S$306</definedName>
    <definedName name="_7PAGE_4" localSheetId="0">'Sept 15'!$A$208:$S$309</definedName>
    <definedName name="_7PAGE_4" localSheetId="4">'Sept 16'!$A$206:$S$307</definedName>
    <definedName name="_7PAGE_4" localSheetId="8">'Sept 17'!$A$206:$S$306</definedName>
    <definedName name="_7PAGE_4" localSheetId="12">'Sept 18'!$A$206:$S$306</definedName>
    <definedName name="_7PAGE_4" localSheetId="16">'Sept 19'!$A$211:$S$311</definedName>
    <definedName name="_8PAGE_4" localSheetId="1">#REF!</definedName>
    <definedName name="_8PAGE_4" localSheetId="5">#REF!</definedName>
    <definedName name="_8PAGE_4" localSheetId="9">#REF!</definedName>
    <definedName name="_8PAGE_4" localSheetId="13">#REF!</definedName>
    <definedName name="_8PAGE_4" localSheetId="3">#REF!</definedName>
    <definedName name="_8PAGE_4" localSheetId="7">#REF!</definedName>
    <definedName name="_8PAGE_4" localSheetId="11">#REF!</definedName>
    <definedName name="_8PAGE_4" localSheetId="15">#REF!</definedName>
    <definedName name="_8PAGE_4" localSheetId="2">#REF!</definedName>
    <definedName name="_8PAGE_4" localSheetId="6">#REF!</definedName>
    <definedName name="_8PAGE_4" localSheetId="10">#REF!</definedName>
    <definedName name="_8PAGE_4" localSheetId="14">#REF!</definedName>
    <definedName name="_8PAGE_4" localSheetId="4">#REF!</definedName>
    <definedName name="_8PAGE_4" localSheetId="8">#REF!</definedName>
    <definedName name="_8PAGE_4" localSheetId="12">#REF!</definedName>
    <definedName name="_8PAGE_4" localSheetId="16">#REF!</definedName>
    <definedName name="_8PAGE_4">#REF!</definedName>
    <definedName name="_xlnm.Print_Area" localSheetId="1">'Dec 15'!$A$1:$S$308</definedName>
    <definedName name="_xlnm.Print_Area" localSheetId="5">'Dec 16'!$A$1:$S$308</definedName>
    <definedName name="_xlnm.Print_Area" localSheetId="9">'Dec 17'!$A$1:$S$307</definedName>
    <definedName name="_xlnm.Print_Area" localSheetId="13">'Dec 18'!$A$1:$S$307</definedName>
    <definedName name="_xlnm.Print_Area" localSheetId="3">'June 16'!$A$1:$S$308</definedName>
    <definedName name="_xlnm.Print_Area" localSheetId="7">'June 17'!$A$1:$S$307</definedName>
    <definedName name="_xlnm.Print_Area" localSheetId="11">'June 18'!$A$1:$S$307</definedName>
    <definedName name="_xlnm.Print_Area" localSheetId="15">'June 19'!$A$1:$S$307</definedName>
    <definedName name="_xlnm.Print_Area" localSheetId="2">'March 16'!$A$1:$S$308</definedName>
    <definedName name="_xlnm.Print_Area" localSheetId="6">'March 17'!$A$1:$S$307</definedName>
    <definedName name="_xlnm.Print_Area" localSheetId="10">'March 18'!$A$1:$S$307</definedName>
    <definedName name="_xlnm.Print_Area" localSheetId="14">'March 19'!$A$1:$S$307</definedName>
    <definedName name="_xlnm.Print_Area" localSheetId="0">'Sept 15'!$A$1:$S$310</definedName>
    <definedName name="_xlnm.Print_Area" localSheetId="4">'Sept 16'!$A$1:$S$308</definedName>
    <definedName name="_xlnm.Print_Area" localSheetId="8">'Sept 17'!$A$1:$S$307</definedName>
    <definedName name="_xlnm.Print_Area" localSheetId="12">'Sept 18'!$A$1:$S$307</definedName>
    <definedName name="_xlnm.Print_Area" localSheetId="16">'Sept 19'!$A$1:$S$312</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7" i="27" l="1"/>
  <c r="R40" i="27" l="1"/>
  <c r="R175" i="27" l="1"/>
  <c r="R119" i="27"/>
  <c r="R105" i="27"/>
  <c r="R98" i="27"/>
  <c r="R88" i="27"/>
  <c r="R97" i="27" l="1"/>
  <c r="P238" i="27" l="1"/>
  <c r="P192" i="27"/>
  <c r="P194" i="27" s="1"/>
  <c r="O192" i="27"/>
  <c r="O194" i="27" s="1"/>
  <c r="Q296" i="27"/>
  <c r="P296" i="27"/>
  <c r="P298" i="27" s="1"/>
  <c r="O296" i="27"/>
  <c r="N296" i="27"/>
  <c r="Q284" i="27"/>
  <c r="P284" i="27"/>
  <c r="P232" i="27" s="1"/>
  <c r="O284" i="27"/>
  <c r="N284" i="27"/>
  <c r="P272" i="27"/>
  <c r="N272" i="27"/>
  <c r="P258" i="27"/>
  <c r="N258" i="27"/>
  <c r="P257" i="27"/>
  <c r="N257" i="27"/>
  <c r="P256" i="27"/>
  <c r="N256" i="27"/>
  <c r="P255" i="27"/>
  <c r="N255" i="27"/>
  <c r="P254" i="27"/>
  <c r="N254" i="27"/>
  <c r="P253" i="27"/>
  <c r="N253" i="27"/>
  <c r="P252" i="27"/>
  <c r="N252" i="27"/>
  <c r="P251" i="27"/>
  <c r="N251" i="27"/>
  <c r="P237" i="27"/>
  <c r="P235" i="27"/>
  <c r="P233" i="27"/>
  <c r="O233" i="27"/>
  <c r="O232" i="27"/>
  <c r="P215" i="27"/>
  <c r="R193" i="27"/>
  <c r="R185" i="27"/>
  <c r="P299" i="27" s="1"/>
  <c r="R184" i="27"/>
  <c r="R177" i="27"/>
  <c r="R171" i="27"/>
  <c r="R170" i="27"/>
  <c r="R169" i="27"/>
  <c r="R168" i="27"/>
  <c r="R161" i="27"/>
  <c r="R160" i="27"/>
  <c r="R163" i="27" s="1"/>
  <c r="R157" i="27"/>
  <c r="R156" i="27"/>
  <c r="B136" i="27"/>
  <c r="B210" i="27" s="1"/>
  <c r="B311" i="27" s="1"/>
  <c r="P126" i="27"/>
  <c r="P125" i="27"/>
  <c r="P132" i="27" s="1"/>
  <c r="P112" i="27"/>
  <c r="R104" i="27"/>
  <c r="P99" i="27"/>
  <c r="R101" i="27"/>
  <c r="R123" i="27" s="1"/>
  <c r="P85" i="27"/>
  <c r="J83" i="27"/>
  <c r="R78" i="27"/>
  <c r="N67" i="27"/>
  <c r="L67" i="27"/>
  <c r="J67" i="27"/>
  <c r="H67" i="27"/>
  <c r="H80" i="27" s="1"/>
  <c r="F67" i="27"/>
  <c r="F80" i="27" s="1"/>
  <c r="R65" i="27"/>
  <c r="N54" i="27"/>
  <c r="N53" i="27"/>
  <c r="R47" i="27"/>
  <c r="L41" i="27"/>
  <c r="J41" i="27"/>
  <c r="H41" i="27"/>
  <c r="F41" i="27"/>
  <c r="L40" i="27"/>
  <c r="J40" i="27"/>
  <c r="H40" i="27"/>
  <c r="F40" i="27"/>
  <c r="L33" i="27"/>
  <c r="J33" i="27"/>
  <c r="H33" i="27"/>
  <c r="F33" i="27"/>
  <c r="D33" i="27"/>
  <c r="L32" i="27"/>
  <c r="J32" i="27"/>
  <c r="H32" i="27"/>
  <c r="F32" i="27"/>
  <c r="D32" i="27"/>
  <c r="R31" i="27"/>
  <c r="O191" i="27" s="1"/>
  <c r="L30" i="27"/>
  <c r="J30" i="27"/>
  <c r="H30" i="27"/>
  <c r="F30" i="27"/>
  <c r="D30" i="27"/>
  <c r="L29" i="27"/>
  <c r="J29" i="27"/>
  <c r="H29" i="27"/>
  <c r="F29" i="27"/>
  <c r="D29" i="27"/>
  <c r="R178" i="27" l="1"/>
  <c r="R143" i="27"/>
  <c r="R142" i="27" s="1"/>
  <c r="R152" i="27" s="1"/>
  <c r="R32" i="27"/>
  <c r="P219" i="27" s="1"/>
  <c r="N298" i="27"/>
  <c r="P260" i="27"/>
  <c r="R194" i="27"/>
  <c r="P98" i="27"/>
  <c r="P101" i="27" s="1"/>
  <c r="P133" i="27" s="1"/>
  <c r="O195" i="27"/>
  <c r="R132" i="27"/>
  <c r="R133" i="27" s="1"/>
  <c r="P300" i="27"/>
  <c r="R64" i="27"/>
  <c r="R67" i="27" s="1"/>
  <c r="P227" i="27"/>
  <c r="R33" i="27"/>
  <c r="R192" i="27"/>
  <c r="P234" i="27"/>
  <c r="N260" i="27"/>
  <c r="P67" i="27"/>
  <c r="R118" i="26"/>
  <c r="R104" i="26"/>
  <c r="R88" i="26"/>
  <c r="P64" i="26"/>
  <c r="O272" i="27" l="1"/>
  <c r="Q272" i="27"/>
  <c r="Q260" i="27"/>
  <c r="R80" i="27"/>
  <c r="R183" i="27"/>
  <c r="R186" i="27" s="1"/>
  <c r="P222" i="26"/>
  <c r="P87" i="26"/>
  <c r="L41" i="26"/>
  <c r="J41" i="26"/>
  <c r="H41" i="26"/>
  <c r="F41" i="26"/>
  <c r="O260" i="27" l="1"/>
  <c r="P301" i="27"/>
  <c r="R187" i="27"/>
  <c r="Q291" i="26"/>
  <c r="P291" i="26"/>
  <c r="O291" i="26"/>
  <c r="N291" i="26"/>
  <c r="O228" i="26" s="1"/>
  <c r="Q279" i="26"/>
  <c r="P279" i="26"/>
  <c r="O279" i="26"/>
  <c r="N279" i="26"/>
  <c r="P267" i="26"/>
  <c r="Q262" i="26" s="1"/>
  <c r="N267" i="26"/>
  <c r="O265" i="26" s="1"/>
  <c r="P253" i="26"/>
  <c r="N253" i="26"/>
  <c r="P252" i="26"/>
  <c r="N252" i="26"/>
  <c r="P251" i="26"/>
  <c r="N251" i="26"/>
  <c r="P250" i="26"/>
  <c r="N250" i="26"/>
  <c r="P249" i="26"/>
  <c r="N249" i="26"/>
  <c r="P248" i="26"/>
  <c r="N248" i="26"/>
  <c r="P247" i="26"/>
  <c r="N247" i="26"/>
  <c r="P246" i="26"/>
  <c r="N246" i="26"/>
  <c r="P232" i="26"/>
  <c r="P230" i="26"/>
  <c r="P229" i="26"/>
  <c r="P228" i="26"/>
  <c r="P227" i="26"/>
  <c r="O227" i="26"/>
  <c r="P210" i="26"/>
  <c r="R188" i="26"/>
  <c r="R179" i="26"/>
  <c r="R172" i="26"/>
  <c r="R166" i="26"/>
  <c r="R164" i="26"/>
  <c r="R163" i="26"/>
  <c r="R165" i="26" s="1"/>
  <c r="R156" i="26"/>
  <c r="R151" i="26"/>
  <c r="R152" i="26" s="1"/>
  <c r="B132" i="26"/>
  <c r="B205" i="26" s="1"/>
  <c r="B306" i="26" s="1"/>
  <c r="P122" i="26"/>
  <c r="P128" i="26" s="1"/>
  <c r="P121" i="26"/>
  <c r="P111" i="26"/>
  <c r="R103" i="26"/>
  <c r="P98" i="26"/>
  <c r="R97" i="26"/>
  <c r="R100" i="26" s="1"/>
  <c r="P85" i="26"/>
  <c r="J83" i="26"/>
  <c r="R78" i="26"/>
  <c r="R180" i="26" s="1"/>
  <c r="P294" i="26" s="1"/>
  <c r="N67" i="26"/>
  <c r="L67" i="26"/>
  <c r="J67" i="26"/>
  <c r="H67" i="26"/>
  <c r="H80" i="26" s="1"/>
  <c r="F67" i="26"/>
  <c r="F80" i="26" s="1"/>
  <c r="R65" i="26"/>
  <c r="R64" i="26"/>
  <c r="R67" i="26" s="1"/>
  <c r="P97" i="26"/>
  <c r="P100" i="26" s="1"/>
  <c r="N54" i="26"/>
  <c r="N53" i="26"/>
  <c r="R47" i="26"/>
  <c r="L40" i="26"/>
  <c r="J40" i="26"/>
  <c r="H40" i="26"/>
  <c r="F40" i="26"/>
  <c r="L33" i="26"/>
  <c r="J33" i="26"/>
  <c r="H33" i="26"/>
  <c r="F33" i="26"/>
  <c r="D33" i="26"/>
  <c r="L32" i="26"/>
  <c r="J32" i="26"/>
  <c r="H32" i="26"/>
  <c r="F32" i="26"/>
  <c r="D32" i="26"/>
  <c r="R31" i="26"/>
  <c r="O186" i="26" s="1"/>
  <c r="L30" i="26"/>
  <c r="J30" i="26"/>
  <c r="H30" i="26"/>
  <c r="F30" i="26"/>
  <c r="D30" i="26"/>
  <c r="L29" i="26"/>
  <c r="J29" i="26"/>
  <c r="H29" i="26"/>
  <c r="F29" i="26"/>
  <c r="D29" i="26"/>
  <c r="R139" i="26" l="1"/>
  <c r="R138" i="26" s="1"/>
  <c r="R147" i="26" s="1"/>
  <c r="R48" i="26"/>
  <c r="R32" i="26"/>
  <c r="R40" i="26" s="1"/>
  <c r="P213" i="26" s="1"/>
  <c r="P214" i="26" s="1"/>
  <c r="P129" i="26"/>
  <c r="P255" i="26"/>
  <c r="Q251" i="26" s="1"/>
  <c r="Q259" i="26"/>
  <c r="Q260" i="26"/>
  <c r="Q264" i="26"/>
  <c r="Q261" i="26"/>
  <c r="Q265" i="26"/>
  <c r="Q263" i="26"/>
  <c r="Q258" i="26"/>
  <c r="P293" i="26"/>
  <c r="P295" i="26" s="1"/>
  <c r="O260" i="26"/>
  <c r="O258" i="26"/>
  <c r="O262" i="26"/>
  <c r="Q253" i="26"/>
  <c r="Q252" i="26"/>
  <c r="R178" i="26"/>
  <c r="R181" i="26" s="1"/>
  <c r="R80" i="26"/>
  <c r="P215" i="26"/>
  <c r="R194" i="26"/>
  <c r="R196" i="26"/>
  <c r="R200" i="26"/>
  <c r="R119" i="26"/>
  <c r="R128" i="26" s="1"/>
  <c r="R129" i="26" s="1"/>
  <c r="R198" i="26"/>
  <c r="R33" i="26"/>
  <c r="P298" i="26" s="1"/>
  <c r="N255" i="26"/>
  <c r="O247" i="26" s="1"/>
  <c r="O264" i="26"/>
  <c r="N293" i="26"/>
  <c r="P67" i="26"/>
  <c r="O259" i="26"/>
  <c r="O261" i="26"/>
  <c r="O263" i="26"/>
  <c r="Q247" i="26" l="1"/>
  <c r="Q248" i="26"/>
  <c r="Q249" i="26"/>
  <c r="Q246" i="26"/>
  <c r="Q255" i="26" s="1"/>
  <c r="Q250" i="26"/>
  <c r="Q267" i="26"/>
  <c r="O267" i="26"/>
  <c r="O248" i="26"/>
  <c r="O253" i="26"/>
  <c r="O251" i="26"/>
  <c r="O246" i="26"/>
  <c r="P296" i="26"/>
  <c r="R182" i="26"/>
  <c r="O252" i="26"/>
  <c r="O249" i="26"/>
  <c r="O250" i="26"/>
  <c r="R118" i="25"/>
  <c r="R104" i="25"/>
  <c r="R88" i="25"/>
  <c r="P64" i="25"/>
  <c r="P222" i="25" s="1"/>
  <c r="O255" i="26" l="1"/>
  <c r="L41" i="25"/>
  <c r="J41" i="25"/>
  <c r="H41" i="25"/>
  <c r="F41" i="25"/>
  <c r="Q291" i="25" l="1"/>
  <c r="P291" i="25"/>
  <c r="O291" i="25"/>
  <c r="N291" i="25"/>
  <c r="O228" i="25" s="1"/>
  <c r="Q279" i="25"/>
  <c r="P279" i="25"/>
  <c r="P227" i="25" s="1"/>
  <c r="O279" i="25"/>
  <c r="N279" i="25"/>
  <c r="O227" i="25" s="1"/>
  <c r="P267" i="25"/>
  <c r="Q265" i="25" s="1"/>
  <c r="N267" i="25"/>
  <c r="O264" i="25" s="1"/>
  <c r="P253" i="25"/>
  <c r="N253" i="25"/>
  <c r="P252" i="25"/>
  <c r="N252" i="25"/>
  <c r="P251" i="25"/>
  <c r="N251" i="25"/>
  <c r="P250" i="25"/>
  <c r="N250" i="25"/>
  <c r="P249" i="25"/>
  <c r="N249" i="25"/>
  <c r="P248" i="25"/>
  <c r="N248" i="25"/>
  <c r="P247" i="25"/>
  <c r="N247" i="25"/>
  <c r="P246" i="25"/>
  <c r="N246" i="25"/>
  <c r="P232" i="25"/>
  <c r="P230" i="25"/>
  <c r="P210" i="25"/>
  <c r="R188" i="25"/>
  <c r="R179" i="25"/>
  <c r="R172" i="25"/>
  <c r="R166" i="25"/>
  <c r="R164" i="25"/>
  <c r="R163" i="25"/>
  <c r="R156" i="25"/>
  <c r="R151" i="25"/>
  <c r="R152" i="25" s="1"/>
  <c r="B132" i="25"/>
  <c r="B205" i="25" s="1"/>
  <c r="B306" i="25" s="1"/>
  <c r="P122" i="25"/>
  <c r="P121" i="25"/>
  <c r="P128" i="25" s="1"/>
  <c r="P111" i="25"/>
  <c r="R103" i="25"/>
  <c r="P98" i="25"/>
  <c r="R97" i="25"/>
  <c r="R100" i="25" s="1"/>
  <c r="P85" i="25"/>
  <c r="J83" i="25"/>
  <c r="R78" i="25"/>
  <c r="R180" i="25" s="1"/>
  <c r="P294" i="25" s="1"/>
  <c r="N67" i="25"/>
  <c r="L67" i="25"/>
  <c r="J67" i="25"/>
  <c r="H67" i="25"/>
  <c r="H80" i="25" s="1"/>
  <c r="F67" i="25"/>
  <c r="F80" i="25" s="1"/>
  <c r="R65" i="25"/>
  <c r="N54" i="25"/>
  <c r="N53" i="25"/>
  <c r="R47" i="25"/>
  <c r="L40" i="25"/>
  <c r="J40" i="25"/>
  <c r="H40" i="25"/>
  <c r="F40" i="25"/>
  <c r="L33" i="25"/>
  <c r="J33" i="25"/>
  <c r="H33" i="25"/>
  <c r="F33" i="25"/>
  <c r="D33" i="25"/>
  <c r="L32" i="25"/>
  <c r="J32" i="25"/>
  <c r="H32" i="25"/>
  <c r="F32" i="25"/>
  <c r="D32" i="25"/>
  <c r="R31" i="25"/>
  <c r="O186" i="25" s="1"/>
  <c r="L30" i="25"/>
  <c r="J30" i="25"/>
  <c r="H30" i="25"/>
  <c r="F30" i="25"/>
  <c r="D30" i="25"/>
  <c r="L29" i="25"/>
  <c r="J29" i="25"/>
  <c r="H29" i="25"/>
  <c r="F29" i="25"/>
  <c r="D29" i="25"/>
  <c r="O261" i="25" l="1"/>
  <c r="O258" i="25"/>
  <c r="O263" i="25"/>
  <c r="O262" i="25"/>
  <c r="O259" i="25"/>
  <c r="O265" i="25"/>
  <c r="R139" i="25"/>
  <c r="R138" i="25" s="1"/>
  <c r="R147" i="25" s="1"/>
  <c r="P298" i="25" s="1"/>
  <c r="R165" i="25"/>
  <c r="O260" i="25"/>
  <c r="N293" i="25"/>
  <c r="R32" i="25"/>
  <c r="R40" i="25" s="1"/>
  <c r="P213" i="25" s="1"/>
  <c r="P214" i="25" s="1"/>
  <c r="P293" i="25"/>
  <c r="P295" i="25" s="1"/>
  <c r="R33" i="25"/>
  <c r="R64" i="25"/>
  <c r="R67" i="25" s="1"/>
  <c r="P229" i="25"/>
  <c r="P87" i="25"/>
  <c r="P97" i="25" s="1"/>
  <c r="P100" i="25" s="1"/>
  <c r="P129" i="25" s="1"/>
  <c r="P67" i="25"/>
  <c r="R200" i="25"/>
  <c r="R196" i="25"/>
  <c r="R119" i="25"/>
  <c r="R128" i="25" s="1"/>
  <c r="R129" i="25" s="1"/>
  <c r="P215" i="25"/>
  <c r="R198" i="25"/>
  <c r="R194" i="25"/>
  <c r="R48" i="25"/>
  <c r="N255" i="25"/>
  <c r="O246" i="25" s="1"/>
  <c r="P255" i="25"/>
  <c r="Q246" i="25" s="1"/>
  <c r="P228" i="25"/>
  <c r="Q258" i="25"/>
  <c r="Q259" i="25"/>
  <c r="Q260" i="25"/>
  <c r="Q261" i="25"/>
  <c r="Q262" i="25"/>
  <c r="Q263" i="25"/>
  <c r="Q264" i="25"/>
  <c r="R118" i="24"/>
  <c r="R104" i="24"/>
  <c r="R88" i="24"/>
  <c r="P64" i="24"/>
  <c r="L41" i="24"/>
  <c r="J41" i="24"/>
  <c r="H41" i="24"/>
  <c r="F41" i="24"/>
  <c r="Q249" i="25" l="1"/>
  <c r="Q253" i="25"/>
  <c r="O267" i="25"/>
  <c r="Q251" i="25"/>
  <c r="Q247" i="25"/>
  <c r="O253" i="25"/>
  <c r="O251" i="25"/>
  <c r="O249" i="25"/>
  <c r="O247" i="25"/>
  <c r="Q267" i="25"/>
  <c r="Q252" i="25"/>
  <c r="Q250" i="25"/>
  <c r="Q248" i="25"/>
  <c r="O252" i="25"/>
  <c r="O250" i="25"/>
  <c r="O248" i="25"/>
  <c r="R80" i="25"/>
  <c r="R178" i="25"/>
  <c r="R181" i="25" s="1"/>
  <c r="Q291" i="24"/>
  <c r="P291" i="24"/>
  <c r="P228" i="24" s="1"/>
  <c r="O291" i="24"/>
  <c r="N291" i="24"/>
  <c r="Q279" i="24"/>
  <c r="P279" i="24"/>
  <c r="O279" i="24"/>
  <c r="N279" i="24"/>
  <c r="P267" i="24"/>
  <c r="N267" i="24"/>
  <c r="O265" i="24" s="1"/>
  <c r="Q262" i="24"/>
  <c r="Q260" i="24"/>
  <c r="O260" i="24"/>
  <c r="P253" i="24"/>
  <c r="N253" i="24"/>
  <c r="P252" i="24"/>
  <c r="N252" i="24"/>
  <c r="P251" i="24"/>
  <c r="N251" i="24"/>
  <c r="P250" i="24"/>
  <c r="N250" i="24"/>
  <c r="P249" i="24"/>
  <c r="N249" i="24"/>
  <c r="P248" i="24"/>
  <c r="N248" i="24"/>
  <c r="P247" i="24"/>
  <c r="N247" i="24"/>
  <c r="P246" i="24"/>
  <c r="N246" i="24"/>
  <c r="P232" i="24"/>
  <c r="P230" i="24"/>
  <c r="O228" i="24"/>
  <c r="P227" i="24"/>
  <c r="O227" i="24"/>
  <c r="P222" i="24"/>
  <c r="P210" i="24"/>
  <c r="R188" i="24"/>
  <c r="R179" i="24"/>
  <c r="R172" i="24"/>
  <c r="R166" i="24"/>
  <c r="R164" i="24"/>
  <c r="R163" i="24"/>
  <c r="R156" i="24"/>
  <c r="R151" i="24"/>
  <c r="R152" i="24" s="1"/>
  <c r="B132" i="24"/>
  <c r="B205" i="24" s="1"/>
  <c r="B306" i="24" s="1"/>
  <c r="P122" i="24"/>
  <c r="P121" i="24"/>
  <c r="P111" i="24"/>
  <c r="R103" i="24"/>
  <c r="P98" i="24"/>
  <c r="R97" i="24"/>
  <c r="R100" i="24" s="1"/>
  <c r="P85" i="24"/>
  <c r="J83" i="24"/>
  <c r="R78" i="24"/>
  <c r="R180" i="24" s="1"/>
  <c r="P294" i="24" s="1"/>
  <c r="N67" i="24"/>
  <c r="L67" i="24"/>
  <c r="J67" i="24"/>
  <c r="H67" i="24"/>
  <c r="H80" i="24" s="1"/>
  <c r="F67" i="24"/>
  <c r="F80" i="24" s="1"/>
  <c r="R65" i="24"/>
  <c r="R64" i="24"/>
  <c r="R67" i="24" s="1"/>
  <c r="P229" i="24"/>
  <c r="N54" i="24"/>
  <c r="N53" i="24"/>
  <c r="R47" i="24"/>
  <c r="L40" i="24"/>
  <c r="J40" i="24"/>
  <c r="H40" i="24"/>
  <c r="F40" i="24"/>
  <c r="L33" i="24"/>
  <c r="J33" i="24"/>
  <c r="H33" i="24"/>
  <c r="F33" i="24"/>
  <c r="D33" i="24"/>
  <c r="L32" i="24"/>
  <c r="J32" i="24"/>
  <c r="H32" i="24"/>
  <c r="F32" i="24"/>
  <c r="D32" i="24"/>
  <c r="R31" i="24"/>
  <c r="O186" i="24" s="1"/>
  <c r="L30" i="24"/>
  <c r="J30" i="24"/>
  <c r="H30" i="24"/>
  <c r="F30" i="24"/>
  <c r="D30" i="24"/>
  <c r="L29" i="24"/>
  <c r="J29" i="24"/>
  <c r="H29" i="24"/>
  <c r="F29" i="24"/>
  <c r="D29" i="24"/>
  <c r="O258" i="24" l="1"/>
  <c r="O263" i="24"/>
  <c r="P293" i="24"/>
  <c r="Q258" i="24"/>
  <c r="O261" i="24"/>
  <c r="O264" i="24"/>
  <c r="O259" i="24"/>
  <c r="O267" i="24" s="1"/>
  <c r="O262" i="24"/>
  <c r="Q264" i="24"/>
  <c r="Q259" i="24"/>
  <c r="Q261" i="24"/>
  <c r="Q263" i="24"/>
  <c r="Q265" i="24"/>
  <c r="Q255" i="25"/>
  <c r="O255" i="25"/>
  <c r="R32" i="24"/>
  <c r="R40" i="24" s="1"/>
  <c r="P213" i="24" s="1"/>
  <c r="P214" i="24" s="1"/>
  <c r="P128" i="24"/>
  <c r="P296" i="25"/>
  <c r="R182" i="25"/>
  <c r="R165" i="24"/>
  <c r="P255" i="24"/>
  <c r="Q252" i="24" s="1"/>
  <c r="N255" i="24"/>
  <c r="O252" i="24" s="1"/>
  <c r="Q267" i="24"/>
  <c r="N293" i="24"/>
  <c r="R139" i="24"/>
  <c r="R138" i="24" s="1"/>
  <c r="R147" i="24" s="1"/>
  <c r="R178" i="24"/>
  <c r="R181" i="24" s="1"/>
  <c r="R80" i="24"/>
  <c r="P215" i="24"/>
  <c r="R198" i="24"/>
  <c r="R194" i="24"/>
  <c r="R200" i="24"/>
  <c r="R196" i="24"/>
  <c r="R119" i="24"/>
  <c r="R128" i="24" s="1"/>
  <c r="R129" i="24" s="1"/>
  <c r="O253" i="24"/>
  <c r="O251" i="24"/>
  <c r="O247" i="24"/>
  <c r="Q253" i="24"/>
  <c r="Q251" i="24"/>
  <c r="Q249" i="24"/>
  <c r="Q247" i="24"/>
  <c r="P295" i="24"/>
  <c r="R48" i="24"/>
  <c r="R33" i="24"/>
  <c r="P67" i="24"/>
  <c r="P87" i="24"/>
  <c r="P97" i="24" s="1"/>
  <c r="P100" i="24" s="1"/>
  <c r="P129" i="24" s="1"/>
  <c r="O249" i="24" l="1"/>
  <c r="P298" i="24"/>
  <c r="Q246" i="24"/>
  <c r="Q248" i="24"/>
  <c r="Q250" i="24"/>
  <c r="O246" i="24"/>
  <c r="O248" i="24"/>
  <c r="O250" i="24"/>
  <c r="P296" i="24"/>
  <c r="R182" i="24"/>
  <c r="R118" i="23"/>
  <c r="R104" i="23"/>
  <c r="R88" i="23"/>
  <c r="P64" i="23"/>
  <c r="P87" i="23" s="1"/>
  <c r="L41" i="23"/>
  <c r="J41" i="23"/>
  <c r="H41" i="23"/>
  <c r="F41" i="23"/>
  <c r="Q255" i="24" l="1"/>
  <c r="O255" i="24"/>
  <c r="Q291" i="23"/>
  <c r="P291" i="23"/>
  <c r="P228" i="23" s="1"/>
  <c r="O291" i="23"/>
  <c r="N291" i="23"/>
  <c r="Q279" i="23"/>
  <c r="P279" i="23"/>
  <c r="P227" i="23" s="1"/>
  <c r="O279" i="23"/>
  <c r="N279" i="23"/>
  <c r="O227" i="23" s="1"/>
  <c r="P267" i="23"/>
  <c r="Q265" i="23" s="1"/>
  <c r="N267" i="23"/>
  <c r="O265" i="23" s="1"/>
  <c r="Q258" i="23"/>
  <c r="O258" i="23"/>
  <c r="P253" i="23"/>
  <c r="N253" i="23"/>
  <c r="P252" i="23"/>
  <c r="N252" i="23"/>
  <c r="P251" i="23"/>
  <c r="N251" i="23"/>
  <c r="P250" i="23"/>
  <c r="N250" i="23"/>
  <c r="P249" i="23"/>
  <c r="N249" i="23"/>
  <c r="P248" i="23"/>
  <c r="N248" i="23"/>
  <c r="P247" i="23"/>
  <c r="N247" i="23"/>
  <c r="P246" i="23"/>
  <c r="N246" i="23"/>
  <c r="N255" i="23" s="1"/>
  <c r="P232" i="23"/>
  <c r="P230" i="23"/>
  <c r="P222" i="23"/>
  <c r="P210" i="23"/>
  <c r="R188" i="23"/>
  <c r="R179" i="23"/>
  <c r="R172" i="23"/>
  <c r="R166" i="23"/>
  <c r="R164" i="23"/>
  <c r="R163" i="23"/>
  <c r="R156" i="23"/>
  <c r="R152" i="23"/>
  <c r="R151" i="23"/>
  <c r="B132" i="23"/>
  <c r="B205" i="23" s="1"/>
  <c r="B306" i="23" s="1"/>
  <c r="P122" i="23"/>
  <c r="P121" i="23"/>
  <c r="P111" i="23"/>
  <c r="R103" i="23"/>
  <c r="P98" i="23"/>
  <c r="R97" i="23"/>
  <c r="R100" i="23" s="1"/>
  <c r="P85" i="23"/>
  <c r="J83" i="23"/>
  <c r="R78" i="23"/>
  <c r="R180" i="23" s="1"/>
  <c r="P294" i="23" s="1"/>
  <c r="N67" i="23"/>
  <c r="L67" i="23"/>
  <c r="J67" i="23"/>
  <c r="H67" i="23"/>
  <c r="H80" i="23" s="1"/>
  <c r="F67" i="23"/>
  <c r="F80" i="23" s="1"/>
  <c r="R65" i="23"/>
  <c r="R64" i="23"/>
  <c r="R67" i="23" s="1"/>
  <c r="P229" i="23"/>
  <c r="N54" i="23"/>
  <c r="N53" i="23"/>
  <c r="R47" i="23"/>
  <c r="L40" i="23"/>
  <c r="J40" i="23"/>
  <c r="H40" i="23"/>
  <c r="F40" i="23"/>
  <c r="L33" i="23"/>
  <c r="J33" i="23"/>
  <c r="H33" i="23"/>
  <c r="F33" i="23"/>
  <c r="D33" i="23"/>
  <c r="L32" i="23"/>
  <c r="J32" i="23"/>
  <c r="H32" i="23"/>
  <c r="F32" i="23"/>
  <c r="D32" i="23"/>
  <c r="R31" i="23"/>
  <c r="O186" i="23" s="1"/>
  <c r="L30" i="23"/>
  <c r="J30" i="23"/>
  <c r="H30" i="23"/>
  <c r="F30" i="23"/>
  <c r="D30" i="23"/>
  <c r="L29" i="23"/>
  <c r="J29" i="23"/>
  <c r="H29" i="23"/>
  <c r="F29" i="23"/>
  <c r="D29" i="23"/>
  <c r="Q259" i="23" l="1"/>
  <c r="Q261" i="23"/>
  <c r="R32" i="23"/>
  <c r="R40" i="23" s="1"/>
  <c r="P213" i="23" s="1"/>
  <c r="P214" i="23" s="1"/>
  <c r="P128" i="23"/>
  <c r="P293" i="23"/>
  <c r="Q260" i="23"/>
  <c r="Q262" i="23"/>
  <c r="Q263" i="23"/>
  <c r="Q264" i="23"/>
  <c r="O262" i="23"/>
  <c r="O260" i="23"/>
  <c r="O264" i="23"/>
  <c r="N293" i="23"/>
  <c r="O228" i="23"/>
  <c r="P255" i="23"/>
  <c r="Q253" i="23" s="1"/>
  <c r="R165" i="23"/>
  <c r="O259" i="23"/>
  <c r="O261" i="23"/>
  <c r="O263" i="23"/>
  <c r="R139" i="23"/>
  <c r="R138" i="23" s="1"/>
  <c r="R147" i="23" s="1"/>
  <c r="R178" i="23"/>
  <c r="R181" i="23" s="1"/>
  <c r="R80" i="23"/>
  <c r="P215" i="23"/>
  <c r="R198" i="23"/>
  <c r="R194" i="23"/>
  <c r="R200" i="23"/>
  <c r="R196" i="23"/>
  <c r="R119" i="23"/>
  <c r="R128" i="23" s="1"/>
  <c r="R129" i="23" s="1"/>
  <c r="O253" i="23"/>
  <c r="O252" i="23"/>
  <c r="O251" i="23"/>
  <c r="O250" i="23"/>
  <c r="O249" i="23"/>
  <c r="O248" i="23"/>
  <c r="O247" i="23"/>
  <c r="O246" i="23"/>
  <c r="P295" i="23"/>
  <c r="R48" i="23"/>
  <c r="R33" i="23"/>
  <c r="P67" i="23"/>
  <c r="P97" i="23"/>
  <c r="P100" i="23" s="1"/>
  <c r="P129" i="23" l="1"/>
  <c r="Q250" i="23"/>
  <c r="Q246" i="23"/>
  <c r="Q267" i="23"/>
  <c r="O267" i="23"/>
  <c r="Q251" i="23"/>
  <c r="O255" i="23"/>
  <c r="Q252" i="23"/>
  <c r="Q247" i="23"/>
  <c r="Q248" i="23"/>
  <c r="Q249" i="23"/>
  <c r="P298" i="23"/>
  <c r="P296" i="23"/>
  <c r="R182" i="23"/>
  <c r="Q255" i="23" l="1"/>
  <c r="R118" i="22"/>
  <c r="R104" i="22"/>
  <c r="R88" i="22"/>
  <c r="P64" i="22"/>
  <c r="Q291" i="22" l="1"/>
  <c r="P291" i="22"/>
  <c r="P228" i="22" s="1"/>
  <c r="O291" i="22"/>
  <c r="N291" i="22"/>
  <c r="O228" i="22" s="1"/>
  <c r="Q279" i="22"/>
  <c r="P279" i="22"/>
  <c r="P227" i="22" s="1"/>
  <c r="O279" i="22"/>
  <c r="N279" i="22"/>
  <c r="O227" i="22" s="1"/>
  <c r="P267" i="22"/>
  <c r="Q262" i="22" s="1"/>
  <c r="N267" i="22"/>
  <c r="O265" i="22" s="1"/>
  <c r="P253" i="22"/>
  <c r="N253" i="22"/>
  <c r="P252" i="22"/>
  <c r="N252" i="22"/>
  <c r="P251" i="22"/>
  <c r="N251" i="22"/>
  <c r="P250" i="22"/>
  <c r="N250" i="22"/>
  <c r="P249" i="22"/>
  <c r="N249" i="22"/>
  <c r="P248" i="22"/>
  <c r="N248" i="22"/>
  <c r="P247" i="22"/>
  <c r="N247" i="22"/>
  <c r="P246" i="22"/>
  <c r="N246" i="22"/>
  <c r="P232" i="22"/>
  <c r="P230" i="22"/>
  <c r="P222" i="22"/>
  <c r="P210" i="22"/>
  <c r="R188" i="22"/>
  <c r="R179" i="22"/>
  <c r="R172" i="22"/>
  <c r="R166" i="22"/>
  <c r="R164" i="22"/>
  <c r="R163" i="22"/>
  <c r="R156" i="22"/>
  <c r="R151" i="22"/>
  <c r="R152" i="22" s="1"/>
  <c r="B132" i="22"/>
  <c r="B205" i="22" s="1"/>
  <c r="B306" i="22" s="1"/>
  <c r="P122" i="22"/>
  <c r="P121" i="22"/>
  <c r="P111" i="22"/>
  <c r="R103" i="22"/>
  <c r="P98" i="22"/>
  <c r="R97" i="22"/>
  <c r="R100" i="22" s="1"/>
  <c r="P85" i="22"/>
  <c r="J83" i="22"/>
  <c r="R78" i="22"/>
  <c r="R180" i="22" s="1"/>
  <c r="P294" i="22" s="1"/>
  <c r="N67" i="22"/>
  <c r="L67" i="22"/>
  <c r="J67" i="22"/>
  <c r="H67" i="22"/>
  <c r="H80" i="22" s="1"/>
  <c r="F67" i="22"/>
  <c r="F80" i="22" s="1"/>
  <c r="R65" i="22"/>
  <c r="R64" i="22"/>
  <c r="R67" i="22" s="1"/>
  <c r="P229" i="22"/>
  <c r="N54" i="22"/>
  <c r="N53" i="22"/>
  <c r="R47" i="22"/>
  <c r="L41" i="22"/>
  <c r="J41" i="22"/>
  <c r="H41" i="22"/>
  <c r="F41" i="22"/>
  <c r="L40" i="22"/>
  <c r="J40" i="22"/>
  <c r="H40" i="22"/>
  <c r="F40" i="22"/>
  <c r="L33" i="22"/>
  <c r="J33" i="22"/>
  <c r="H33" i="22"/>
  <c r="F33" i="22"/>
  <c r="D33" i="22"/>
  <c r="L32" i="22"/>
  <c r="J32" i="22"/>
  <c r="H32" i="22"/>
  <c r="F32" i="22"/>
  <c r="D32" i="22"/>
  <c r="R31" i="22"/>
  <c r="O186" i="22" s="1"/>
  <c r="L30" i="22"/>
  <c r="J30" i="22"/>
  <c r="H30" i="22"/>
  <c r="F30" i="22"/>
  <c r="D30" i="22"/>
  <c r="L29" i="22"/>
  <c r="J29" i="22"/>
  <c r="H29" i="22"/>
  <c r="F29" i="22"/>
  <c r="D29" i="22"/>
  <c r="N255" i="22" l="1"/>
  <c r="R33" i="22"/>
  <c r="R165" i="22"/>
  <c r="R32" i="22"/>
  <c r="R40" i="22" s="1"/>
  <c r="P213" i="22" s="1"/>
  <c r="P214" i="22" s="1"/>
  <c r="P128" i="22"/>
  <c r="Q259" i="22"/>
  <c r="P255" i="22"/>
  <c r="Q250" i="22" s="1"/>
  <c r="Q263" i="22"/>
  <c r="Q260" i="22"/>
  <c r="Q264" i="22"/>
  <c r="P293" i="22"/>
  <c r="P295" i="22" s="1"/>
  <c r="Q261" i="22"/>
  <c r="Q265" i="22"/>
  <c r="Q258" i="22"/>
  <c r="O258" i="22"/>
  <c r="O262" i="22"/>
  <c r="O260" i="22"/>
  <c r="O264" i="22"/>
  <c r="N293" i="22"/>
  <c r="O259" i="22"/>
  <c r="O261" i="22"/>
  <c r="O263" i="22"/>
  <c r="R139" i="22"/>
  <c r="R138" i="22" s="1"/>
  <c r="R147" i="22" s="1"/>
  <c r="R178" i="22"/>
  <c r="R181" i="22" s="1"/>
  <c r="R80" i="22"/>
  <c r="P215" i="22"/>
  <c r="R198" i="22"/>
  <c r="R194" i="22"/>
  <c r="R200" i="22"/>
  <c r="R196" i="22"/>
  <c r="R119" i="22"/>
  <c r="R128" i="22" s="1"/>
  <c r="R129" i="22" s="1"/>
  <c r="O253" i="22"/>
  <c r="O252" i="22"/>
  <c r="O251" i="22"/>
  <c r="O250" i="22"/>
  <c r="O249" i="22"/>
  <c r="O248" i="22"/>
  <c r="O247" i="22"/>
  <c r="O246" i="22"/>
  <c r="Q253" i="22"/>
  <c r="Q248" i="22"/>
  <c r="Q247" i="22"/>
  <c r="R48" i="22"/>
  <c r="P67" i="22"/>
  <c r="P87" i="22"/>
  <c r="P97" i="22" s="1"/>
  <c r="P100" i="22" s="1"/>
  <c r="P129" i="22" s="1"/>
  <c r="Q249" i="22" l="1"/>
  <c r="Q252" i="22"/>
  <c r="P298" i="22"/>
  <c r="O255" i="22"/>
  <c r="Q251" i="22"/>
  <c r="Q246" i="22"/>
  <c r="Q267" i="22"/>
  <c r="O267" i="22"/>
  <c r="P296" i="22"/>
  <c r="R182" i="22"/>
  <c r="Q255" i="22" l="1"/>
  <c r="R118" i="21"/>
  <c r="R104" i="21"/>
  <c r="R88" i="21"/>
  <c r="P64" i="21"/>
  <c r="P87" i="21" s="1"/>
  <c r="Q291" i="21" l="1"/>
  <c r="P291" i="21"/>
  <c r="O291" i="21"/>
  <c r="N291" i="21"/>
  <c r="O228" i="21" s="1"/>
  <c r="Q279" i="21"/>
  <c r="P279" i="21"/>
  <c r="P227" i="21" s="1"/>
  <c r="O279" i="21"/>
  <c r="N279" i="21"/>
  <c r="O227" i="21" s="1"/>
  <c r="P267" i="21"/>
  <c r="Q265" i="21" s="1"/>
  <c r="N267" i="21"/>
  <c r="O265" i="21" s="1"/>
  <c r="Q264" i="21"/>
  <c r="O264" i="21"/>
  <c r="Q262" i="21"/>
  <c r="O261" i="21"/>
  <c r="Q260" i="21"/>
  <c r="O260" i="21"/>
  <c r="Q258" i="21"/>
  <c r="P253" i="21"/>
  <c r="N253" i="21"/>
  <c r="P252" i="21"/>
  <c r="N252" i="21"/>
  <c r="P251" i="21"/>
  <c r="N251" i="21"/>
  <c r="P250" i="21"/>
  <c r="N250" i="21"/>
  <c r="P249" i="21"/>
  <c r="N249" i="21"/>
  <c r="P248" i="21"/>
  <c r="N248" i="21"/>
  <c r="P247" i="21"/>
  <c r="N247" i="21"/>
  <c r="P246" i="21"/>
  <c r="N246" i="21"/>
  <c r="P232" i="21"/>
  <c r="P230" i="21"/>
  <c r="P228" i="21"/>
  <c r="P210" i="21"/>
  <c r="R188" i="21"/>
  <c r="R179" i="21"/>
  <c r="R172" i="21"/>
  <c r="R166" i="21"/>
  <c r="R164" i="21"/>
  <c r="R163" i="21"/>
  <c r="R156" i="21"/>
  <c r="R151" i="21"/>
  <c r="R152" i="21" s="1"/>
  <c r="B132" i="21"/>
  <c r="B205" i="21" s="1"/>
  <c r="B306" i="21" s="1"/>
  <c r="P122" i="21"/>
  <c r="P121" i="21"/>
  <c r="P111" i="21"/>
  <c r="R103" i="21"/>
  <c r="P98" i="21"/>
  <c r="R97" i="21"/>
  <c r="R100" i="21" s="1"/>
  <c r="P85" i="21"/>
  <c r="J83" i="21"/>
  <c r="R78" i="21"/>
  <c r="R180" i="21" s="1"/>
  <c r="P294" i="21" s="1"/>
  <c r="N67" i="21"/>
  <c r="L67" i="21"/>
  <c r="J67" i="21"/>
  <c r="H67" i="21"/>
  <c r="H80" i="21" s="1"/>
  <c r="F67" i="21"/>
  <c r="F80" i="21" s="1"/>
  <c r="R65" i="21"/>
  <c r="P229" i="21"/>
  <c r="N54" i="21"/>
  <c r="N53" i="21"/>
  <c r="R47" i="21"/>
  <c r="L41" i="21"/>
  <c r="J41" i="21"/>
  <c r="H41" i="21"/>
  <c r="F41" i="21"/>
  <c r="L40" i="21"/>
  <c r="J40" i="21"/>
  <c r="H40" i="21"/>
  <c r="F40" i="21"/>
  <c r="L33" i="21"/>
  <c r="J33" i="21"/>
  <c r="H33" i="21"/>
  <c r="F33" i="21"/>
  <c r="D33" i="21"/>
  <c r="L32" i="21"/>
  <c r="J32" i="21"/>
  <c r="H32" i="21"/>
  <c r="F32" i="21"/>
  <c r="D32" i="21"/>
  <c r="R31" i="21"/>
  <c r="O186" i="21" s="1"/>
  <c r="L30" i="21"/>
  <c r="J30" i="21"/>
  <c r="H30" i="21"/>
  <c r="F30" i="21"/>
  <c r="D30" i="21"/>
  <c r="L29" i="21"/>
  <c r="J29" i="21"/>
  <c r="H29" i="21"/>
  <c r="F29" i="21"/>
  <c r="D29" i="21"/>
  <c r="P128" i="21" l="1"/>
  <c r="O258" i="21"/>
  <c r="O259" i="21"/>
  <c r="O262" i="21"/>
  <c r="O267" i="21" s="1"/>
  <c r="O263" i="21"/>
  <c r="Q259" i="21"/>
  <c r="Q261" i="21"/>
  <c r="Q263" i="21"/>
  <c r="R32" i="21"/>
  <c r="R40" i="21" s="1"/>
  <c r="P213" i="21" s="1"/>
  <c r="P214" i="21" s="1"/>
  <c r="R165" i="21"/>
  <c r="R139" i="21"/>
  <c r="R138" i="21" s="1"/>
  <c r="R147" i="21" s="1"/>
  <c r="R33" i="21"/>
  <c r="P293" i="21"/>
  <c r="N255" i="21"/>
  <c r="O253" i="21" s="1"/>
  <c r="P255" i="21"/>
  <c r="Q253" i="21" s="1"/>
  <c r="N293" i="21"/>
  <c r="P215" i="21"/>
  <c r="R198" i="21"/>
  <c r="R194" i="21"/>
  <c r="R200" i="21"/>
  <c r="R196" i="21"/>
  <c r="R119" i="21"/>
  <c r="R128" i="21" s="1"/>
  <c r="R129" i="21" s="1"/>
  <c r="Q246" i="21"/>
  <c r="P295" i="21"/>
  <c r="P67" i="21"/>
  <c r="P97" i="21"/>
  <c r="P100" i="21" s="1"/>
  <c r="P129" i="21" s="1"/>
  <c r="P222" i="21"/>
  <c r="R48" i="21"/>
  <c r="R64" i="21"/>
  <c r="R67" i="21" s="1"/>
  <c r="O248" i="21" l="1"/>
  <c r="P298" i="21"/>
  <c r="Q247" i="21"/>
  <c r="Q248" i="21"/>
  <c r="O250" i="21"/>
  <c r="Q267" i="21"/>
  <c r="O246" i="21"/>
  <c r="Q250" i="21"/>
  <c r="O252" i="21"/>
  <c r="Q252" i="21"/>
  <c r="Q249" i="21"/>
  <c r="Q251" i="21"/>
  <c r="O247" i="21"/>
  <c r="O249" i="21"/>
  <c r="O251" i="21"/>
  <c r="O255" i="21" s="1"/>
  <c r="R178" i="21"/>
  <c r="R181" i="21" s="1"/>
  <c r="R80" i="21"/>
  <c r="Q255" i="21" l="1"/>
  <c r="P296" i="21"/>
  <c r="R182" i="21"/>
  <c r="R118" i="20"/>
  <c r="R107" i="20"/>
  <c r="R104" i="20"/>
  <c r="R88" i="20"/>
  <c r="P64" i="20"/>
  <c r="P87" i="20" s="1"/>
  <c r="L41" i="20"/>
  <c r="J41" i="20"/>
  <c r="H41" i="20"/>
  <c r="F41" i="20"/>
  <c r="Q291" i="20" l="1"/>
  <c r="P291" i="20"/>
  <c r="O291" i="20"/>
  <c r="N291" i="20"/>
  <c r="O228" i="20" s="1"/>
  <c r="Q279" i="20"/>
  <c r="P279" i="20"/>
  <c r="P227" i="20" s="1"/>
  <c r="O279" i="20"/>
  <c r="N279" i="20"/>
  <c r="O227" i="20" s="1"/>
  <c r="P267" i="20"/>
  <c r="Q264" i="20" s="1"/>
  <c r="N267" i="20"/>
  <c r="O264" i="20" s="1"/>
  <c r="Q265" i="20"/>
  <c r="O265" i="20"/>
  <c r="Q263" i="20"/>
  <c r="Q262" i="20"/>
  <c r="Q261" i="20"/>
  <c r="Q260" i="20"/>
  <c r="Q259" i="20"/>
  <c r="Q258" i="20"/>
  <c r="P253" i="20"/>
  <c r="N253" i="20"/>
  <c r="P252" i="20"/>
  <c r="N252" i="20"/>
  <c r="P251" i="20"/>
  <c r="N251" i="20"/>
  <c r="P250" i="20"/>
  <c r="N250" i="20"/>
  <c r="P249" i="20"/>
  <c r="N249" i="20"/>
  <c r="P248" i="20"/>
  <c r="N248" i="20"/>
  <c r="P247" i="20"/>
  <c r="N247" i="20"/>
  <c r="P246" i="20"/>
  <c r="N246" i="20"/>
  <c r="P232" i="20"/>
  <c r="P230" i="20"/>
  <c r="P228" i="20"/>
  <c r="P222" i="20"/>
  <c r="P210" i="20"/>
  <c r="R188" i="20"/>
  <c r="R179" i="20"/>
  <c r="R172" i="20"/>
  <c r="R166" i="20"/>
  <c r="R164" i="20"/>
  <c r="R163" i="20"/>
  <c r="R156" i="20"/>
  <c r="R151" i="20"/>
  <c r="R152" i="20" s="1"/>
  <c r="B132" i="20"/>
  <c r="B205" i="20" s="1"/>
  <c r="B306" i="20" s="1"/>
  <c r="P122" i="20"/>
  <c r="P121" i="20"/>
  <c r="P128" i="20" s="1"/>
  <c r="P111" i="20"/>
  <c r="R103" i="20"/>
  <c r="P98" i="20"/>
  <c r="R97" i="20"/>
  <c r="R100" i="20" s="1"/>
  <c r="P85" i="20"/>
  <c r="J83" i="20"/>
  <c r="R78" i="20"/>
  <c r="R180" i="20" s="1"/>
  <c r="P294" i="20" s="1"/>
  <c r="N67" i="20"/>
  <c r="L67" i="20"/>
  <c r="J67" i="20"/>
  <c r="H67" i="20"/>
  <c r="H80" i="20" s="1"/>
  <c r="F67" i="20"/>
  <c r="F80" i="20" s="1"/>
  <c r="R65" i="20"/>
  <c r="R64" i="20"/>
  <c r="P229" i="20"/>
  <c r="N54" i="20"/>
  <c r="N53" i="20"/>
  <c r="R47" i="20"/>
  <c r="L40" i="20"/>
  <c r="J40" i="20"/>
  <c r="H40" i="20"/>
  <c r="F40" i="20"/>
  <c r="L33" i="20"/>
  <c r="J33" i="20"/>
  <c r="H33" i="20"/>
  <c r="F33" i="20"/>
  <c r="D33" i="20"/>
  <c r="L32" i="20"/>
  <c r="J32" i="20"/>
  <c r="H32" i="20"/>
  <c r="F32" i="20"/>
  <c r="D32" i="20"/>
  <c r="R31" i="20"/>
  <c r="O186" i="20" s="1"/>
  <c r="L30" i="20"/>
  <c r="J30" i="20"/>
  <c r="H30" i="20"/>
  <c r="F30" i="20"/>
  <c r="D30" i="20"/>
  <c r="L29" i="20"/>
  <c r="J29" i="20"/>
  <c r="H29" i="20"/>
  <c r="F29" i="20"/>
  <c r="D29" i="20"/>
  <c r="N255" i="20" l="1"/>
  <c r="O258" i="20"/>
  <c r="O259" i="20"/>
  <c r="O260" i="20"/>
  <c r="O261" i="20"/>
  <c r="O262" i="20"/>
  <c r="O263" i="20"/>
  <c r="R165" i="20"/>
  <c r="R67" i="20"/>
  <c r="R80" i="20" s="1"/>
  <c r="R139" i="20"/>
  <c r="R138" i="20" s="1"/>
  <c r="R147" i="20" s="1"/>
  <c r="R32" i="20"/>
  <c r="Q267" i="20"/>
  <c r="P293" i="20"/>
  <c r="P255" i="20"/>
  <c r="Q250" i="20" s="1"/>
  <c r="N293" i="20"/>
  <c r="R178" i="20"/>
  <c r="R181" i="20" s="1"/>
  <c r="P215" i="20"/>
  <c r="R198" i="20"/>
  <c r="R194" i="20"/>
  <c r="R200" i="20"/>
  <c r="R196" i="20"/>
  <c r="R119" i="20"/>
  <c r="R128" i="20" s="1"/>
  <c r="R129" i="20" s="1"/>
  <c r="O253" i="20"/>
  <c r="O252" i="20"/>
  <c r="O251" i="20"/>
  <c r="O250" i="20"/>
  <c r="O249" i="20"/>
  <c r="O248" i="20"/>
  <c r="O247" i="20"/>
  <c r="O246" i="20"/>
  <c r="Q251" i="20"/>
  <c r="P295" i="20"/>
  <c r="R48" i="20"/>
  <c r="R33" i="20"/>
  <c r="P298" i="20" s="1"/>
  <c r="P67" i="20"/>
  <c r="P97" i="20"/>
  <c r="P100" i="20" s="1"/>
  <c r="P129" i="20" s="1"/>
  <c r="O267" i="20" l="1"/>
  <c r="Q247" i="20"/>
  <c r="Q248" i="20"/>
  <c r="Q252" i="20"/>
  <c r="Q249" i="20"/>
  <c r="Q253" i="20"/>
  <c r="Q246" i="20"/>
  <c r="O255" i="20"/>
  <c r="R40" i="20"/>
  <c r="P213" i="20" s="1"/>
  <c r="P214" i="20" s="1"/>
  <c r="P296" i="20"/>
  <c r="R182" i="20"/>
  <c r="R118" i="19"/>
  <c r="R104" i="19"/>
  <c r="R88" i="19"/>
  <c r="P64" i="19"/>
  <c r="P87" i="19" s="1"/>
  <c r="Q255" i="20" l="1"/>
  <c r="L41" i="19"/>
  <c r="J41" i="19"/>
  <c r="H41" i="19"/>
  <c r="F41" i="19"/>
  <c r="Q291" i="19" l="1"/>
  <c r="P291" i="19"/>
  <c r="P228" i="19" s="1"/>
  <c r="O291" i="19"/>
  <c r="N291" i="19"/>
  <c r="Q279" i="19"/>
  <c r="P279" i="19"/>
  <c r="P227" i="19" s="1"/>
  <c r="O279" i="19"/>
  <c r="N279" i="19"/>
  <c r="O227" i="19" s="1"/>
  <c r="P267" i="19"/>
  <c r="N267" i="19"/>
  <c r="O264" i="19" s="1"/>
  <c r="Q264" i="19"/>
  <c r="Q262" i="19"/>
  <c r="Q261" i="19"/>
  <c r="Q260" i="19"/>
  <c r="Q259" i="19"/>
  <c r="Q258" i="19"/>
  <c r="P253" i="19"/>
  <c r="N253" i="19"/>
  <c r="P252" i="19"/>
  <c r="N252" i="19"/>
  <c r="P251" i="19"/>
  <c r="N251" i="19"/>
  <c r="P250" i="19"/>
  <c r="N250" i="19"/>
  <c r="P249" i="19"/>
  <c r="N249" i="19"/>
  <c r="P248" i="19"/>
  <c r="N248" i="19"/>
  <c r="P247" i="19"/>
  <c r="N247" i="19"/>
  <c r="P246" i="19"/>
  <c r="N246" i="19"/>
  <c r="P232" i="19"/>
  <c r="P230" i="19"/>
  <c r="P229" i="19"/>
  <c r="O228" i="19"/>
  <c r="P222" i="19"/>
  <c r="P210" i="19"/>
  <c r="R188" i="19"/>
  <c r="R179" i="19"/>
  <c r="R172" i="19"/>
  <c r="R166" i="19"/>
  <c r="R164" i="19"/>
  <c r="R163" i="19"/>
  <c r="R156" i="19"/>
  <c r="R151" i="19"/>
  <c r="R152" i="19" s="1"/>
  <c r="B132" i="19"/>
  <c r="B205" i="19" s="1"/>
  <c r="B306" i="19" s="1"/>
  <c r="P122" i="19"/>
  <c r="P121" i="19"/>
  <c r="P111" i="19"/>
  <c r="R103" i="19"/>
  <c r="P98" i="19"/>
  <c r="R97" i="19"/>
  <c r="R100" i="19" s="1"/>
  <c r="P85" i="19"/>
  <c r="J83" i="19"/>
  <c r="R78" i="19"/>
  <c r="R180" i="19" s="1"/>
  <c r="P294" i="19" s="1"/>
  <c r="P67" i="19"/>
  <c r="N67" i="19"/>
  <c r="L67" i="19"/>
  <c r="J67" i="19"/>
  <c r="H67" i="19"/>
  <c r="H80" i="19" s="1"/>
  <c r="F67" i="19"/>
  <c r="F80" i="19" s="1"/>
  <c r="R65" i="19"/>
  <c r="R64" i="19"/>
  <c r="N54" i="19"/>
  <c r="N53" i="19"/>
  <c r="R47" i="19"/>
  <c r="L40" i="19"/>
  <c r="J40" i="19"/>
  <c r="H40" i="19"/>
  <c r="F40" i="19"/>
  <c r="L33" i="19"/>
  <c r="J33" i="19"/>
  <c r="H33" i="19"/>
  <c r="F33" i="19"/>
  <c r="D33" i="19"/>
  <c r="L32" i="19"/>
  <c r="J32" i="19"/>
  <c r="H32" i="19"/>
  <c r="F32" i="19"/>
  <c r="D32" i="19"/>
  <c r="R31" i="19"/>
  <c r="O186" i="19" s="1"/>
  <c r="L30" i="19"/>
  <c r="J30" i="19"/>
  <c r="H30" i="19"/>
  <c r="F30" i="19"/>
  <c r="D30" i="19"/>
  <c r="L29" i="19"/>
  <c r="J29" i="19"/>
  <c r="H29" i="19"/>
  <c r="F29" i="19"/>
  <c r="D29" i="19"/>
  <c r="R165" i="19" l="1"/>
  <c r="O260" i="19"/>
  <c r="O262" i="19"/>
  <c r="P293" i="19"/>
  <c r="P295" i="19" s="1"/>
  <c r="R32" i="19"/>
  <c r="R40" i="19" s="1"/>
  <c r="P213" i="19" s="1"/>
  <c r="P214" i="19" s="1"/>
  <c r="R67" i="19"/>
  <c r="R178" i="19" s="1"/>
  <c r="R181" i="19" s="1"/>
  <c r="O259" i="19"/>
  <c r="O261" i="19"/>
  <c r="O263" i="19"/>
  <c r="O265" i="19"/>
  <c r="O258" i="19"/>
  <c r="Q263" i="19"/>
  <c r="Q267" i="19" s="1"/>
  <c r="Q265" i="19"/>
  <c r="P128" i="19"/>
  <c r="P97" i="19"/>
  <c r="P100" i="19" s="1"/>
  <c r="R139" i="19"/>
  <c r="R138" i="19" s="1"/>
  <c r="R147" i="19" s="1"/>
  <c r="R33" i="19"/>
  <c r="P255" i="19"/>
  <c r="Q253" i="19" s="1"/>
  <c r="N255" i="19"/>
  <c r="O252" i="19" s="1"/>
  <c r="N293" i="19"/>
  <c r="R80" i="19"/>
  <c r="P215" i="19"/>
  <c r="R198" i="19"/>
  <c r="R194" i="19"/>
  <c r="R200" i="19"/>
  <c r="R196" i="19"/>
  <c r="R119" i="19"/>
  <c r="R128" i="19" s="1"/>
  <c r="R129" i="19" s="1"/>
  <c r="O253" i="19"/>
  <c r="O251" i="19"/>
  <c r="O250" i="19"/>
  <c r="O249" i="19"/>
  <c r="O248" i="19"/>
  <c r="O247" i="19"/>
  <c r="O246" i="19"/>
  <c r="Q251" i="19"/>
  <c r="Q249" i="19"/>
  <c r="Q247" i="19"/>
  <c r="R48" i="19"/>
  <c r="Q246" i="19" l="1"/>
  <c r="Q248" i="19"/>
  <c r="Q250" i="19"/>
  <c r="O267" i="19"/>
  <c r="P129" i="19"/>
  <c r="P298" i="19"/>
  <c r="Q252" i="19"/>
  <c r="O255" i="19"/>
  <c r="P296" i="19"/>
  <c r="R182" i="19"/>
  <c r="P229" i="18"/>
  <c r="Q255" i="19" l="1"/>
  <c r="P87" i="18"/>
  <c r="P222" i="18" l="1"/>
  <c r="R88" i="18"/>
  <c r="R118" i="18"/>
  <c r="R104" i="18"/>
  <c r="P122" i="18"/>
  <c r="L41" i="18"/>
  <c r="J41" i="18"/>
  <c r="H41" i="18"/>
  <c r="F41" i="18"/>
  <c r="Q291" i="18" l="1"/>
  <c r="P291" i="18"/>
  <c r="O291" i="18"/>
  <c r="N291" i="18"/>
  <c r="O228" i="18" s="1"/>
  <c r="Q279" i="18"/>
  <c r="P279" i="18"/>
  <c r="P227" i="18" s="1"/>
  <c r="O279" i="18"/>
  <c r="N279" i="18"/>
  <c r="O227" i="18" s="1"/>
  <c r="P267" i="18"/>
  <c r="N267" i="18"/>
  <c r="O265" i="18" s="1"/>
  <c r="Q264" i="18"/>
  <c r="O264" i="18"/>
  <c r="Q262" i="18"/>
  <c r="O261" i="18"/>
  <c r="Q260" i="18"/>
  <c r="O260" i="18"/>
  <c r="Q258" i="18"/>
  <c r="P253" i="18"/>
  <c r="N253" i="18"/>
  <c r="P252" i="18"/>
  <c r="N252" i="18"/>
  <c r="P251" i="18"/>
  <c r="N251" i="18"/>
  <c r="P250" i="18"/>
  <c r="N250" i="18"/>
  <c r="P249" i="18"/>
  <c r="N249" i="18"/>
  <c r="P248" i="18"/>
  <c r="N248" i="18"/>
  <c r="P247" i="18"/>
  <c r="N247" i="18"/>
  <c r="P246" i="18"/>
  <c r="P255" i="18" s="1"/>
  <c r="N246" i="18"/>
  <c r="P232" i="18"/>
  <c r="P230" i="18"/>
  <c r="P228" i="18"/>
  <c r="P210" i="18"/>
  <c r="R188" i="18"/>
  <c r="R179" i="18"/>
  <c r="R172" i="18"/>
  <c r="R166" i="18"/>
  <c r="R164" i="18"/>
  <c r="R163" i="18"/>
  <c r="R156" i="18"/>
  <c r="R151" i="18"/>
  <c r="R152" i="18" s="1"/>
  <c r="B132" i="18"/>
  <c r="B205" i="18" s="1"/>
  <c r="B306" i="18" s="1"/>
  <c r="P121" i="18"/>
  <c r="P128" i="18" s="1"/>
  <c r="P111" i="18"/>
  <c r="R103" i="18"/>
  <c r="P98" i="18"/>
  <c r="R97" i="18"/>
  <c r="R100" i="18" s="1"/>
  <c r="P85" i="18"/>
  <c r="J83" i="18"/>
  <c r="R78" i="18"/>
  <c r="R180" i="18" s="1"/>
  <c r="P294" i="18" s="1"/>
  <c r="P67" i="18"/>
  <c r="N67" i="18"/>
  <c r="L67" i="18"/>
  <c r="J67" i="18"/>
  <c r="H67" i="18"/>
  <c r="H80" i="18" s="1"/>
  <c r="F67" i="18"/>
  <c r="F80" i="18" s="1"/>
  <c r="R65" i="18"/>
  <c r="R64" i="18"/>
  <c r="N54" i="18"/>
  <c r="N53" i="18"/>
  <c r="R47" i="18"/>
  <c r="L40" i="18"/>
  <c r="J40" i="18"/>
  <c r="H40" i="18"/>
  <c r="F40" i="18"/>
  <c r="L33" i="18"/>
  <c r="J33" i="18"/>
  <c r="H33" i="18"/>
  <c r="F33" i="18"/>
  <c r="D33" i="18"/>
  <c r="L32" i="18"/>
  <c r="J32" i="18"/>
  <c r="H32" i="18"/>
  <c r="F32" i="18"/>
  <c r="D32" i="18"/>
  <c r="R31" i="18"/>
  <c r="O186" i="18" s="1"/>
  <c r="L30" i="18"/>
  <c r="J30" i="18"/>
  <c r="H30" i="18"/>
  <c r="F30" i="18"/>
  <c r="D30" i="18"/>
  <c r="L29" i="18"/>
  <c r="J29" i="18"/>
  <c r="H29" i="18"/>
  <c r="F29" i="18"/>
  <c r="D29" i="18"/>
  <c r="O258" i="18" l="1"/>
  <c r="O259" i="18"/>
  <c r="O262" i="18"/>
  <c r="O263" i="18"/>
  <c r="P293" i="18"/>
  <c r="N255" i="18"/>
  <c r="O252" i="18" s="1"/>
  <c r="R32" i="18"/>
  <c r="R48" i="18"/>
  <c r="R67" i="18"/>
  <c r="R178" i="18" s="1"/>
  <c r="R181" i="18" s="1"/>
  <c r="Q259" i="18"/>
  <c r="Q261" i="18"/>
  <c r="Q263" i="18"/>
  <c r="Q265" i="18"/>
  <c r="R165" i="18"/>
  <c r="P97" i="18"/>
  <c r="P100" i="18" s="1"/>
  <c r="P129" i="18" s="1"/>
  <c r="R40" i="18"/>
  <c r="P213" i="18" s="1"/>
  <c r="P214" i="18" s="1"/>
  <c r="R139" i="18"/>
  <c r="R138" i="18" s="1"/>
  <c r="R147" i="18" s="1"/>
  <c r="N293" i="18"/>
  <c r="O253" i="18"/>
  <c r="O251" i="18"/>
  <c r="O249" i="18"/>
  <c r="O247" i="18"/>
  <c r="R80" i="18"/>
  <c r="R200" i="18"/>
  <c r="R196" i="18"/>
  <c r="P215" i="18"/>
  <c r="R198" i="18"/>
  <c r="R194" i="18"/>
  <c r="R119" i="18"/>
  <c r="R128" i="18" s="1"/>
  <c r="R129" i="18" s="1"/>
  <c r="Q253" i="18"/>
  <c r="Q252" i="18"/>
  <c r="Q251" i="18"/>
  <c r="Q250" i="18"/>
  <c r="Q249" i="18"/>
  <c r="Q248" i="18"/>
  <c r="Q247" i="18"/>
  <c r="Q246" i="18"/>
  <c r="P295" i="18"/>
  <c r="R33" i="18"/>
  <c r="P298" i="18" s="1"/>
  <c r="P87" i="17"/>
  <c r="O267" i="18" l="1"/>
  <c r="O246" i="18"/>
  <c r="O248" i="18"/>
  <c r="O250" i="18"/>
  <c r="O255" i="18" s="1"/>
  <c r="Q267" i="18"/>
  <c r="Q255" i="18"/>
  <c r="P296" i="18"/>
  <c r="R182" i="18"/>
  <c r="R118" i="17"/>
  <c r="R104" i="17"/>
  <c r="R88" i="17"/>
  <c r="Q291" i="17" l="1"/>
  <c r="P291" i="17"/>
  <c r="P228" i="17" s="1"/>
  <c r="O291" i="17"/>
  <c r="N291" i="17"/>
  <c r="Q279" i="17"/>
  <c r="P279" i="17"/>
  <c r="P227" i="17" s="1"/>
  <c r="O279" i="17"/>
  <c r="N279" i="17"/>
  <c r="O227" i="17" s="1"/>
  <c r="P267" i="17"/>
  <c r="Q265" i="17" s="1"/>
  <c r="N267" i="17"/>
  <c r="O265" i="17" s="1"/>
  <c r="Q264" i="17"/>
  <c r="O264" i="17"/>
  <c r="Q262" i="17"/>
  <c r="O262" i="17"/>
  <c r="Q260" i="17"/>
  <c r="O260" i="17"/>
  <c r="Q258" i="17"/>
  <c r="O258" i="17"/>
  <c r="P253" i="17"/>
  <c r="N253" i="17"/>
  <c r="P252" i="17"/>
  <c r="N252" i="17"/>
  <c r="P251" i="17"/>
  <c r="N251" i="17"/>
  <c r="P250" i="17"/>
  <c r="N250" i="17"/>
  <c r="P249" i="17"/>
  <c r="N249" i="17"/>
  <c r="P248" i="17"/>
  <c r="N248" i="17"/>
  <c r="P247" i="17"/>
  <c r="N247" i="17"/>
  <c r="P246" i="17"/>
  <c r="N246" i="17"/>
  <c r="P232" i="17"/>
  <c r="P230" i="17"/>
  <c r="P210" i="17"/>
  <c r="R188" i="17"/>
  <c r="R179" i="17"/>
  <c r="R172" i="17"/>
  <c r="R166" i="17"/>
  <c r="R164" i="17"/>
  <c r="R163" i="17"/>
  <c r="R165" i="17" s="1"/>
  <c r="R156" i="17"/>
  <c r="R151" i="17"/>
  <c r="R152" i="17" s="1"/>
  <c r="B132" i="17"/>
  <c r="B205" i="17" s="1"/>
  <c r="B306" i="17" s="1"/>
  <c r="P121" i="17"/>
  <c r="P128" i="17" s="1"/>
  <c r="P111" i="17"/>
  <c r="R103" i="17"/>
  <c r="P98" i="17"/>
  <c r="R97" i="17"/>
  <c r="R100" i="17" s="1"/>
  <c r="R119" i="17" s="1"/>
  <c r="P85" i="17"/>
  <c r="J83" i="17"/>
  <c r="R78" i="17"/>
  <c r="R180" i="17" s="1"/>
  <c r="P294" i="17" s="1"/>
  <c r="P67" i="17"/>
  <c r="J67" i="17"/>
  <c r="H67" i="17"/>
  <c r="H80" i="17" s="1"/>
  <c r="F67" i="17"/>
  <c r="F80" i="17" s="1"/>
  <c r="R65" i="17"/>
  <c r="N67" i="17"/>
  <c r="P222" i="17"/>
  <c r="N54" i="17"/>
  <c r="N53" i="17"/>
  <c r="R47" i="17"/>
  <c r="L41" i="17"/>
  <c r="J41" i="17"/>
  <c r="H41" i="17"/>
  <c r="F41" i="17"/>
  <c r="L40" i="17"/>
  <c r="J40" i="17"/>
  <c r="H40" i="17"/>
  <c r="F40" i="17"/>
  <c r="L33" i="17"/>
  <c r="J33" i="17"/>
  <c r="H33" i="17"/>
  <c r="F33" i="17"/>
  <c r="D33" i="17"/>
  <c r="L32" i="17"/>
  <c r="J32" i="17"/>
  <c r="H32" i="17"/>
  <c r="F32" i="17"/>
  <c r="D32" i="17"/>
  <c r="R31" i="17"/>
  <c r="O186" i="17" s="1"/>
  <c r="L30" i="17"/>
  <c r="J30" i="17"/>
  <c r="H30" i="17"/>
  <c r="F30" i="17"/>
  <c r="D30" i="17"/>
  <c r="L29" i="17"/>
  <c r="J29" i="17"/>
  <c r="H29" i="17"/>
  <c r="F29" i="17"/>
  <c r="D29" i="17"/>
  <c r="P255" i="17" l="1"/>
  <c r="N255" i="17"/>
  <c r="O253" i="17" s="1"/>
  <c r="O259" i="17"/>
  <c r="O261" i="17"/>
  <c r="O263" i="17"/>
  <c r="R32" i="17"/>
  <c r="Q259" i="17"/>
  <c r="Q261" i="17"/>
  <c r="Q263" i="17"/>
  <c r="R40" i="17"/>
  <c r="P213" i="17" s="1"/>
  <c r="P214" i="17" s="1"/>
  <c r="P293" i="17"/>
  <c r="P295" i="17" s="1"/>
  <c r="N293" i="17"/>
  <c r="R48" i="17"/>
  <c r="O228" i="17"/>
  <c r="R200" i="17"/>
  <c r="R196" i="17"/>
  <c r="P215" i="17"/>
  <c r="R198" i="17"/>
  <c r="R194" i="17"/>
  <c r="R128" i="17"/>
  <c r="R129" i="17" s="1"/>
  <c r="O252" i="17"/>
  <c r="O251" i="17"/>
  <c r="O250" i="17"/>
  <c r="O248" i="17"/>
  <c r="O247" i="17"/>
  <c r="O246" i="17"/>
  <c r="Q253" i="17"/>
  <c r="Q252" i="17"/>
  <c r="Q251" i="17"/>
  <c r="Q250" i="17"/>
  <c r="Q249" i="17"/>
  <c r="Q248" i="17"/>
  <c r="Q247" i="17"/>
  <c r="Q246" i="17"/>
  <c r="R33" i="17"/>
  <c r="R64" i="17"/>
  <c r="R67" i="17" s="1"/>
  <c r="R139" i="17"/>
  <c r="R138" i="17" s="1"/>
  <c r="R147" i="17" s="1"/>
  <c r="L67" i="17"/>
  <c r="P97" i="17"/>
  <c r="P100" i="17" s="1"/>
  <c r="P129" i="17" s="1"/>
  <c r="R156" i="16"/>
  <c r="O249" i="17" l="1"/>
  <c r="Q267" i="17"/>
  <c r="O267" i="17"/>
  <c r="P298" i="17"/>
  <c r="Q255" i="17"/>
  <c r="O255" i="17"/>
  <c r="R178" i="17"/>
  <c r="R181" i="17" s="1"/>
  <c r="R80" i="17"/>
  <c r="P296" i="17" l="1"/>
  <c r="R182" i="17"/>
  <c r="R118" i="16"/>
  <c r="R104" i="16"/>
  <c r="R88" i="16"/>
  <c r="P121" i="16"/>
  <c r="L64" i="16" l="1"/>
  <c r="P87" i="16" s="1"/>
  <c r="N64" i="16"/>
  <c r="L41" i="16"/>
  <c r="J41" i="16"/>
  <c r="H41" i="16"/>
  <c r="F41" i="16"/>
  <c r="Q291" i="16" l="1"/>
  <c r="P291" i="16"/>
  <c r="P228" i="16" s="1"/>
  <c r="O291" i="16"/>
  <c r="N291" i="16"/>
  <c r="O228" i="16" s="1"/>
  <c r="Q279" i="16"/>
  <c r="P279" i="16"/>
  <c r="O279" i="16"/>
  <c r="N279" i="16"/>
  <c r="O227" i="16" s="1"/>
  <c r="P267" i="16"/>
  <c r="N267" i="16"/>
  <c r="O265" i="16" s="1"/>
  <c r="Q264" i="16"/>
  <c r="O263" i="16"/>
  <c r="Q262" i="16"/>
  <c r="O262" i="16"/>
  <c r="Q260" i="16"/>
  <c r="O259" i="16"/>
  <c r="Q258" i="16"/>
  <c r="O258" i="16"/>
  <c r="P253" i="16"/>
  <c r="N253" i="16"/>
  <c r="P252" i="16"/>
  <c r="N252" i="16"/>
  <c r="P251" i="16"/>
  <c r="N251" i="16"/>
  <c r="P250" i="16"/>
  <c r="N250" i="16"/>
  <c r="P249" i="16"/>
  <c r="N249" i="16"/>
  <c r="P248" i="16"/>
  <c r="N248" i="16"/>
  <c r="P247" i="16"/>
  <c r="N247" i="16"/>
  <c r="P246" i="16"/>
  <c r="P255" i="16" s="1"/>
  <c r="N246" i="16"/>
  <c r="P232" i="16"/>
  <c r="P230" i="16"/>
  <c r="P227" i="16"/>
  <c r="P210" i="16"/>
  <c r="R188" i="16"/>
  <c r="R179" i="16"/>
  <c r="R172" i="16"/>
  <c r="R166" i="16"/>
  <c r="R164" i="16"/>
  <c r="R163" i="16"/>
  <c r="R165" i="16" s="1"/>
  <c r="R151" i="16"/>
  <c r="R152" i="16" s="1"/>
  <c r="B132" i="16"/>
  <c r="B205" i="16" s="1"/>
  <c r="B307" i="16" s="1"/>
  <c r="P128" i="16"/>
  <c r="P111" i="16"/>
  <c r="R103" i="16"/>
  <c r="P98" i="16"/>
  <c r="R97" i="16"/>
  <c r="R100" i="16" s="1"/>
  <c r="P85" i="16"/>
  <c r="P97" i="16" s="1"/>
  <c r="J83" i="16"/>
  <c r="R78" i="16"/>
  <c r="R180" i="16" s="1"/>
  <c r="P294" i="16" s="1"/>
  <c r="P67" i="16"/>
  <c r="L67" i="16"/>
  <c r="J67" i="16"/>
  <c r="H67" i="16"/>
  <c r="H80" i="16" s="1"/>
  <c r="F67" i="16"/>
  <c r="F80" i="16" s="1"/>
  <c r="R65" i="16"/>
  <c r="N67" i="16"/>
  <c r="P222" i="16"/>
  <c r="N54" i="16"/>
  <c r="N53" i="16"/>
  <c r="R47" i="16"/>
  <c r="L40" i="16"/>
  <c r="J40" i="16"/>
  <c r="H40" i="16"/>
  <c r="F40" i="16"/>
  <c r="L33" i="16"/>
  <c r="J33" i="16"/>
  <c r="H33" i="16"/>
  <c r="F33" i="16"/>
  <c r="D33" i="16"/>
  <c r="L32" i="16"/>
  <c r="J32" i="16"/>
  <c r="H32" i="16"/>
  <c r="F32" i="16"/>
  <c r="D32" i="16"/>
  <c r="R31" i="16"/>
  <c r="O186" i="16" s="1"/>
  <c r="L30" i="16"/>
  <c r="J30" i="16"/>
  <c r="H30" i="16"/>
  <c r="F30" i="16"/>
  <c r="D30" i="16"/>
  <c r="L29" i="16"/>
  <c r="J29" i="16"/>
  <c r="H29" i="16"/>
  <c r="F29" i="16"/>
  <c r="D29" i="16"/>
  <c r="O260" i="16" l="1"/>
  <c r="O261" i="16"/>
  <c r="O264" i="16"/>
  <c r="P293" i="16"/>
  <c r="P295" i="16" s="1"/>
  <c r="R32" i="16"/>
  <c r="R40" i="16" s="1"/>
  <c r="Q259" i="16"/>
  <c r="Q261" i="16"/>
  <c r="Q263" i="16"/>
  <c r="Q265" i="16"/>
  <c r="R33" i="16"/>
  <c r="N255" i="16"/>
  <c r="O252" i="16" s="1"/>
  <c r="O267" i="16"/>
  <c r="P213" i="16"/>
  <c r="P214" i="16" s="1"/>
  <c r="N293" i="16"/>
  <c r="R200" i="16"/>
  <c r="R196" i="16"/>
  <c r="P215" i="16"/>
  <c r="R198" i="16"/>
  <c r="R194" i="16"/>
  <c r="R119" i="16"/>
  <c r="R128" i="16" s="1"/>
  <c r="R129" i="16" s="1"/>
  <c r="Q253" i="16"/>
  <c r="Q252" i="16"/>
  <c r="Q251" i="16"/>
  <c r="Q250" i="16"/>
  <c r="Q249" i="16"/>
  <c r="Q248" i="16"/>
  <c r="Q247" i="16"/>
  <c r="Q246" i="16"/>
  <c r="Q255" i="16" s="1"/>
  <c r="R48" i="16"/>
  <c r="R139" i="16"/>
  <c r="R138" i="16" s="1"/>
  <c r="R147" i="16" s="1"/>
  <c r="R64" i="16"/>
  <c r="R67" i="16" s="1"/>
  <c r="P100" i="16"/>
  <c r="P129" i="16" s="1"/>
  <c r="R118" i="15"/>
  <c r="R104" i="15"/>
  <c r="R88" i="15"/>
  <c r="L64" i="15"/>
  <c r="P87" i="15" s="1"/>
  <c r="N64" i="15"/>
  <c r="L41" i="15"/>
  <c r="J41" i="15"/>
  <c r="H41" i="15"/>
  <c r="F41" i="15"/>
  <c r="P298" i="16" l="1"/>
  <c r="Q267" i="16"/>
  <c r="O246" i="16"/>
  <c r="O250" i="16"/>
  <c r="O249" i="16"/>
  <c r="O247" i="16"/>
  <c r="O251" i="16"/>
  <c r="O253" i="16"/>
  <c r="O248" i="16"/>
  <c r="R80" i="16"/>
  <c r="R178" i="16"/>
  <c r="R181" i="16" s="1"/>
  <c r="Q291" i="15"/>
  <c r="P291" i="15"/>
  <c r="P228" i="15" s="1"/>
  <c r="O291" i="15"/>
  <c r="N291" i="15"/>
  <c r="O228" i="15" s="1"/>
  <c r="Q279" i="15"/>
  <c r="P279" i="15"/>
  <c r="P227" i="15" s="1"/>
  <c r="O279" i="15"/>
  <c r="N279" i="15"/>
  <c r="O227" i="15" s="1"/>
  <c r="P267" i="15"/>
  <c r="Q265" i="15" s="1"/>
  <c r="N267" i="15"/>
  <c r="O265" i="15" s="1"/>
  <c r="P253" i="15"/>
  <c r="N253" i="15"/>
  <c r="P252" i="15"/>
  <c r="N252" i="15"/>
  <c r="P251" i="15"/>
  <c r="N251" i="15"/>
  <c r="P250" i="15"/>
  <c r="N250" i="15"/>
  <c r="P249" i="15"/>
  <c r="N249" i="15"/>
  <c r="P248" i="15"/>
  <c r="N248" i="15"/>
  <c r="P247" i="15"/>
  <c r="N247" i="15"/>
  <c r="P246" i="15"/>
  <c r="N246" i="15"/>
  <c r="P232" i="15"/>
  <c r="P230" i="15"/>
  <c r="P210" i="15"/>
  <c r="R188" i="15"/>
  <c r="R179" i="15"/>
  <c r="R172" i="15"/>
  <c r="R166" i="15"/>
  <c r="R164" i="15"/>
  <c r="R163" i="15"/>
  <c r="R156" i="15"/>
  <c r="R151" i="15"/>
  <c r="R152" i="15" s="1"/>
  <c r="B132" i="15"/>
  <c r="B205" i="15" s="1"/>
  <c r="B307" i="15" s="1"/>
  <c r="P121" i="15"/>
  <c r="P128" i="15" s="1"/>
  <c r="P111" i="15"/>
  <c r="R103" i="15"/>
  <c r="P98" i="15"/>
  <c r="R97" i="15"/>
  <c r="R100" i="15" s="1"/>
  <c r="P85" i="15"/>
  <c r="P86" i="15" s="1"/>
  <c r="J83" i="15"/>
  <c r="R78" i="15"/>
  <c r="R180" i="15" s="1"/>
  <c r="P294" i="15" s="1"/>
  <c r="P67" i="15"/>
  <c r="L67" i="15"/>
  <c r="J67" i="15"/>
  <c r="H67" i="15"/>
  <c r="H80" i="15" s="1"/>
  <c r="F67" i="15"/>
  <c r="F80" i="15" s="1"/>
  <c r="R65" i="15"/>
  <c r="N67" i="15"/>
  <c r="P222" i="15"/>
  <c r="N54" i="15"/>
  <c r="N53" i="15"/>
  <c r="R47" i="15"/>
  <c r="L40" i="15"/>
  <c r="J40" i="15"/>
  <c r="H40" i="15"/>
  <c r="F40" i="15"/>
  <c r="L33" i="15"/>
  <c r="J33" i="15"/>
  <c r="H33" i="15"/>
  <c r="F33" i="15"/>
  <c r="D33" i="15"/>
  <c r="L32" i="15"/>
  <c r="J32" i="15"/>
  <c r="H32" i="15"/>
  <c r="F32" i="15"/>
  <c r="D32" i="15"/>
  <c r="R31" i="15"/>
  <c r="O186" i="15" s="1"/>
  <c r="L30" i="15"/>
  <c r="J30" i="15"/>
  <c r="H30" i="15"/>
  <c r="F30" i="15"/>
  <c r="D30" i="15"/>
  <c r="L29" i="15"/>
  <c r="J29" i="15"/>
  <c r="H29" i="15"/>
  <c r="F29" i="15"/>
  <c r="D29" i="15"/>
  <c r="N255" i="15" l="1"/>
  <c r="Q258" i="15"/>
  <c r="Q260" i="15"/>
  <c r="Q267" i="15" s="1"/>
  <c r="Q263" i="15"/>
  <c r="Q259" i="15"/>
  <c r="Q261" i="15"/>
  <c r="O258" i="15"/>
  <c r="O264" i="15"/>
  <c r="O262" i="15"/>
  <c r="Q264" i="15"/>
  <c r="O260" i="15"/>
  <c r="Q262" i="15"/>
  <c r="P255" i="15"/>
  <c r="R33" i="15"/>
  <c r="O259" i="15"/>
  <c r="O261" i="15"/>
  <c r="O263" i="15"/>
  <c r="O255" i="16"/>
  <c r="P296" i="16"/>
  <c r="R182" i="16"/>
  <c r="P293" i="15"/>
  <c r="P295" i="15" s="1"/>
  <c r="R32" i="15"/>
  <c r="R40" i="15" s="1"/>
  <c r="P213" i="15" s="1"/>
  <c r="P214" i="15" s="1"/>
  <c r="R165" i="15"/>
  <c r="N293" i="15"/>
  <c r="R200" i="15"/>
  <c r="R196" i="15"/>
  <c r="P215" i="15"/>
  <c r="R198" i="15"/>
  <c r="R194" i="15"/>
  <c r="R119" i="15"/>
  <c r="R128" i="15" s="1"/>
  <c r="R129" i="15" s="1"/>
  <c r="Q253" i="15"/>
  <c r="Q252" i="15"/>
  <c r="Q251" i="15"/>
  <c r="Q250" i="15"/>
  <c r="Q249" i="15"/>
  <c r="Q248" i="15"/>
  <c r="Q247" i="15"/>
  <c r="Q246" i="15"/>
  <c r="O253" i="15"/>
  <c r="O252" i="15"/>
  <c r="O251" i="15"/>
  <c r="O250" i="15"/>
  <c r="O249" i="15"/>
  <c r="O248" i="15"/>
  <c r="O247" i="15"/>
  <c r="O246" i="15"/>
  <c r="R48" i="15"/>
  <c r="R139" i="15"/>
  <c r="R138" i="15" s="1"/>
  <c r="R147" i="15" s="1"/>
  <c r="P298" i="15" s="1"/>
  <c r="R64" i="15"/>
  <c r="R67" i="15" s="1"/>
  <c r="P97" i="15"/>
  <c r="P100" i="15" s="1"/>
  <c r="P129" i="15" s="1"/>
  <c r="O267" i="15" l="1"/>
  <c r="Q255" i="15"/>
  <c r="R80" i="15"/>
  <c r="R178" i="15"/>
  <c r="R181" i="15" s="1"/>
  <c r="O255" i="15"/>
  <c r="R118" i="14"/>
  <c r="R104" i="14"/>
  <c r="R88" i="14"/>
  <c r="L64" i="14"/>
  <c r="P87" i="14" s="1"/>
  <c r="N64" i="14"/>
  <c r="L41" i="14"/>
  <c r="J41" i="14"/>
  <c r="H41" i="14"/>
  <c r="F41" i="14"/>
  <c r="P296" i="15" l="1"/>
  <c r="R182" i="15"/>
  <c r="Q291" i="14" l="1"/>
  <c r="P291" i="14"/>
  <c r="O291" i="14"/>
  <c r="N291" i="14"/>
  <c r="O228" i="14" s="1"/>
  <c r="Q279" i="14"/>
  <c r="P279" i="14"/>
  <c r="P227" i="14" s="1"/>
  <c r="O279" i="14"/>
  <c r="N279" i="14"/>
  <c r="O227" i="14" s="1"/>
  <c r="P267" i="14"/>
  <c r="Q265" i="14" s="1"/>
  <c r="N267" i="14"/>
  <c r="O265" i="14" s="1"/>
  <c r="O263" i="14"/>
  <c r="O261" i="14"/>
  <c r="O259" i="14"/>
  <c r="P253" i="14"/>
  <c r="N253" i="14"/>
  <c r="P252" i="14"/>
  <c r="N252" i="14"/>
  <c r="P251" i="14"/>
  <c r="N251" i="14"/>
  <c r="P250" i="14"/>
  <c r="N250" i="14"/>
  <c r="P249" i="14"/>
  <c r="N249" i="14"/>
  <c r="P248" i="14"/>
  <c r="N248" i="14"/>
  <c r="P247" i="14"/>
  <c r="N247" i="14"/>
  <c r="P246" i="14"/>
  <c r="N246" i="14"/>
  <c r="P232" i="14"/>
  <c r="P230" i="14"/>
  <c r="P228" i="14"/>
  <c r="P222" i="14"/>
  <c r="R188" i="14"/>
  <c r="R179" i="14"/>
  <c r="R172" i="14"/>
  <c r="R166" i="14"/>
  <c r="R164" i="14"/>
  <c r="R163" i="14"/>
  <c r="R156" i="14"/>
  <c r="R151" i="14"/>
  <c r="R152" i="14" s="1"/>
  <c r="B132" i="14"/>
  <c r="B205" i="14" s="1"/>
  <c r="B307" i="14" s="1"/>
  <c r="P121" i="14"/>
  <c r="P128" i="14" s="1"/>
  <c r="P111" i="14"/>
  <c r="R103" i="14"/>
  <c r="P98" i="14"/>
  <c r="R97" i="14"/>
  <c r="R100" i="14" s="1"/>
  <c r="P85" i="14"/>
  <c r="P86" i="14" s="1"/>
  <c r="J83" i="14"/>
  <c r="R78" i="14"/>
  <c r="R180" i="14" s="1"/>
  <c r="P294" i="14" s="1"/>
  <c r="P67" i="14"/>
  <c r="L67" i="14"/>
  <c r="J67" i="14"/>
  <c r="H67" i="14"/>
  <c r="H80" i="14" s="1"/>
  <c r="F67" i="14"/>
  <c r="F80" i="14" s="1"/>
  <c r="R65" i="14"/>
  <c r="N67" i="14"/>
  <c r="N54" i="14"/>
  <c r="N53" i="14"/>
  <c r="R47" i="14"/>
  <c r="L40" i="14"/>
  <c r="J40" i="14"/>
  <c r="H40" i="14"/>
  <c r="F40" i="14"/>
  <c r="L33" i="14"/>
  <c r="J33" i="14"/>
  <c r="H33" i="14"/>
  <c r="F33" i="14"/>
  <c r="D33" i="14"/>
  <c r="L32" i="14"/>
  <c r="J32" i="14"/>
  <c r="H32" i="14"/>
  <c r="F32" i="14"/>
  <c r="D32" i="14"/>
  <c r="R31" i="14"/>
  <c r="O186" i="14" s="1"/>
  <c r="L30" i="14"/>
  <c r="J30" i="14"/>
  <c r="H30" i="14"/>
  <c r="F30" i="14"/>
  <c r="D30" i="14"/>
  <c r="L29" i="14"/>
  <c r="J29" i="14"/>
  <c r="H29" i="14"/>
  <c r="F29" i="14"/>
  <c r="D29" i="14"/>
  <c r="R32" i="14" l="1"/>
  <c r="R40" i="14" s="1"/>
  <c r="O258" i="14"/>
  <c r="O260" i="14"/>
  <c r="O262" i="14"/>
  <c r="O267" i="14" s="1"/>
  <c r="O264" i="14"/>
  <c r="R165" i="14"/>
  <c r="P293" i="14"/>
  <c r="P295" i="14" s="1"/>
  <c r="P213" i="14"/>
  <c r="P214" i="14" s="1"/>
  <c r="P210" i="14"/>
  <c r="P97" i="14"/>
  <c r="P100" i="14" s="1"/>
  <c r="P129" i="14" s="1"/>
  <c r="P215" i="14"/>
  <c r="R200" i="14"/>
  <c r="R196" i="14"/>
  <c r="R198" i="14"/>
  <c r="R194" i="14"/>
  <c r="R119" i="14"/>
  <c r="R33" i="14"/>
  <c r="R139" i="14"/>
  <c r="R138" i="14" s="1"/>
  <c r="R147" i="14" s="1"/>
  <c r="R48" i="14"/>
  <c r="N255" i="14"/>
  <c r="O247" i="14" s="1"/>
  <c r="P255" i="14"/>
  <c r="Q247" i="14" s="1"/>
  <c r="N293" i="14"/>
  <c r="R64" i="14"/>
  <c r="R67" i="14" s="1"/>
  <c r="Q258" i="14"/>
  <c r="Q259" i="14"/>
  <c r="Q260" i="14"/>
  <c r="Q261" i="14"/>
  <c r="Q262" i="14"/>
  <c r="Q263" i="14"/>
  <c r="Q264" i="14"/>
  <c r="R128" i="14" l="1"/>
  <c r="R129" i="14" s="1"/>
  <c r="P298" i="14"/>
  <c r="O250" i="14"/>
  <c r="O246" i="14"/>
  <c r="O252" i="14"/>
  <c r="O248" i="14"/>
  <c r="R80" i="14"/>
  <c r="R178" i="14"/>
  <c r="R181" i="14" s="1"/>
  <c r="Q252" i="14"/>
  <c r="Q250" i="14"/>
  <c r="Q248" i="14"/>
  <c r="Q246" i="14"/>
  <c r="Q267" i="14"/>
  <c r="Q253" i="14"/>
  <c r="Q251" i="14"/>
  <c r="Q249" i="14"/>
  <c r="O253" i="14"/>
  <c r="O251" i="14"/>
  <c r="O249" i="14"/>
  <c r="R104" i="13"/>
  <c r="R118" i="13"/>
  <c r="R88" i="13"/>
  <c r="N64" i="13"/>
  <c r="L64" i="13"/>
  <c r="L41" i="13"/>
  <c r="J41" i="13"/>
  <c r="H41" i="13"/>
  <c r="F41" i="13"/>
  <c r="O255" i="14" l="1"/>
  <c r="Q255" i="14"/>
  <c r="P296" i="14"/>
  <c r="R182" i="14"/>
  <c r="Q291" i="13"/>
  <c r="P291" i="13"/>
  <c r="P228" i="13" s="1"/>
  <c r="O291" i="13"/>
  <c r="N291" i="13"/>
  <c r="O228" i="13" s="1"/>
  <c r="Q279" i="13"/>
  <c r="P279" i="13"/>
  <c r="P227" i="13" s="1"/>
  <c r="O279" i="13"/>
  <c r="N279" i="13"/>
  <c r="O227" i="13" s="1"/>
  <c r="P267" i="13"/>
  <c r="Q265" i="13" s="1"/>
  <c r="N267" i="13"/>
  <c r="O265" i="13" s="1"/>
  <c r="Q264" i="13"/>
  <c r="O263" i="13"/>
  <c r="Q262" i="13"/>
  <c r="O262" i="13"/>
  <c r="Q261" i="13"/>
  <c r="O261" i="13"/>
  <c r="Q260" i="13"/>
  <c r="O260" i="13"/>
  <c r="Q259" i="13"/>
  <c r="O259" i="13"/>
  <c r="Q258" i="13"/>
  <c r="O258" i="13"/>
  <c r="P253" i="13"/>
  <c r="N253" i="13"/>
  <c r="P252" i="13"/>
  <c r="N252" i="13"/>
  <c r="P251" i="13"/>
  <c r="N251" i="13"/>
  <c r="P250" i="13"/>
  <c r="N250" i="13"/>
  <c r="P249" i="13"/>
  <c r="N249" i="13"/>
  <c r="P248" i="13"/>
  <c r="N248" i="13"/>
  <c r="P247" i="13"/>
  <c r="N247" i="13"/>
  <c r="P246" i="13"/>
  <c r="N246" i="13"/>
  <c r="P232" i="13"/>
  <c r="P230" i="13"/>
  <c r="R188" i="13"/>
  <c r="R179" i="13"/>
  <c r="R172" i="13"/>
  <c r="R166" i="13"/>
  <c r="R164" i="13"/>
  <c r="R163" i="13"/>
  <c r="R156" i="13"/>
  <c r="R151" i="13"/>
  <c r="R152" i="13" s="1"/>
  <c r="B132" i="13"/>
  <c r="B205" i="13" s="1"/>
  <c r="B307" i="13" s="1"/>
  <c r="P121" i="13"/>
  <c r="P128" i="13" s="1"/>
  <c r="P111" i="13"/>
  <c r="R103" i="13"/>
  <c r="P98" i="13"/>
  <c r="R97" i="13"/>
  <c r="R100" i="13" s="1"/>
  <c r="P85" i="13"/>
  <c r="P86" i="13" s="1"/>
  <c r="J83" i="13"/>
  <c r="R78" i="13"/>
  <c r="R180" i="13" s="1"/>
  <c r="P294" i="13" s="1"/>
  <c r="P67" i="13"/>
  <c r="L67" i="13"/>
  <c r="J67" i="13"/>
  <c r="H67" i="13"/>
  <c r="H80" i="13" s="1"/>
  <c r="F67" i="13"/>
  <c r="F80" i="13" s="1"/>
  <c r="R65" i="13"/>
  <c r="N67" i="13"/>
  <c r="P222" i="13"/>
  <c r="N54" i="13"/>
  <c r="N53" i="13"/>
  <c r="R47" i="13"/>
  <c r="L40" i="13"/>
  <c r="J40" i="13"/>
  <c r="H40" i="13"/>
  <c r="F40" i="13"/>
  <c r="L33" i="13"/>
  <c r="J33" i="13"/>
  <c r="H33" i="13"/>
  <c r="F33" i="13"/>
  <c r="D33" i="13"/>
  <c r="L32" i="13"/>
  <c r="J32" i="13"/>
  <c r="H32" i="13"/>
  <c r="F32" i="13"/>
  <c r="D32" i="13"/>
  <c r="R31" i="13"/>
  <c r="O186" i="13" s="1"/>
  <c r="L30" i="13"/>
  <c r="J30" i="13"/>
  <c r="H30" i="13"/>
  <c r="F30" i="13"/>
  <c r="D30" i="13"/>
  <c r="L29" i="13"/>
  <c r="J29" i="13"/>
  <c r="H29" i="13"/>
  <c r="F29" i="13"/>
  <c r="D29" i="13"/>
  <c r="O264" i="13" l="1"/>
  <c r="Q263" i="13"/>
  <c r="R32" i="13"/>
  <c r="R40" i="13" s="1"/>
  <c r="P213" i="13" s="1"/>
  <c r="P214" i="13" s="1"/>
  <c r="N255" i="13"/>
  <c r="O248" i="13" s="1"/>
  <c r="O267" i="13"/>
  <c r="P255" i="13"/>
  <c r="Q247" i="13" s="1"/>
  <c r="R48" i="13"/>
  <c r="R165" i="13"/>
  <c r="P293" i="13"/>
  <c r="P295" i="13" s="1"/>
  <c r="Q267" i="13"/>
  <c r="R33" i="13"/>
  <c r="N293" i="13"/>
  <c r="R198" i="13"/>
  <c r="R194" i="13"/>
  <c r="P215" i="13"/>
  <c r="R200" i="13"/>
  <c r="R196" i="13"/>
  <c r="R119" i="13"/>
  <c r="R128" i="13" s="1"/>
  <c r="R129" i="13" s="1"/>
  <c r="Q248" i="13"/>
  <c r="Q250" i="13"/>
  <c r="Q252" i="13"/>
  <c r="R139" i="13"/>
  <c r="R138" i="13" s="1"/>
  <c r="R147" i="13" s="1"/>
  <c r="P210" i="13"/>
  <c r="R64" i="13"/>
  <c r="R67" i="13" s="1"/>
  <c r="P87" i="13"/>
  <c r="P97" i="13" s="1"/>
  <c r="P100" i="13" s="1"/>
  <c r="P129" i="13" s="1"/>
  <c r="O246" i="13" l="1"/>
  <c r="O253" i="13"/>
  <c r="O251" i="13"/>
  <c r="O249" i="13"/>
  <c r="Q246" i="13"/>
  <c r="Q253" i="13"/>
  <c r="Q251" i="13"/>
  <c r="Q249" i="13"/>
  <c r="Q255" i="13" s="1"/>
  <c r="O252" i="13"/>
  <c r="O250" i="13"/>
  <c r="O247" i="13"/>
  <c r="P298" i="13"/>
  <c r="R178" i="13"/>
  <c r="R181" i="13" s="1"/>
  <c r="R80" i="13"/>
  <c r="O255" i="13" l="1"/>
  <c r="P296" i="13"/>
  <c r="R182" i="13"/>
  <c r="R78" i="12"/>
  <c r="R156" i="12" l="1"/>
  <c r="R118" i="12"/>
  <c r="R104" i="12"/>
  <c r="R88" i="12"/>
  <c r="L64" i="12"/>
  <c r="P87" i="12" l="1"/>
  <c r="N64" i="12"/>
  <c r="R64" i="12" s="1"/>
  <c r="N53" i="12"/>
  <c r="L41" i="12"/>
  <c r="J41" i="12"/>
  <c r="H41" i="12"/>
  <c r="F41" i="12"/>
  <c r="L29" i="12"/>
  <c r="J29" i="12"/>
  <c r="H29" i="12"/>
  <c r="L32" i="12"/>
  <c r="J32" i="12"/>
  <c r="H32" i="12"/>
  <c r="F32" i="12"/>
  <c r="F29" i="12"/>
  <c r="D29" i="12"/>
  <c r="D32" i="12"/>
  <c r="Q291" i="12" l="1"/>
  <c r="P291" i="12"/>
  <c r="P228" i="12" s="1"/>
  <c r="O291" i="12"/>
  <c r="N291" i="12"/>
  <c r="O228" i="12" s="1"/>
  <c r="Q279" i="12"/>
  <c r="P279" i="12"/>
  <c r="P227" i="12" s="1"/>
  <c r="O279" i="12"/>
  <c r="N279" i="12"/>
  <c r="O227" i="12" s="1"/>
  <c r="P267" i="12"/>
  <c r="Q264" i="12" s="1"/>
  <c r="N267" i="12"/>
  <c r="O265" i="12" s="1"/>
  <c r="P253" i="12"/>
  <c r="N253" i="12"/>
  <c r="P252" i="12"/>
  <c r="N252" i="12"/>
  <c r="P251" i="12"/>
  <c r="N251" i="12"/>
  <c r="P250" i="12"/>
  <c r="N250" i="12"/>
  <c r="P249" i="12"/>
  <c r="N249" i="12"/>
  <c r="P248" i="12"/>
  <c r="N248" i="12"/>
  <c r="P247" i="12"/>
  <c r="N247" i="12"/>
  <c r="P246" i="12"/>
  <c r="N246" i="12"/>
  <c r="P232" i="12"/>
  <c r="P230" i="12"/>
  <c r="P222" i="12"/>
  <c r="R188" i="12"/>
  <c r="R179" i="12"/>
  <c r="R172" i="12"/>
  <c r="R166" i="12"/>
  <c r="R164" i="12"/>
  <c r="R163" i="12"/>
  <c r="R151" i="12"/>
  <c r="B132" i="12"/>
  <c r="B205" i="12" s="1"/>
  <c r="B307" i="12" s="1"/>
  <c r="P121" i="12"/>
  <c r="P128" i="12" s="1"/>
  <c r="P111" i="12"/>
  <c r="R103" i="12"/>
  <c r="P98" i="12"/>
  <c r="R97" i="12"/>
  <c r="R100" i="12" s="1"/>
  <c r="P85" i="12"/>
  <c r="P86" i="12" s="1"/>
  <c r="J83" i="12"/>
  <c r="R180" i="12"/>
  <c r="P294" i="12" s="1"/>
  <c r="P67" i="12"/>
  <c r="L67" i="12"/>
  <c r="J67" i="12"/>
  <c r="H67" i="12"/>
  <c r="H80" i="12" s="1"/>
  <c r="F67" i="12"/>
  <c r="F80" i="12" s="1"/>
  <c r="R65" i="12"/>
  <c r="N67" i="12"/>
  <c r="N54" i="12"/>
  <c r="R47" i="12"/>
  <c r="L40" i="12"/>
  <c r="J40" i="12"/>
  <c r="H40" i="12"/>
  <c r="F40" i="12"/>
  <c r="L33" i="12"/>
  <c r="J33" i="12"/>
  <c r="H33" i="12"/>
  <c r="F33" i="12"/>
  <c r="D33" i="12"/>
  <c r="R32" i="12"/>
  <c r="R40" i="12" s="1"/>
  <c r="R31" i="12"/>
  <c r="O186" i="12" s="1"/>
  <c r="L30" i="12"/>
  <c r="J30" i="12"/>
  <c r="H30" i="12"/>
  <c r="F30" i="12"/>
  <c r="D30" i="12"/>
  <c r="R165" i="12" l="1"/>
  <c r="P215" i="12"/>
  <c r="O258" i="12"/>
  <c r="O262" i="12"/>
  <c r="R194" i="12"/>
  <c r="Q263" i="12"/>
  <c r="P255" i="12"/>
  <c r="Q253" i="12" s="1"/>
  <c r="Q258" i="12"/>
  <c r="Q265" i="12"/>
  <c r="Q260" i="12"/>
  <c r="R152" i="12"/>
  <c r="P210" i="12"/>
  <c r="R139" i="12"/>
  <c r="R138" i="12" s="1"/>
  <c r="R147" i="12" s="1"/>
  <c r="Q259" i="12"/>
  <c r="Q261" i="12"/>
  <c r="Q262" i="12"/>
  <c r="P293" i="12"/>
  <c r="P295" i="12" s="1"/>
  <c r="N293" i="12"/>
  <c r="O260" i="12"/>
  <c r="O264" i="12"/>
  <c r="Q249" i="12"/>
  <c r="Q247" i="12"/>
  <c r="Q248" i="12"/>
  <c r="Q246" i="12"/>
  <c r="P97" i="12"/>
  <c r="P100" i="12" s="1"/>
  <c r="P129" i="12" s="1"/>
  <c r="R196" i="12"/>
  <c r="R48" i="12"/>
  <c r="N255" i="12"/>
  <c r="O253" i="12" s="1"/>
  <c r="R33" i="12"/>
  <c r="R200" i="12"/>
  <c r="R67" i="12"/>
  <c r="R119" i="12"/>
  <c r="R128" i="12" s="1"/>
  <c r="R129" i="12" s="1"/>
  <c r="R198" i="12"/>
  <c r="O259" i="12"/>
  <c r="O261" i="12"/>
  <c r="O263" i="12"/>
  <c r="Q250" i="12" l="1"/>
  <c r="Q251" i="12"/>
  <c r="Q255" i="12" s="1"/>
  <c r="Q252" i="12"/>
  <c r="P213" i="12"/>
  <c r="P214" i="12" s="1"/>
  <c r="P298" i="12"/>
  <c r="Q267" i="12"/>
  <c r="O248" i="12"/>
  <c r="O267" i="12"/>
  <c r="O251" i="12"/>
  <c r="O249" i="12"/>
  <c r="R178" i="12"/>
  <c r="R181" i="12" s="1"/>
  <c r="R80" i="12"/>
  <c r="O252" i="12"/>
  <c r="O247" i="12"/>
  <c r="O246" i="12"/>
  <c r="O250" i="12"/>
  <c r="R172" i="11"/>
  <c r="O255" i="12" l="1"/>
  <c r="R182" i="12"/>
  <c r="P296" i="12"/>
  <c r="R47" i="11"/>
  <c r="D30" i="11" l="1"/>
  <c r="P249" i="11" l="1"/>
  <c r="P250" i="11"/>
  <c r="P251" i="11"/>
  <c r="P252" i="11"/>
  <c r="P253" i="11"/>
  <c r="P254" i="11"/>
  <c r="P255" i="11"/>
  <c r="P248" i="11"/>
  <c r="N255" i="11"/>
  <c r="N249" i="11"/>
  <c r="N250" i="11"/>
  <c r="N251" i="11"/>
  <c r="N252" i="11"/>
  <c r="N253" i="11"/>
  <c r="N254" i="11"/>
  <c r="N248" i="11"/>
  <c r="R120" i="11" l="1"/>
  <c r="R106" i="11"/>
  <c r="R105" i="11"/>
  <c r="R90" i="11"/>
  <c r="N64" i="11"/>
  <c r="L64" i="11"/>
  <c r="P89" i="11" s="1"/>
  <c r="R64" i="11" l="1"/>
  <c r="P224" i="11"/>
  <c r="R31" i="11" l="1"/>
  <c r="O188" i="11" l="1"/>
  <c r="P123" i="11"/>
  <c r="L40" i="11" l="1"/>
  <c r="J40" i="11"/>
  <c r="H40" i="11"/>
  <c r="F40" i="11"/>
  <c r="R40" i="11" s="1"/>
  <c r="O293" i="11" l="1"/>
  <c r="P234" i="11"/>
  <c r="F33" i="11" l="1"/>
  <c r="H33" i="11"/>
  <c r="J33" i="11"/>
  <c r="L33" i="11"/>
  <c r="D33" i="11"/>
  <c r="R48" i="11" l="1"/>
  <c r="R33" i="11"/>
  <c r="R141" i="11"/>
  <c r="R140" i="11" s="1"/>
  <c r="J83" i="11"/>
  <c r="R32" i="11" l="1"/>
  <c r="P211" i="11" l="1"/>
  <c r="P215" i="11"/>
  <c r="H30" i="11"/>
  <c r="J30" i="11"/>
  <c r="L30" i="11"/>
  <c r="R78" i="11" l="1"/>
  <c r="P87" i="11" l="1"/>
  <c r="P88" i="11" s="1"/>
  <c r="R160" i="11" l="1"/>
  <c r="R155" i="12" s="1"/>
  <c r="R158" i="12" s="1"/>
  <c r="R155" i="13" s="1"/>
  <c r="R158" i="13" s="1"/>
  <c r="R155" i="14" s="1"/>
  <c r="R158" i="14" s="1"/>
  <c r="R155" i="15" s="1"/>
  <c r="R158" i="15" s="1"/>
  <c r="R155" i="16" s="1"/>
  <c r="R158" i="16" s="1"/>
  <c r="R155" i="26" s="1"/>
  <c r="R158" i="26" s="1"/>
  <c r="R155" i="24" l="1"/>
  <c r="R158" i="24" s="1"/>
  <c r="R155" i="25"/>
  <c r="R158" i="25" s="1"/>
  <c r="R155" i="23"/>
  <c r="R158" i="23" s="1"/>
  <c r="R155" i="22"/>
  <c r="R158" i="22" s="1"/>
  <c r="R155" i="21"/>
  <c r="R158" i="21" s="1"/>
  <c r="R155" i="20"/>
  <c r="R158" i="20" s="1"/>
  <c r="R155" i="19"/>
  <c r="R158" i="19" s="1"/>
  <c r="R155" i="18"/>
  <c r="R158" i="18" s="1"/>
  <c r="R155" i="17"/>
  <c r="R158" i="17" s="1"/>
  <c r="F30" i="11"/>
  <c r="P232" i="11" l="1"/>
  <c r="P85" i="11" l="1"/>
  <c r="P99" i="11" s="1"/>
  <c r="R153" i="11" l="1"/>
  <c r="R152" i="11"/>
  <c r="N67" i="11" l="1"/>
  <c r="R99" i="11"/>
  <c r="R102" i="11" s="1"/>
  <c r="N54" i="11"/>
  <c r="R154" i="11"/>
  <c r="F67" i="11"/>
  <c r="F80" i="11" s="1"/>
  <c r="R181" i="11"/>
  <c r="R65" i="11"/>
  <c r="R67" i="11" s="1"/>
  <c r="H67" i="11"/>
  <c r="H80" i="11" s="1"/>
  <c r="P100" i="11"/>
  <c r="P102" i="11" s="1"/>
  <c r="N269" i="11"/>
  <c r="O266" i="11" s="1"/>
  <c r="P269" i="11"/>
  <c r="Q265" i="11" s="1"/>
  <c r="P235" i="11"/>
  <c r="P233" i="12" s="1"/>
  <c r="P233" i="13" s="1"/>
  <c r="P233" i="14" s="1"/>
  <c r="P233" i="15" s="1"/>
  <c r="P233" i="16" s="1"/>
  <c r="P233" i="17" s="1"/>
  <c r="P233" i="18" s="1"/>
  <c r="P233" i="19" s="1"/>
  <c r="P233" i="20" s="1"/>
  <c r="P233" i="21" s="1"/>
  <c r="P233" i="22" s="1"/>
  <c r="P233" i="23" s="1"/>
  <c r="P233" i="24" s="1"/>
  <c r="P233" i="25" s="1"/>
  <c r="P233" i="26" s="1"/>
  <c r="J67" i="11"/>
  <c r="P67" i="11"/>
  <c r="P113" i="11"/>
  <c r="B134" i="11"/>
  <c r="B207" i="11" s="1"/>
  <c r="B309" i="11" s="1"/>
  <c r="R165" i="11"/>
  <c r="R166" i="11"/>
  <c r="R168" i="11"/>
  <c r="R174" i="11"/>
  <c r="R175" i="11" s="1"/>
  <c r="R170" i="12" s="1"/>
  <c r="R173" i="12" s="1"/>
  <c r="R170" i="13" s="1"/>
  <c r="R173" i="13" s="1"/>
  <c r="R170" i="14" s="1"/>
  <c r="R173" i="14" s="1"/>
  <c r="R170" i="15" s="1"/>
  <c r="R173" i="15" s="1"/>
  <c r="R170" i="16" s="1"/>
  <c r="R173" i="16" s="1"/>
  <c r="R170" i="17" s="1"/>
  <c r="R173" i="17" s="1"/>
  <c r="R170" i="18" s="1"/>
  <c r="R173" i="18" s="1"/>
  <c r="R170" i="19" s="1"/>
  <c r="R173" i="19" s="1"/>
  <c r="R170" i="20" s="1"/>
  <c r="R173" i="20" s="1"/>
  <c r="R170" i="21" s="1"/>
  <c r="R173" i="21" s="1"/>
  <c r="R170" i="22" s="1"/>
  <c r="R173" i="22" s="1"/>
  <c r="R170" i="23" s="1"/>
  <c r="R173" i="23" s="1"/>
  <c r="N281" i="11"/>
  <c r="O229" i="11" s="1"/>
  <c r="P281" i="11"/>
  <c r="P229" i="11" s="1"/>
  <c r="N293" i="11"/>
  <c r="P293" i="11"/>
  <c r="L67" i="11"/>
  <c r="P191" i="11"/>
  <c r="P187" i="12" s="1"/>
  <c r="P189" i="12" s="1"/>
  <c r="P187" i="13" s="1"/>
  <c r="P189" i="13" s="1"/>
  <c r="P187" i="14" s="1"/>
  <c r="P189" i="14" s="1"/>
  <c r="P187" i="15" s="1"/>
  <c r="P189" i="15" s="1"/>
  <c r="P187" i="16" s="1"/>
  <c r="P189" i="16" s="1"/>
  <c r="P187" i="17" s="1"/>
  <c r="P189" i="17" s="1"/>
  <c r="P187" i="18" s="1"/>
  <c r="P189" i="18" s="1"/>
  <c r="P187" i="19" s="1"/>
  <c r="P189" i="19" s="1"/>
  <c r="P187" i="20" s="1"/>
  <c r="P189" i="20" s="1"/>
  <c r="P187" i="21" s="1"/>
  <c r="P189" i="21" s="1"/>
  <c r="P187" i="22" s="1"/>
  <c r="P189" i="22" s="1"/>
  <c r="P187" i="23" s="1"/>
  <c r="P189" i="23" s="1"/>
  <c r="P187" i="24" s="1"/>
  <c r="P189" i="24" s="1"/>
  <c r="P187" i="25" s="1"/>
  <c r="P189" i="25" s="1"/>
  <c r="P187" i="26" s="1"/>
  <c r="P189" i="26" s="1"/>
  <c r="P124" i="11"/>
  <c r="P130" i="11" s="1"/>
  <c r="R190" i="11"/>
  <c r="O191" i="11"/>
  <c r="O187" i="12" s="1"/>
  <c r="R189" i="11"/>
  <c r="Q293" i="11"/>
  <c r="O281" i="11"/>
  <c r="Q281" i="11"/>
  <c r="P257" i="11"/>
  <c r="Q255" i="11" s="1"/>
  <c r="R170" i="24" l="1"/>
  <c r="R173" i="24" s="1"/>
  <c r="R170" i="25" s="1"/>
  <c r="R173" i="25"/>
  <c r="R170" i="26" s="1"/>
  <c r="R173" i="26" s="1"/>
  <c r="R196" i="11"/>
  <c r="P217" i="11"/>
  <c r="R121" i="11"/>
  <c r="O189" i="12"/>
  <c r="R187" i="12"/>
  <c r="P131" i="11"/>
  <c r="R198" i="11"/>
  <c r="O265" i="11"/>
  <c r="O261" i="11"/>
  <c r="N295" i="11"/>
  <c r="Q261" i="11"/>
  <c r="Q260" i="11"/>
  <c r="O230" i="11"/>
  <c r="O262" i="11"/>
  <c r="O260" i="11"/>
  <c r="R167" i="11"/>
  <c r="R130" i="11"/>
  <c r="R202" i="11"/>
  <c r="R200" i="11"/>
  <c r="P295" i="11"/>
  <c r="P230" i="11"/>
  <c r="Q264" i="11"/>
  <c r="O264" i="11"/>
  <c r="Q263" i="11"/>
  <c r="O263" i="11"/>
  <c r="Q262" i="11"/>
  <c r="O267" i="11"/>
  <c r="R191" i="11"/>
  <c r="O192" i="11"/>
  <c r="N257" i="11"/>
  <c r="P212" i="11"/>
  <c r="Q266" i="11"/>
  <c r="Q267" i="11"/>
  <c r="Q250" i="11"/>
  <c r="Q252" i="11"/>
  <c r="Q251" i="11"/>
  <c r="Q254" i="11"/>
  <c r="Q248" i="11"/>
  <c r="Q253" i="11"/>
  <c r="Q249" i="11"/>
  <c r="R180" i="11"/>
  <c r="R149" i="11"/>
  <c r="P300" i="11" s="1"/>
  <c r="O187" i="13" l="1"/>
  <c r="O190" i="12"/>
  <c r="R189" i="12"/>
  <c r="O269" i="11"/>
  <c r="O251" i="11"/>
  <c r="O248" i="11"/>
  <c r="R131" i="11"/>
  <c r="Q269" i="11"/>
  <c r="Q257" i="11"/>
  <c r="R80" i="11"/>
  <c r="P216" i="11"/>
  <c r="O254" i="11"/>
  <c r="O250" i="11"/>
  <c r="O253" i="11"/>
  <c r="O249" i="11"/>
  <c r="O255" i="11"/>
  <c r="O252" i="11"/>
  <c r="O189" i="13" l="1"/>
  <c r="R187" i="13"/>
  <c r="R184" i="11"/>
  <c r="P298" i="11"/>
  <c r="O257" i="11"/>
  <c r="R182" i="11"/>
  <c r="O187" i="14" l="1"/>
  <c r="R189" i="13"/>
  <c r="O190" i="13"/>
  <c r="R183" i="11"/>
  <c r="P296" i="11"/>
  <c r="P297" i="11" s="1"/>
  <c r="O189" i="14" l="1"/>
  <c r="R187" i="14"/>
  <c r="O187" i="15" l="1"/>
  <c r="R189" i="14"/>
  <c r="O190" i="14"/>
  <c r="O189" i="15" l="1"/>
  <c r="O187" i="16" s="1"/>
  <c r="R187" i="15"/>
  <c r="O189" i="16" l="1"/>
  <c r="R187" i="16"/>
  <c r="O190" i="15"/>
  <c r="R189" i="15"/>
  <c r="O187" i="17" l="1"/>
  <c r="O190" i="16"/>
  <c r="R189" i="16"/>
  <c r="O189" i="17" l="1"/>
  <c r="R187" i="17"/>
  <c r="O187" i="18" l="1"/>
  <c r="R189" i="17"/>
  <c r="O190" i="17"/>
  <c r="O189" i="18" l="1"/>
  <c r="R187" i="18"/>
  <c r="O187" i="19" l="1"/>
  <c r="R189" i="18"/>
  <c r="O190" i="18"/>
  <c r="O189" i="19" l="1"/>
  <c r="R187" i="19"/>
  <c r="O187" i="20" l="1"/>
  <c r="O190" i="19"/>
  <c r="R189" i="19"/>
  <c r="O189" i="20" l="1"/>
  <c r="R187" i="20"/>
  <c r="O187" i="21" l="1"/>
  <c r="O190" i="20"/>
  <c r="R189" i="20"/>
  <c r="O189" i="21" l="1"/>
  <c r="R187" i="21"/>
  <c r="O187" i="22" l="1"/>
  <c r="O190" i="21"/>
  <c r="R189" i="21"/>
  <c r="O189" i="22" l="1"/>
  <c r="R187" i="22"/>
  <c r="O187" i="23" l="1"/>
  <c r="R189" i="22"/>
  <c r="O190" i="22"/>
  <c r="O189" i="23" l="1"/>
  <c r="O187" i="24" s="1"/>
  <c r="R187" i="23"/>
  <c r="O189" i="24" l="1"/>
  <c r="O187" i="25" s="1"/>
  <c r="R187" i="24"/>
  <c r="R189" i="23"/>
  <c r="O190" i="23"/>
  <c r="O189" i="25" l="1"/>
  <c r="O187" i="26" s="1"/>
  <c r="R187" i="25"/>
  <c r="R189" i="24"/>
  <c r="O190" i="24"/>
  <c r="O189" i="26" l="1"/>
  <c r="R187" i="26"/>
  <c r="R189" i="25"/>
  <c r="O190" i="25"/>
  <c r="R189" i="26" l="1"/>
  <c r="O190" i="26"/>
</calcChain>
</file>

<file path=xl/sharedStrings.xml><?xml version="1.0" encoding="utf-8"?>
<sst xmlns="http://schemas.openxmlformats.org/spreadsheetml/2006/main" count="6088" uniqueCount="307">
  <si>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</si>
  <si>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</si>
  <si>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</si>
  <si>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</si>
  <si>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</si>
  <si>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</si>
  <si>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</si>
  <si>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</si>
  <si>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</si>
  <si>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</si>
  <si>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</si>
  <si>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</si>
  <si>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</si>
  <si>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</si>
  <si>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</si>
  <si>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</si>
  <si>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</si>
  <si>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</si>
  <si>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</si>
  <si>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</si>
  <si>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</si>
  <si>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</si>
  <si>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</si>
  <si>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</si>
  <si>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</si>
  <si>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</si>
  <si>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</si>
  <si>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</si>
  <si>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</si>
  <si>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</si>
  <si>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</si>
  <si>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</si>
  <si>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</si>
  <si>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</si>
  <si>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</si>
  <si>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</si>
  <si>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</si>
  <si>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</si>
  <si>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</si>
  <si>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</si>
  <si>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</si>
  <si>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</si>
  <si>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</si>
  <si>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</si>
  <si>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</si>
  <si>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</si>
  <si>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</si>
  <si>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</si>
  <si>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</si>
  <si>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</si>
  <si>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</si>
  <si>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</si>
  <si>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</si>
  <si>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</si>
  <si>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</si>
  <si>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</si>
  <si>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</si>
  <si>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</si>
  <si>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</si>
  <si>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</si>
  <si>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</si>
  <si>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</si>
  <si>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</si>
  <si>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</si>
  <si>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</si>
  <si>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</si>
  <si>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</si>
  <si>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</si>
  <si>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</si>
  <si>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</si>
  <si>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</si>
  <si>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</si>
  <si>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</si>
  <si>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</si>
  <si>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</si>
  <si>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</si>
  <si>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</si>
  <si>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</si>
  <si>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</si>
  <si>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</si>
  <si>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</si>
  <si>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</si>
  <si>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</si>
  <si>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</si>
  <si>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</si>
  <si>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</si>
  <si>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</si>
  <si>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</si>
  <si>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</si>
  <si>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</si>
  <si>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</si>
  <si>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</si>
  <si>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</si>
  <si>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</si>
  <si>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</si>
  <si>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</si>
  <si>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</si>
  <si>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</si>
  <si>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</si>
  <si>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</si>
  <si>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</si>
  <si>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</si>
  <si>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</si>
  <si>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</si>
  <si>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</si>
  <si>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</si>
  <si>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</si>
  <si>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</si>
  <si>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</si>
  <si>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</si>
  <si>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</si>
  <si>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</si>
  <si>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</si>
  <si>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</si>
  <si>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</si>
  <si>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</si>
  <si>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</si>
  <si>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</si>
  <si>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</si>
  <si>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</si>
  <si>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</si>
  <si>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</si>
  <si>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</si>
  <si>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</si>
  <si>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</si>
  <si>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</si>
  <si>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</si>
  <si>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</si>
  <si>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</si>
  <si>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</si>
  <si>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</si>
  <si>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</si>
  <si>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</si>
  <si>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</si>
  <si>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</si>
  <si>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</si>
  <si>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</si>
  <si>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</si>
  <si>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</si>
  <si>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</si>
  <si>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</si>
  <si>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</si>
  <si>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</si>
  <si>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</si>
  <si>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</si>
  <si>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</si>
  <si>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</si>
  <si>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</si>
  <si>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</si>
  <si>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</si>
  <si>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</si>
  <si>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</si>
  <si>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Delinquency Summary</t>
  </si>
  <si>
    <t>Unrated</t>
  </si>
  <si>
    <t>PM (2010) Ltd</t>
  </si>
  <si>
    <t>Class A Note Interest</t>
  </si>
  <si>
    <t>Issuer Profit Amount</t>
  </si>
  <si>
    <t>Swap Retention fund</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</si>
  <si>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</si>
  <si>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</si>
  <si>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</si>
  <si>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</si>
  <si>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</si>
  <si>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</si>
  <si>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</si>
  <si>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</si>
  <si>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</si>
  <si>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</si>
  <si>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</si>
  <si>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</si>
  <si>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MFA's</t>
  </si>
  <si>
    <t>Unutilised Pre Funding Reserve diverted to Principal</t>
  </si>
  <si>
    <t>Current Principal Balance Outstanding (£'000)</t>
  </si>
  <si>
    <t>Pre Funding Reserve Outstanding (£'000)</t>
  </si>
  <si>
    <t>PDL replenishment (+) from Revenue income / Liquidity Excess Amount / Recovery (+) to Revenue income</t>
  </si>
  <si>
    <t>Accrued Arrears and Interest not Sold to Issuer</t>
  </si>
  <si>
    <t>Total Note Principal</t>
  </si>
  <si>
    <t>Total Mortgage Assets</t>
  </si>
  <si>
    <t>AA</t>
  </si>
  <si>
    <t>Class B Notes</t>
  </si>
  <si>
    <t>Class C Notes</t>
  </si>
  <si>
    <t>Class B Note repayment</t>
  </si>
  <si>
    <t>Class C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</si>
  <si>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</si>
  <si>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</si>
  <si>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</si>
  <si>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</si>
  <si>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Stated Maturity - Class B Notes</t>
  </si>
  <si>
    <t>Stated Maturity - Class C Notes</t>
  </si>
  <si>
    <t>Class B Note Interest</t>
  </si>
  <si>
    <t>Class C Note Interest</t>
  </si>
  <si>
    <t>Pre Funding utilised this quarter</t>
  </si>
  <si>
    <t>John Harvey, 51 Homer Road, Solihull, West Midlands, B91 3QJ</t>
  </si>
  <si>
    <t>Andrew Kitching, 51 Homer Road, Solihull, West Midlands, B91 3QJ</t>
  </si>
  <si>
    <t>Jimmy Giles, 51 Homer Road, Solihull, West Midlands, B91 3QJ</t>
  </si>
  <si>
    <t>Trustee Fee/Costs and Expenses claimed by the Substitute Administrator &amp; SFM Corporate Services Provider</t>
  </si>
  <si>
    <t>Pre Funding Reserve / Available Redemption Funds</t>
  </si>
  <si>
    <t>Moody's Rating at Closing</t>
  </si>
  <si>
    <t>Current Moody's Rating</t>
  </si>
  <si>
    <t>Aaa</t>
  </si>
  <si>
    <t>Aa2</t>
  </si>
  <si>
    <t>A1</t>
  </si>
  <si>
    <t>Retention Requirement under Article 405 of Regulation (EU) No.575/2013 (as amended) (the "Capital Requirements Regulation")</t>
  </si>
  <si>
    <t xml:space="preserve">Pre Funding Reserve Ledger </t>
  </si>
  <si>
    <t xml:space="preserve">Margin Reserve Fund </t>
  </si>
  <si>
    <t>Pre Funding Reserve Remaining / Diverted to Principal to form part of the Available Redemption Funds</t>
  </si>
  <si>
    <t>Discretionary Further Advance Pre Funding Reserve</t>
  </si>
  <si>
    <t>Unutilised Discretionary Further Advance Pre Funding Reserve diverted to Principal</t>
  </si>
  <si>
    <t>Junior Administration Fee to PM (2010)</t>
  </si>
  <si>
    <t>PM (2010) Mandatory Further Advances</t>
  </si>
  <si>
    <t>PM (2010) Discretionary Further Advances</t>
  </si>
  <si>
    <t>Liquidity Amount (2.50% of the Class A, B and C Notes outstanding)</t>
  </si>
  <si>
    <t>Discretionary Further Advance Pre Funding Reserve Ledger (DFAPFRL)</t>
  </si>
  <si>
    <t>Discretionary Further Advance Pre Funding Reserve at Closing</t>
  </si>
  <si>
    <t>Discretionary Further Advance Pre Funding Reserve utilised this quarter</t>
  </si>
  <si>
    <t>Discretionary Further Advance Pre Funding Reserve Diverted to Principal to form part of the Available Redemption Funds</t>
  </si>
  <si>
    <t xml:space="preserve">Closing Discretionary Further Advance Pre Funding Reserve </t>
  </si>
  <si>
    <t>Discretionary Further Advance Pre Funding Reserve Outstanding (£'000)</t>
  </si>
  <si>
    <t xml:space="preserve">Outstanding Pre Funding Reserve and DFAPFRL </t>
  </si>
  <si>
    <t>PM (2010) Discretionary Further Advance Pre Funding Reserve diverted to Principal</t>
  </si>
  <si>
    <t xml:space="preserve">Funding of PM (2010) Discretionary Further Advances </t>
  </si>
  <si>
    <t>Class A, B, C and E Interest Payment Cycle</t>
  </si>
  <si>
    <t>Fitch Rating at Closing</t>
  </si>
  <si>
    <t>Current Fitch Rating</t>
  </si>
  <si>
    <t>Original GBP Equivalent Note Principal</t>
  </si>
  <si>
    <t>Previous GBP Equivalent Note Principal</t>
  </si>
  <si>
    <t>Current GBP Equivalent Note Principal</t>
  </si>
  <si>
    <t>Class A 1 Notes</t>
  </si>
  <si>
    <t>Class A2 Notes</t>
  </si>
  <si>
    <t>Class E Notes</t>
  </si>
  <si>
    <t>GBP Note Margin</t>
  </si>
  <si>
    <t>Current GBP Interest Rates</t>
  </si>
  <si>
    <t>Previous GBP Interest Rates</t>
  </si>
  <si>
    <t>Optional Redemption (Call)  Dates</t>
  </si>
  <si>
    <t>GBP Step-Up Margins</t>
  </si>
  <si>
    <t>A+</t>
  </si>
  <si>
    <t>165bp</t>
  </si>
  <si>
    <t>330bp</t>
  </si>
  <si>
    <t>Class B, C and E Notes as a percentage Class A Notes at issue</t>
  </si>
  <si>
    <t>Current Outstanding Class B, C and E Notes as a percentage of Current Outstanding Class A Notes</t>
  </si>
  <si>
    <t>Determination Event for Paying Class B, C and E Notes</t>
  </si>
  <si>
    <t>Cover Ratio for Class E Notes (at last Interest Payment Date)</t>
  </si>
  <si>
    <t xml:space="preserve">Cover Ratio for Class E Notes (cumulative) </t>
  </si>
  <si>
    <t>Stated Maturity - Class E Notes</t>
  </si>
  <si>
    <t>Class A1 Interest Calculated on</t>
  </si>
  <si>
    <t>Class A2, B, C and E Interest Calculated on</t>
  </si>
  <si>
    <t>ACTUAL/360</t>
  </si>
  <si>
    <t>Senior Administration Fee to PM (2010) / Out of pocket expenses/ Substitute Administrator Commitment Fee/ Substitute Administrator Facilitator Fee / Surveillance Fees to Rating Agencies / Fees to Corporate Services Provider / Amounts payable to the Account Bank &amp; Hedge Collateral Custodian</t>
  </si>
  <si>
    <t>Class A2 Note Interest</t>
  </si>
  <si>
    <t>Class E Note Interest and Deferred Interest</t>
  </si>
  <si>
    <t xml:space="preserve">Surplus income to the Issuer </t>
  </si>
  <si>
    <t>Class A2 Note repayment</t>
  </si>
  <si>
    <t>Class A1 Swap Currency repayment</t>
  </si>
  <si>
    <t>Class E Note repayment</t>
  </si>
  <si>
    <t>Class A1 Swap Currency Interest</t>
  </si>
  <si>
    <t>5 (a)</t>
  </si>
  <si>
    <t>5 (b)</t>
  </si>
  <si>
    <t>Paragon Mortgages (No.23) PLC</t>
  </si>
  <si>
    <t>This performance report is issued by Paragon Mortgages (2010) Limited for and on behalf of Paragon Mortgages (No.23) PLC</t>
  </si>
  <si>
    <t>PM23 PLC</t>
  </si>
  <si>
    <t>70bp</t>
  </si>
  <si>
    <t>110bp</t>
  </si>
  <si>
    <t>220bp</t>
  </si>
  <si>
    <t>255bp</t>
  </si>
  <si>
    <t>140bp</t>
  </si>
  <si>
    <t>440bp</t>
  </si>
  <si>
    <t>XS1253924234</t>
  </si>
  <si>
    <t>XS1253926874</t>
  </si>
  <si>
    <t>XS1253927336</t>
  </si>
  <si>
    <t>XS1253927682</t>
  </si>
  <si>
    <t>XS1253927765</t>
  </si>
  <si>
    <t>PM23 INVESTOR REPORT QUARTER ENDING SEPTEMBER 2015</t>
  </si>
  <si>
    <t>126bp</t>
  </si>
  <si>
    <t>252bp</t>
  </si>
  <si>
    <t>Drawing on the PFPLC/PM23 Subordinated Loan for Interest Shortfalls</t>
  </si>
  <si>
    <t>Replenishments from drawings on the PM23/PFPLC Subordinated Loan</t>
  </si>
  <si>
    <t>Margin Rerseve Fund Ledger Conversion Required Amount</t>
  </si>
  <si>
    <t>PM23 INVESTOR REPORT QUARTER ENDING DECEMBER 2015</t>
  </si>
  <si>
    <t>PM23 INVESTOR REPORT QUARTER ENDING MARCH 2016</t>
  </si>
  <si>
    <t>PM23 INVESTOR REPORT QUARTER ENDING JUNE 2016</t>
  </si>
  <si>
    <t>PM23 INVESTOR REPORT QUARTER ENDING SEPTEMBER 2016</t>
  </si>
  <si>
    <t>Aggregate Principal Balance of Repurchased Loans (during related Collection Period)</t>
  </si>
  <si>
    <t>PM23 INVESTOR REPORT QUARTER ENDING DECEMBER 2016</t>
  </si>
  <si>
    <t>Discretionary Further Advance Pre Funding Reserve at last quarter end</t>
  </si>
  <si>
    <t xml:space="preserve">Senior Administration Fee to PM (2010) / Out of pocket expenses / Senior Expenses </t>
  </si>
  <si>
    <t>PM23 INVESTOR REPORT QUARTER ENDING MARCH 2017</t>
  </si>
  <si>
    <t>Margin Rerseve Fund Ledger Conversion Required Amount for the period</t>
  </si>
  <si>
    <t>PM23 INVESTOR REPORT QUARTER ENDING JUNE 2017</t>
  </si>
  <si>
    <t>PM23 INVESTOR REPORT QUARTER ENDING SEPTEMBER 2017</t>
  </si>
  <si>
    <t>http://www.paragonbankinggroup.co.uk</t>
  </si>
  <si>
    <t>andrew.kitching@paragonbank.co.uk</t>
  </si>
  <si>
    <t>jimmy.giles@paragonbank.co.uk</t>
  </si>
  <si>
    <t>PM23 INVESTOR REPORT QUARTER ENDING DECEMBER 2017</t>
  </si>
  <si>
    <t>PM23 INVESTOR REPORT QUARTER ENDING MARCH 2018</t>
  </si>
  <si>
    <t>Aa1</t>
  </si>
  <si>
    <t>PM23 INVESTOR REPORT QUARTER ENDING JUNE 2018</t>
  </si>
  <si>
    <t>PM23 INVESTOR REPORT QUARTER ENDING SEPTEMBER 2018</t>
  </si>
  <si>
    <t>PM23 INVESTOR REPORT QUARTER ENDING DECEMBER 2018</t>
  </si>
  <si>
    <t>PM23 INVESTOR REPORT QUARTER ENDING MARCH 2019</t>
  </si>
  <si>
    <t>PM23 INVESTOR REPORT QUARTER ENDING JUNE 2019</t>
  </si>
  <si>
    <t>PM23 INVESTOR REPORT QUARTER ENDING SEPTEMBER 2019</t>
  </si>
  <si>
    <t>Release of the First Loss Fund to Revenue</t>
  </si>
  <si>
    <t>Release of the First Loss Fund following repayment of the Notes</t>
  </si>
  <si>
    <t>Interest on the Subordinated Loan (First Loss Fund)</t>
  </si>
  <si>
    <t>Repayment of the Subordinated Loan (Repayment of the Minimum Mortgage Rate Drawings)</t>
  </si>
  <si>
    <t>Management Charge</t>
  </si>
  <si>
    <t>Deferred Consideration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</si>
</sst>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 numFmtId="172" formatCode="[$€-1809]#,##0"/>
  </numFmts>
  <fonts count="65"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sz val="12"/>
      <name val="Arial"/>
      <family val="2"/>
    </font>
    <font>
      <sz val="12"/>
      <color rgb="FF000099"/>
      <name val="Times New Roman"/>
      <family val="1"/>
    </font>
    <font>
      <sz val="12"/>
      <name val="Calibri"/>
      <family val="2"/>
      <scheme val="minor"/>
    </font>
    <font>
      <b/>
      <u/>
      <sz val="16"/>
      <color rgb="FF2D2926"/>
      <name val="Calibri"/>
      <family val="2"/>
      <scheme val="minor"/>
    </font>
    <font>
      <u/>
      <sz val="12"/>
      <name val="Calibri"/>
      <family val="2"/>
      <scheme val="minor"/>
    </font>
    <font>
      <b/>
      <sz val="12"/>
      <color rgb="FF89CB31"/>
      <name val="Calibri"/>
      <family val="2"/>
      <scheme val="minor"/>
    </font>
    <font>
      <b/>
      <i/>
      <sz val="10"/>
      <color rgb="FF2D2926"/>
      <name val="Calibri"/>
      <family val="2"/>
      <scheme val="minor"/>
    </font>
    <font>
      <b/>
      <i/>
      <sz val="10"/>
      <name val="Calibri"/>
      <family val="2"/>
      <scheme val="minor"/>
    </font>
    <font>
      <b/>
      <u/>
      <sz val="14"/>
      <color indexed="53"/>
      <name val="Calibri"/>
      <family val="2"/>
      <scheme val="minor"/>
    </font>
    <font>
      <b/>
      <u/>
      <sz val="12"/>
      <color indexed="53"/>
      <name val="Calibri"/>
      <family val="2"/>
      <scheme val="minor"/>
    </font>
    <font>
      <b/>
      <u/>
      <sz val="12"/>
      <color rgb="FF89CB31"/>
      <name val="Calibri"/>
      <family val="2"/>
      <scheme val="minor"/>
    </font>
    <font>
      <b/>
      <sz val="12"/>
      <name val="Calibri"/>
      <family val="2"/>
      <scheme val="minor"/>
    </font>
    <font>
      <sz val="12"/>
      <color rgb="FF2D2926"/>
      <name val="Calibri"/>
      <family val="2"/>
      <scheme val="minor"/>
    </font>
    <font>
      <b/>
      <sz val="12"/>
      <color rgb="FF2D2926"/>
      <name val="Calibri"/>
      <family val="2"/>
      <scheme val="minor"/>
    </font>
    <font>
      <b/>
      <u/>
      <sz val="12"/>
      <color rgb="FF2D2926"/>
      <name val="Calibri"/>
      <family val="2"/>
      <scheme val="minor"/>
    </font>
    <font>
      <sz val="12"/>
      <color indexed="9"/>
      <name val="Calibri"/>
      <family val="2"/>
      <scheme val="minor"/>
    </font>
    <font>
      <b/>
      <sz val="12"/>
      <color indexed="9"/>
      <name val="Calibri"/>
      <family val="2"/>
      <scheme val="minor"/>
    </font>
    <font>
      <sz val="12"/>
      <color rgb="FF89CB31"/>
      <name val="Calibri"/>
      <family val="2"/>
      <scheme val="minor"/>
    </font>
    <font>
      <sz val="12"/>
      <color indexed="8"/>
      <name val="Calibri"/>
      <family val="2"/>
      <scheme val="minor"/>
    </font>
    <font>
      <b/>
      <sz val="14"/>
      <color rgb="FF2D2926"/>
      <name val="Calibri"/>
      <family val="2"/>
      <scheme val="minor"/>
    </font>
    <font>
      <b/>
      <u/>
      <sz val="12"/>
      <color indexed="9"/>
      <name val="Calibri"/>
      <family val="2"/>
      <scheme val="minor"/>
    </font>
    <font>
      <sz val="12"/>
      <color indexed="18"/>
      <name val="Calibri"/>
      <family val="2"/>
      <scheme val="minor"/>
    </font>
    <font>
      <b/>
      <u/>
      <sz val="12"/>
      <name val="Calibri"/>
      <family val="2"/>
      <scheme val="minor"/>
    </font>
    <font>
      <b/>
      <u/>
      <sz val="12"/>
      <color indexed="8"/>
      <name val="Calibri"/>
      <family val="2"/>
      <scheme val="minor"/>
    </font>
    <font>
      <b/>
      <sz val="12"/>
      <color indexed="8"/>
      <name val="Calibri"/>
      <family val="2"/>
      <scheme val="minor"/>
    </font>
    <font>
      <b/>
      <sz val="14"/>
      <color rgb="FF89CB31"/>
      <name val="Calibri"/>
      <family val="2"/>
      <scheme val="minor"/>
    </font>
    <font>
      <b/>
      <u/>
      <sz val="14"/>
      <color rgb="FF89CB31"/>
      <name val="Calibri"/>
      <family val="2"/>
      <scheme val="minor"/>
    </font>
    <font>
      <b/>
      <sz val="14"/>
      <color indexed="53"/>
      <name val="Calibri"/>
      <family val="2"/>
      <scheme val="minor"/>
    </font>
  </fonts>
  <fills count="5">
    <fill>
      <patternFill patternType="none"/>
    </fill>
    <fill>
      <patternFill patternType="gray125"/>
    </fill>
    <fill>
      <patternFill patternType="solid">
        <fgColor indexed="38"/>
        <bgColor indexed="64"/>
      </patternFill>
    </fill>
    <fill>
      <patternFill patternType="solid">
        <fgColor indexed="18"/>
        <bgColor indexed="64"/>
      </patternFill>
    </fill>
    <fill>
      <patternFill patternType="solid">
        <fgColor rgb="FF89CB31"/>
        <bgColor indexed="64"/>
      </patternFill>
    </fill>
  </fills>
  <borders count="27">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right style="medium">
        <color indexed="8"/>
      </right>
      <top style="thin">
        <color indexed="8"/>
      </top>
      <bottom/>
      <diagonal/>
    </border>
    <border>
      <left style="medium">
        <color indexed="8"/>
      </left>
      <right/>
      <top style="thin">
        <color rgb="FF969696"/>
      </top>
      <bottom style="thin">
        <color rgb="FF969696"/>
      </bottom>
      <diagonal/>
    </border>
    <border>
      <left/>
      <right/>
      <top style="thin">
        <color rgb="FF969696"/>
      </top>
      <bottom style="thin">
        <color rgb="FF969696"/>
      </bottom>
      <diagonal/>
    </border>
    <border>
      <left/>
      <right style="medium">
        <color indexed="8"/>
      </right>
      <top style="thin">
        <color rgb="FF969696"/>
      </top>
      <bottom style="thin">
        <color rgb="FF969696"/>
      </bottom>
      <diagonal/>
    </border>
    <border>
      <left/>
      <right/>
      <top style="thin">
        <color rgb="FF969696"/>
      </top>
      <bottom/>
      <diagonal/>
    </border>
    <border>
      <left/>
      <right/>
      <top style="thin">
        <color indexed="55"/>
      </top>
      <bottom/>
      <diagonal/>
    </border>
    <border>
      <left/>
      <right/>
      <top/>
      <bottom style="thin">
        <color rgb="FF969696"/>
      </bottom>
      <diagonal/>
    </border>
    <border>
      <left/>
      <right/>
      <top/>
      <bottom style="thin">
        <color indexed="55"/>
      </bottom>
      <diagonal/>
    </border>
  </borders>
  <cellStyleXfs count="3">
    <xf numFmtId="0" fontId="0" fillId="0" borderId="0"/>
    <xf numFmtId="0" fontId="15" fillId="0" borderId="0" applyNumberFormat="0" applyFill="0" applyBorder="0" applyAlignment="0" applyProtection="0">
      <alignment vertical="top"/>
      <protection locked="0"/>
    </xf>
    <xf numFmtId="9" fontId="37" fillId="0" borderId="0" applyFont="0" applyFill="0" applyBorder="0" applyAlignment="0" applyProtection="0"/>
  </cellStyleXfs>
  <cellXfs count="500">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0" fontId="24" fillId="2" borderId="0" xfId="0" applyNumberFormat="1" applyFont="1" applyFill="1" applyBorder="1" applyAlignment="1"/>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10" fontId="35" fillId="2" borderId="15" xfId="0" applyNumberFormat="1" applyFont="1" applyFill="1" applyBorder="1" applyAlignment="1">
      <alignment horizontal="center"/>
    </xf>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15" fontId="25" fillId="2" borderId="0" xfId="0" applyNumberFormat="1" applyFont="1" applyFill="1" applyAlignment="1">
      <alignment horizontal="center"/>
    </xf>
    <xf numFmtId="0" fontId="2" fillId="2" borderId="17" xfId="0" applyNumberFormat="1" applyFont="1" applyFill="1" applyBorder="1" applyAlignment="1"/>
    <xf numFmtId="0" fontId="2" fillId="2" borderId="18" xfId="0" applyNumberFormat="1" applyFont="1" applyFill="1" applyBorder="1" applyAlignment="1"/>
    <xf numFmtId="0" fontId="24" fillId="2" borderId="18" xfId="0" applyNumberFormat="1" applyFont="1" applyFill="1" applyBorder="1" applyAlignment="1"/>
    <xf numFmtId="0" fontId="18" fillId="3" borderId="18" xfId="0" applyNumberFormat="1" applyFont="1" applyFill="1" applyBorder="1" applyAlignment="1"/>
    <xf numFmtId="0" fontId="24" fillId="2" borderId="19" xfId="0" applyNumberFormat="1" applyFont="1" applyFill="1" applyBorder="1" applyAlignment="1"/>
    <xf numFmtId="0" fontId="13" fillId="2" borderId="18" xfId="0" applyNumberFormat="1" applyFont="1" applyFill="1" applyBorder="1" applyAlignment="1"/>
    <xf numFmtId="0" fontId="2" fillId="2" borderId="19" xfId="0" applyNumberFormat="1" applyFont="1" applyFill="1" applyBorder="1" applyAlignment="1"/>
    <xf numFmtId="0" fontId="18" fillId="3" borderId="17" xfId="0" applyNumberFormat="1" applyFont="1" applyFill="1" applyBorder="1" applyAlignment="1"/>
    <xf numFmtId="0" fontId="5" fillId="2" borderId="18" xfId="0" applyNumberFormat="1" applyFont="1" applyFill="1" applyBorder="1" applyAlignment="1"/>
    <xf numFmtId="3" fontId="10" fillId="2" borderId="19" xfId="0" applyNumberFormat="1" applyFont="1" applyFill="1" applyBorder="1" applyAlignment="1"/>
    <xf numFmtId="0" fontId="10" fillId="2" borderId="18" xfId="0" applyNumberFormat="1" applyFont="1" applyFill="1" applyBorder="1" applyAlignment="1"/>
    <xf numFmtId="0" fontId="23" fillId="3" borderId="18" xfId="0" applyNumberFormat="1" applyFont="1" applyFill="1" applyBorder="1" applyAlignment="1"/>
    <xf numFmtId="0" fontId="26" fillId="2" borderId="19" xfId="0" applyNumberFormat="1" applyFont="1" applyFill="1" applyBorder="1" applyAlignment="1"/>
    <xf numFmtId="0" fontId="27" fillId="2" borderId="18" xfId="0" applyNumberFormat="1" applyFont="1" applyFill="1" applyBorder="1" applyAlignment="1"/>
    <xf numFmtId="10" fontId="25" fillId="2" borderId="0" xfId="0" applyNumberFormat="1" applyFont="1" applyFill="1" applyAlignment="1">
      <alignment horizontal="center"/>
    </xf>
    <xf numFmtId="0" fontId="2" fillId="2" borderId="20" xfId="0" applyNumberFormat="1" applyFont="1" applyFill="1" applyBorder="1" applyAlignment="1"/>
    <xf numFmtId="0" fontId="24" fillId="2" borderId="21" xfId="0" applyNumberFormat="1" applyFont="1" applyFill="1" applyBorder="1" applyAlignment="1"/>
    <xf numFmtId="3" fontId="24" fillId="2" borderId="21" xfId="0" applyNumberFormat="1" applyFont="1" applyFill="1" applyBorder="1" applyAlignment="1" applyProtection="1">
      <alignment horizontal="right"/>
      <protection locked="0"/>
    </xf>
    <xf numFmtId="0" fontId="2" fillId="2" borderId="22" xfId="0" applyNumberFormat="1" applyFont="1" applyFill="1" applyBorder="1" applyAlignment="1"/>
    <xf numFmtId="172" fontId="24" fillId="2" borderId="15" xfId="0" applyNumberFormat="1" applyFont="1" applyFill="1" applyBorder="1" applyAlignment="1">
      <alignment horizontal="center"/>
    </xf>
    <xf numFmtId="172" fontId="26" fillId="2" borderId="15" xfId="0" applyNumberFormat="1" applyFont="1" applyFill="1" applyBorder="1" applyAlignment="1">
      <alignment horizontal="center"/>
    </xf>
    <xf numFmtId="169" fontId="25" fillId="2" borderId="15" xfId="0" applyNumberFormat="1" applyFont="1" applyFill="1" applyBorder="1" applyAlignment="1">
      <alignment horizontal="center"/>
    </xf>
    <xf numFmtId="10" fontId="24" fillId="2" borderId="15" xfId="2" applyNumberFormat="1" applyFont="1" applyFill="1" applyBorder="1" applyAlignment="1">
      <alignment horizontal="center"/>
    </xf>
    <xf numFmtId="15" fontId="38" fillId="2" borderId="15" xfId="0" applyNumberFormat="1" applyFont="1" applyFill="1" applyBorder="1" applyAlignment="1" applyProtection="1">
      <alignment horizontal="center"/>
      <protection locked="0"/>
    </xf>
    <xf numFmtId="9" fontId="38" fillId="2" borderId="15" xfId="2" applyFont="1" applyFill="1" applyBorder="1" applyAlignment="1">
      <alignment horizontal="center"/>
    </xf>
    <xf numFmtId="2" fontId="38" fillId="2" borderId="15" xfId="0" applyNumberFormat="1" applyFont="1" applyFill="1" applyBorder="1" applyAlignment="1" applyProtection="1">
      <alignment horizontal="right"/>
      <protection locked="0"/>
    </xf>
    <xf numFmtId="4" fontId="38"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3" fontId="24" fillId="2" borderId="23" xfId="0" applyNumberFormat="1" applyFont="1" applyFill="1" applyBorder="1" applyAlignment="1"/>
    <xf numFmtId="3" fontId="24" fillId="2" borderId="23" xfId="0" applyNumberFormat="1" applyFont="1" applyFill="1" applyBorder="1" applyAlignment="1" applyProtection="1">
      <alignment horizontal="right"/>
      <protection locked="0"/>
    </xf>
    <xf numFmtId="10" fontId="24" fillId="2" borderId="24" xfId="0" applyNumberFormat="1" applyFont="1" applyFill="1" applyBorder="1" applyAlignment="1"/>
    <xf numFmtId="3" fontId="24" fillId="2" borderId="25" xfId="0" applyNumberFormat="1" applyFont="1" applyFill="1" applyBorder="1" applyAlignment="1"/>
    <xf numFmtId="10" fontId="24" fillId="2" borderId="26" xfId="0" applyNumberFormat="1" applyFont="1" applyFill="1" applyBorder="1" applyAlignment="1"/>
    <xf numFmtId="3" fontId="24" fillId="2" borderId="25" xfId="0" applyNumberFormat="1" applyFont="1" applyFill="1" applyBorder="1" applyAlignment="1" applyProtection="1">
      <alignment horizontal="right"/>
      <protection locked="0"/>
    </xf>
    <xf numFmtId="3" fontId="24" fillId="2" borderId="21" xfId="0" applyNumberFormat="1" applyFont="1" applyFill="1" applyBorder="1" applyAlignment="1"/>
    <xf numFmtId="10" fontId="24" fillId="2" borderId="21" xfId="0" applyNumberFormat="1" applyFont="1" applyFill="1" applyBorder="1" applyAlignment="1"/>
    <xf numFmtId="0" fontId="39" fillId="2" borderId="5" xfId="0" applyNumberFormat="1" applyFont="1" applyFill="1" applyBorder="1" applyAlignment="1"/>
    <xf numFmtId="0" fontId="40" fillId="2" borderId="2" xfId="0" applyNumberFormat="1" applyFont="1" applyFill="1" applyBorder="1" applyAlignment="1"/>
    <xf numFmtId="0" fontId="39" fillId="2" borderId="2" xfId="0" applyNumberFormat="1" applyFont="1" applyFill="1" applyBorder="1" applyAlignment="1"/>
    <xf numFmtId="0" fontId="39" fillId="2" borderId="17" xfId="0" applyNumberFormat="1" applyFont="1" applyFill="1" applyBorder="1" applyAlignment="1"/>
    <xf numFmtId="0" fontId="39" fillId="0" borderId="1" xfId="0" applyNumberFormat="1" applyFont="1" applyBorder="1"/>
    <xf numFmtId="0" fontId="39" fillId="0" borderId="0" xfId="0" applyNumberFormat="1" applyFont="1" applyAlignment="1"/>
    <xf numFmtId="0" fontId="39" fillId="2" borderId="1" xfId="0" applyNumberFormat="1" applyFont="1" applyFill="1" applyBorder="1" applyAlignment="1"/>
    <xf numFmtId="0" fontId="41" fillId="2" borderId="0" xfId="0" applyNumberFormat="1" applyFont="1" applyFill="1" applyAlignment="1"/>
    <xf numFmtId="0" fontId="39" fillId="2" borderId="0" xfId="0" applyNumberFormat="1" applyFont="1" applyFill="1" applyAlignment="1"/>
    <xf numFmtId="0" fontId="39" fillId="2" borderId="18" xfId="0" applyNumberFormat="1" applyFont="1" applyFill="1" applyBorder="1" applyAlignment="1"/>
    <xf numFmtId="0" fontId="39" fillId="2" borderId="1" xfId="0" applyNumberFormat="1" applyFont="1" applyFill="1" applyBorder="1" applyAlignment="1">
      <alignment horizontal="center"/>
    </xf>
    <xf numFmtId="0" fontId="42" fillId="2" borderId="0" xfId="0" applyNumberFormat="1" applyFont="1" applyFill="1" applyAlignment="1"/>
    <xf numFmtId="0" fontId="43" fillId="2" borderId="0" xfId="0" applyNumberFormat="1" applyFont="1" applyFill="1" applyAlignment="1"/>
    <xf numFmtId="0" fontId="44" fillId="2" borderId="0" xfId="0" applyNumberFormat="1" applyFont="1" applyFill="1" applyAlignment="1"/>
    <xf numFmtId="0" fontId="45" fillId="2" borderId="0" xfId="1" applyNumberFormat="1" applyFont="1" applyFill="1" applyAlignment="1" applyProtection="1"/>
    <xf numFmtId="0" fontId="46" fillId="2" borderId="0" xfId="1" applyNumberFormat="1" applyFont="1" applyFill="1" applyAlignment="1" applyProtection="1"/>
    <xf numFmtId="0" fontId="47" fillId="2" borderId="0" xfId="1" applyNumberFormat="1" applyFont="1" applyFill="1" applyAlignment="1" applyProtection="1"/>
    <xf numFmtId="0" fontId="48" fillId="2" borderId="0" xfId="0" applyNumberFormat="1" applyFont="1" applyFill="1" applyAlignment="1"/>
    <xf numFmtId="0" fontId="49" fillId="2" borderId="1" xfId="0" applyNumberFormat="1" applyFont="1" applyFill="1" applyBorder="1" applyAlignment="1"/>
    <xf numFmtId="0" fontId="50" fillId="2" borderId="0" xfId="0" applyNumberFormat="1" applyFont="1" applyFill="1" applyAlignment="1"/>
    <xf numFmtId="0" fontId="49" fillId="2" borderId="0" xfId="0" applyNumberFormat="1" applyFont="1" applyFill="1" applyAlignment="1"/>
    <xf numFmtId="0" fontId="49" fillId="2" borderId="18" xfId="0" applyNumberFormat="1" applyFont="1" applyFill="1" applyBorder="1" applyAlignment="1"/>
    <xf numFmtId="0" fontId="49" fillId="0" borderId="1" xfId="0" applyNumberFormat="1" applyFont="1" applyBorder="1"/>
    <xf numFmtId="0" fontId="49" fillId="0" borderId="0" xfId="0" applyNumberFormat="1" applyFont="1" applyAlignment="1"/>
    <xf numFmtId="0" fontId="49" fillId="2" borderId="5" xfId="0" applyNumberFormat="1" applyFont="1" applyFill="1" applyBorder="1" applyAlignment="1"/>
    <xf numFmtId="0" fontId="49" fillId="2" borderId="2" xfId="0" applyNumberFormat="1" applyFont="1" applyFill="1" applyBorder="1" applyAlignment="1"/>
    <xf numFmtId="0" fontId="49" fillId="2" borderId="17" xfId="0" applyNumberFormat="1" applyFont="1" applyFill="1" applyBorder="1" applyAlignment="1"/>
    <xf numFmtId="0" fontId="51" fillId="2" borderId="0" xfId="0" applyNumberFormat="1" applyFont="1" applyFill="1" applyAlignment="1">
      <alignment horizontal="center" wrapText="1"/>
    </xf>
    <xf numFmtId="9" fontId="50" fillId="2" borderId="0" xfId="0" applyNumberFormat="1" applyFont="1" applyFill="1" applyAlignment="1">
      <alignment horizontal="center"/>
    </xf>
    <xf numFmtId="10" fontId="50" fillId="2" borderId="0" xfId="0" applyNumberFormat="1" applyFont="1" applyFill="1" applyAlignment="1">
      <alignment horizontal="center"/>
    </xf>
    <xf numFmtId="15" fontId="50" fillId="2" borderId="0" xfId="0" applyNumberFormat="1" applyFont="1" applyFill="1" applyAlignment="1">
      <alignment horizontal="center"/>
    </xf>
    <xf numFmtId="0" fontId="49" fillId="2" borderId="0" xfId="0" applyNumberFormat="1" applyFont="1" applyFill="1" applyAlignment="1">
      <alignment horizontal="center"/>
    </xf>
    <xf numFmtId="0" fontId="51" fillId="2" borderId="0" xfId="0" applyNumberFormat="1" applyFont="1" applyFill="1" applyAlignment="1"/>
    <xf numFmtId="0" fontId="39" fillId="2" borderId="0" xfId="0" applyNumberFormat="1" applyFont="1" applyFill="1" applyAlignment="1">
      <alignment horizontal="right"/>
    </xf>
    <xf numFmtId="0" fontId="52" fillId="4" borderId="1" xfId="0" applyNumberFormat="1" applyFont="1" applyFill="1" applyBorder="1" applyAlignment="1"/>
    <xf numFmtId="0" fontId="52" fillId="4" borderId="0" xfId="0" applyNumberFormat="1" applyFont="1" applyFill="1" applyBorder="1" applyAlignment="1"/>
    <xf numFmtId="0" fontId="53" fillId="4" borderId="0" xfId="0" applyNumberFormat="1" applyFont="1" applyFill="1" applyBorder="1" applyAlignment="1">
      <alignment horizontal="center" wrapText="1"/>
    </xf>
    <xf numFmtId="0" fontId="52" fillId="4" borderId="0" xfId="0" applyNumberFormat="1" applyFont="1" applyFill="1" applyBorder="1" applyAlignment="1">
      <alignment horizontal="center" wrapText="1"/>
    </xf>
    <xf numFmtId="0" fontId="52" fillId="4" borderId="18" xfId="0" applyNumberFormat="1" applyFont="1" applyFill="1" applyBorder="1" applyAlignment="1"/>
    <xf numFmtId="0" fontId="49" fillId="2" borderId="0" xfId="0" applyNumberFormat="1" applyFont="1" applyFill="1" applyBorder="1" applyAlignment="1"/>
    <xf numFmtId="0" fontId="49" fillId="2" borderId="0" xfId="0" applyNumberFormat="1" applyFont="1" applyFill="1" applyBorder="1" applyAlignment="1">
      <alignment horizontal="center" wrapText="1"/>
    </xf>
    <xf numFmtId="0" fontId="50" fillId="2" borderId="14" xfId="0" applyNumberFormat="1" applyFont="1" applyFill="1" applyBorder="1" applyAlignment="1"/>
    <xf numFmtId="0" fontId="49" fillId="2" borderId="15" xfId="0" applyNumberFormat="1" applyFont="1" applyFill="1" applyBorder="1" applyAlignment="1"/>
    <xf numFmtId="0" fontId="50" fillId="2" borderId="15" xfId="0" applyNumberFormat="1" applyFont="1" applyFill="1" applyBorder="1" applyAlignment="1">
      <alignment horizontal="center" wrapText="1"/>
    </xf>
    <xf numFmtId="0" fontId="49" fillId="2" borderId="15" xfId="0" applyNumberFormat="1" applyFont="1" applyFill="1" applyBorder="1" applyAlignment="1">
      <alignment horizontal="center" wrapText="1"/>
    </xf>
    <xf numFmtId="0" fontId="49" fillId="2" borderId="16" xfId="0" applyNumberFormat="1" applyFont="1" applyFill="1" applyBorder="1" applyAlignment="1"/>
    <xf numFmtId="0" fontId="50" fillId="2" borderId="15" xfId="0" applyNumberFormat="1" applyFont="1" applyFill="1" applyBorder="1" applyAlignment="1"/>
    <xf numFmtId="169" fontId="49" fillId="0" borderId="0" xfId="0" applyNumberFormat="1" applyFont="1" applyAlignment="1"/>
    <xf numFmtId="171" fontId="49" fillId="0" borderId="0" xfId="0" applyNumberFormat="1" applyFont="1" applyAlignment="1"/>
    <xf numFmtId="0" fontId="49" fillId="2" borderId="14" xfId="0" applyNumberFormat="1" applyFont="1" applyFill="1" applyBorder="1" applyAlignment="1"/>
    <xf numFmtId="0" fontId="49" fillId="2" borderId="15" xfId="0" applyNumberFormat="1" applyFont="1" applyFill="1" applyBorder="1" applyAlignment="1">
      <alignment horizontal="center"/>
    </xf>
    <xf numFmtId="164" fontId="49" fillId="2" borderId="15" xfId="0" applyNumberFormat="1" applyFont="1" applyFill="1" applyBorder="1" applyAlignment="1"/>
    <xf numFmtId="164" fontId="49" fillId="2" borderId="15" xfId="0" applyNumberFormat="1" applyFont="1" applyFill="1" applyBorder="1" applyAlignment="1">
      <alignment horizontal="center"/>
    </xf>
    <xf numFmtId="3" fontId="49" fillId="2" borderId="16" xfId="0" applyNumberFormat="1" applyFont="1" applyFill="1" applyBorder="1" applyAlignment="1"/>
    <xf numFmtId="164" fontId="50" fillId="2" borderId="15" xfId="0" applyNumberFormat="1" applyFont="1" applyFill="1" applyBorder="1" applyAlignment="1"/>
    <xf numFmtId="172" fontId="49" fillId="2" borderId="15" xfId="0" applyNumberFormat="1" applyFont="1" applyFill="1" applyBorder="1" applyAlignment="1">
      <alignment horizontal="center"/>
    </xf>
    <xf numFmtId="168" fontId="49" fillId="2" borderId="15" xfId="0" applyNumberFormat="1" applyFont="1" applyFill="1" applyBorder="1" applyAlignment="1">
      <alignment horizontal="center"/>
    </xf>
    <xf numFmtId="169" fontId="49" fillId="2" borderId="15" xfId="0" applyNumberFormat="1" applyFont="1" applyFill="1" applyBorder="1" applyAlignment="1">
      <alignment horizontal="center"/>
    </xf>
    <xf numFmtId="171" fontId="49" fillId="2" borderId="15" xfId="0" applyNumberFormat="1" applyFont="1" applyFill="1" applyBorder="1" applyAlignment="1">
      <alignment horizontal="center"/>
    </xf>
    <xf numFmtId="164" fontId="50" fillId="2" borderId="15" xfId="0" applyNumberFormat="1" applyFont="1" applyFill="1" applyBorder="1" applyAlignment="1">
      <alignment horizontal="center"/>
    </xf>
    <xf numFmtId="172" fontId="50" fillId="2" borderId="15" xfId="0" applyNumberFormat="1" applyFont="1" applyFill="1" applyBorder="1" applyAlignment="1">
      <alignment horizontal="center"/>
    </xf>
    <xf numFmtId="169" fontId="50" fillId="2" borderId="15" xfId="0" applyNumberFormat="1" applyFont="1" applyFill="1" applyBorder="1" applyAlignment="1">
      <alignment horizontal="center"/>
    </xf>
    <xf numFmtId="168" fontId="50" fillId="2" borderId="15" xfId="0" applyNumberFormat="1" applyFont="1" applyFill="1" applyBorder="1" applyAlignment="1">
      <alignment horizontal="center"/>
    </xf>
    <xf numFmtId="0" fontId="54" fillId="2" borderId="14" xfId="0" applyNumberFormat="1" applyFont="1" applyFill="1" applyBorder="1" applyAlignment="1"/>
    <xf numFmtId="0" fontId="48" fillId="2" borderId="15" xfId="0" applyNumberFormat="1" applyFont="1" applyFill="1" applyBorder="1" applyAlignment="1"/>
    <xf numFmtId="0" fontId="39" fillId="2" borderId="15" xfId="0" applyNumberFormat="1" applyFont="1" applyFill="1" applyBorder="1" applyAlignment="1"/>
    <xf numFmtId="170" fontId="48" fillId="2" borderId="15" xfId="0" applyNumberFormat="1" applyFont="1" applyFill="1" applyBorder="1" applyAlignment="1">
      <alignment horizontal="center"/>
    </xf>
    <xf numFmtId="170" fontId="42" fillId="2" borderId="15" xfId="0" applyNumberFormat="1" applyFont="1" applyFill="1" applyBorder="1" applyAlignment="1">
      <alignment horizontal="center"/>
    </xf>
    <xf numFmtId="0" fontId="54" fillId="2" borderId="15" xfId="0" applyNumberFormat="1" applyFont="1" applyFill="1" applyBorder="1" applyAlignment="1">
      <alignment horizontal="center"/>
    </xf>
    <xf numFmtId="0" fontId="54" fillId="2" borderId="15" xfId="0" applyNumberFormat="1" applyFont="1" applyFill="1" applyBorder="1" applyAlignment="1"/>
    <xf numFmtId="164" fontId="54" fillId="2" borderId="15" xfId="0" applyNumberFormat="1" applyFont="1" applyFill="1" applyBorder="1" applyAlignment="1"/>
    <xf numFmtId="0" fontId="54" fillId="2" borderId="16" xfId="0" applyNumberFormat="1" applyFont="1" applyFill="1" applyBorder="1" applyAlignment="1"/>
    <xf numFmtId="0" fontId="54" fillId="0" borderId="1" xfId="0" applyNumberFormat="1" applyFont="1" applyBorder="1"/>
    <xf numFmtId="0" fontId="54" fillId="0" borderId="0" xfId="0" applyNumberFormat="1" applyFont="1" applyAlignment="1"/>
    <xf numFmtId="170" fontId="39" fillId="2" borderId="15" xfId="0" applyNumberFormat="1" applyFont="1" applyFill="1" applyBorder="1" applyAlignment="1">
      <alignment horizontal="center"/>
    </xf>
    <xf numFmtId="10" fontId="54" fillId="2" borderId="15" xfId="0" applyNumberFormat="1" applyFont="1" applyFill="1" applyBorder="1" applyAlignment="1">
      <alignment horizontal="center"/>
    </xf>
    <xf numFmtId="165" fontId="54" fillId="2" borderId="15" xfId="0" applyNumberFormat="1" applyFont="1" applyFill="1" applyBorder="1" applyAlignment="1">
      <alignment horizontal="center"/>
    </xf>
    <xf numFmtId="10" fontId="49" fillId="2" borderId="15" xfId="0" applyNumberFormat="1" applyFont="1" applyFill="1" applyBorder="1" applyAlignment="1">
      <alignment horizontal="center"/>
    </xf>
    <xf numFmtId="165" fontId="49" fillId="2" borderId="15" xfId="0" applyNumberFormat="1" applyFont="1" applyFill="1" applyBorder="1" applyAlignment="1">
      <alignment horizontal="center"/>
    </xf>
    <xf numFmtId="167" fontId="49" fillId="2" borderId="15" xfId="0" applyNumberFormat="1" applyFont="1" applyFill="1" applyBorder="1" applyAlignment="1">
      <alignment horizontal="center"/>
    </xf>
    <xf numFmtId="9" fontId="49" fillId="2" borderId="15" xfId="2" applyFont="1" applyFill="1" applyBorder="1" applyAlignment="1">
      <alignment horizontal="center"/>
    </xf>
    <xf numFmtId="0" fontId="49" fillId="2" borderId="15" xfId="0" applyNumberFormat="1" applyFont="1" applyFill="1" applyBorder="1" applyAlignment="1">
      <alignment horizontal="right"/>
    </xf>
    <xf numFmtId="10" fontId="49" fillId="2" borderId="15" xfId="2" applyNumberFormat="1" applyFont="1" applyFill="1" applyBorder="1" applyAlignment="1">
      <alignment horizontal="center"/>
    </xf>
    <xf numFmtId="4" fontId="49" fillId="2" borderId="15" xfId="0" applyNumberFormat="1" applyFont="1" applyFill="1" applyBorder="1" applyAlignment="1">
      <alignment horizontal="center"/>
    </xf>
    <xf numFmtId="0" fontId="50" fillId="2" borderId="15" xfId="0" applyNumberFormat="1" applyFont="1" applyFill="1" applyBorder="1" applyAlignment="1">
      <alignment horizontal="center"/>
    </xf>
    <xf numFmtId="15" fontId="50" fillId="2" borderId="15" xfId="0" applyNumberFormat="1" applyFont="1" applyFill="1" applyBorder="1" applyAlignment="1">
      <alignment horizontal="center"/>
    </xf>
    <xf numFmtId="15" fontId="50" fillId="2" borderId="15" xfId="0" applyNumberFormat="1" applyFont="1" applyFill="1" applyBorder="1" applyAlignment="1" applyProtection="1">
      <alignment horizontal="center"/>
      <protection locked="0"/>
    </xf>
    <xf numFmtId="15" fontId="49" fillId="2" borderId="15" xfId="0" applyNumberFormat="1" applyFont="1" applyFill="1" applyBorder="1" applyAlignment="1"/>
    <xf numFmtId="15" fontId="49" fillId="2" borderId="15" xfId="0" applyNumberFormat="1" applyFont="1" applyFill="1" applyBorder="1" applyAlignment="1" applyProtection="1">
      <alignment horizontal="center"/>
      <protection locked="0"/>
    </xf>
    <xf numFmtId="15" fontId="49" fillId="2" borderId="15" xfId="0" applyNumberFormat="1" applyFont="1" applyFill="1" applyBorder="1" applyAlignment="1">
      <alignment horizontal="center"/>
    </xf>
    <xf numFmtId="0" fontId="49" fillId="0" borderId="0" xfId="0" applyNumberFormat="1" applyFont="1" applyFill="1" applyBorder="1" applyAlignment="1"/>
    <xf numFmtId="0" fontId="39" fillId="2" borderId="0" xfId="0" applyNumberFormat="1" applyFont="1" applyFill="1" applyBorder="1" applyAlignment="1"/>
    <xf numFmtId="15" fontId="55" fillId="2" borderId="0" xfId="0" applyNumberFormat="1" applyFont="1" applyFill="1" applyBorder="1" applyAlignment="1" applyProtection="1">
      <alignment horizontal="center"/>
      <protection locked="0"/>
    </xf>
    <xf numFmtId="15" fontId="55" fillId="2" borderId="0" xfId="0" applyNumberFormat="1" applyFont="1" applyFill="1" applyBorder="1" applyAlignment="1">
      <alignment horizontal="center"/>
    </xf>
    <xf numFmtId="15" fontId="55" fillId="2" borderId="0" xfId="0" applyNumberFormat="1" applyFont="1" applyFill="1" applyAlignment="1" applyProtection="1">
      <alignment horizontal="center"/>
      <protection locked="0"/>
    </xf>
    <xf numFmtId="15" fontId="55" fillId="2" borderId="0" xfId="0" applyNumberFormat="1" applyFont="1" applyFill="1" applyAlignment="1">
      <alignment horizontal="center"/>
    </xf>
    <xf numFmtId="0" fontId="39" fillId="2" borderId="8" xfId="0" applyNumberFormat="1" applyFont="1" applyFill="1" applyBorder="1" applyAlignment="1"/>
    <xf numFmtId="0" fontId="56" fillId="2" borderId="9" xfId="0" applyNumberFormat="1" applyFont="1" applyFill="1" applyBorder="1" applyAlignment="1"/>
    <xf numFmtId="0" fontId="39" fillId="2" borderId="9" xfId="0" applyNumberFormat="1" applyFont="1" applyFill="1" applyBorder="1" applyAlignment="1"/>
    <xf numFmtId="0" fontId="39" fillId="2" borderId="9" xfId="0" applyNumberFormat="1" applyFont="1" applyFill="1" applyBorder="1" applyAlignment="1" applyProtection="1">
      <alignment horizontal="right"/>
      <protection locked="0"/>
    </xf>
    <xf numFmtId="0" fontId="39" fillId="2" borderId="10" xfId="0" applyNumberFormat="1" applyFont="1" applyFill="1" applyBorder="1" applyAlignment="1"/>
    <xf numFmtId="0" fontId="57" fillId="4" borderId="0" xfId="0" applyNumberFormat="1" applyFont="1" applyFill="1" applyAlignment="1"/>
    <xf numFmtId="0" fontId="52" fillId="4" borderId="0" xfId="0" applyNumberFormat="1" applyFont="1" applyFill="1" applyAlignment="1"/>
    <xf numFmtId="4" fontId="52" fillId="4" borderId="0" xfId="0" applyNumberFormat="1" applyFont="1" applyFill="1" applyAlignment="1" applyProtection="1">
      <alignment horizontal="right"/>
      <protection locked="0"/>
    </xf>
    <xf numFmtId="4" fontId="39" fillId="2" borderId="0" xfId="0" applyNumberFormat="1" applyFont="1" applyFill="1" applyAlignment="1" applyProtection="1">
      <alignment horizontal="right"/>
      <protection locked="0"/>
    </xf>
    <xf numFmtId="0" fontId="54" fillId="2" borderId="1" xfId="0" applyNumberFormat="1" applyFont="1" applyFill="1" applyBorder="1" applyAlignment="1"/>
    <xf numFmtId="0" fontId="42" fillId="2" borderId="0" xfId="0" applyNumberFormat="1" applyFont="1" applyFill="1" applyAlignment="1">
      <alignment horizontal="left" vertical="top" wrapText="1"/>
    </xf>
    <xf numFmtId="0" fontId="42" fillId="2" borderId="0" xfId="0" applyNumberFormat="1" applyFont="1" applyFill="1" applyAlignment="1">
      <alignment horizontal="center" vertical="top" wrapText="1"/>
    </xf>
    <xf numFmtId="4" fontId="42" fillId="2" borderId="0" xfId="0" applyNumberFormat="1" applyFont="1" applyFill="1" applyAlignment="1" applyProtection="1">
      <alignment horizontal="center" vertical="top" wrapText="1"/>
      <protection locked="0"/>
    </xf>
    <xf numFmtId="0" fontId="54" fillId="2" borderId="18" xfId="0" applyNumberFormat="1" applyFont="1" applyFill="1" applyBorder="1" applyAlignment="1"/>
    <xf numFmtId="3" fontId="49" fillId="2" borderId="15" xfId="0" applyNumberFormat="1" applyFont="1" applyFill="1" applyBorder="1" applyAlignment="1"/>
    <xf numFmtId="3" fontId="49" fillId="2" borderId="15" xfId="0" applyNumberFormat="1" applyFont="1" applyFill="1" applyBorder="1" applyAlignment="1" applyProtection="1">
      <alignment horizontal="right"/>
      <protection locked="0"/>
    </xf>
    <xf numFmtId="3" fontId="49" fillId="0" borderId="0" xfId="0" applyNumberFormat="1" applyFont="1" applyAlignment="1"/>
    <xf numFmtId="3" fontId="39" fillId="2" borderId="0" xfId="0" applyNumberFormat="1" applyFont="1" applyFill="1" applyBorder="1" applyAlignment="1"/>
    <xf numFmtId="3" fontId="55" fillId="2" borderId="0" xfId="0" applyNumberFormat="1" applyFont="1" applyFill="1" applyBorder="1" applyAlignment="1"/>
    <xf numFmtId="3" fontId="39" fillId="2" borderId="0" xfId="0" applyNumberFormat="1" applyFont="1" applyFill="1" applyAlignment="1"/>
    <xf numFmtId="3" fontId="55" fillId="2" borderId="0" xfId="0" applyNumberFormat="1" applyFont="1" applyFill="1" applyAlignment="1"/>
    <xf numFmtId="0" fontId="53" fillId="4" borderId="0" xfId="0" applyNumberFormat="1" applyFont="1" applyFill="1" applyBorder="1" applyAlignment="1"/>
    <xf numFmtId="0" fontId="53" fillId="4" borderId="0" xfId="0" applyNumberFormat="1" applyFont="1" applyFill="1" applyBorder="1" applyAlignment="1">
      <alignment horizontal="center"/>
    </xf>
    <xf numFmtId="0" fontId="53" fillId="4" borderId="0" xfId="0" applyNumberFormat="1" applyFont="1" applyFill="1" applyBorder="1" applyAlignment="1">
      <alignment horizontal="right"/>
    </xf>
    <xf numFmtId="15" fontId="53" fillId="4" borderId="0" xfId="0" applyNumberFormat="1" applyFont="1" applyFill="1" applyBorder="1" applyAlignment="1">
      <alignment horizontal="right"/>
    </xf>
    <xf numFmtId="3" fontId="49" fillId="2" borderId="0" xfId="0" applyNumberFormat="1" applyFont="1" applyFill="1" applyBorder="1" applyAlignment="1"/>
    <xf numFmtId="3" fontId="49" fillId="2" borderId="0" xfId="0" applyNumberFormat="1" applyFont="1" applyFill="1" applyBorder="1" applyAlignment="1" applyProtection="1">
      <alignment horizontal="right"/>
      <protection locked="0"/>
    </xf>
    <xf numFmtId="14" fontId="49" fillId="2" borderId="15" xfId="0" applyNumberFormat="1" applyFont="1" applyFill="1" applyBorder="1" applyAlignment="1">
      <alignment horizontal="right"/>
    </xf>
    <xf numFmtId="167" fontId="49" fillId="2" borderId="15" xfId="0" applyNumberFormat="1" applyFont="1" applyFill="1" applyBorder="1" applyAlignment="1">
      <alignment horizontal="right"/>
    </xf>
    <xf numFmtId="0" fontId="39" fillId="2" borderId="14" xfId="0" applyNumberFormat="1" applyFont="1" applyFill="1" applyBorder="1" applyAlignment="1"/>
    <xf numFmtId="0" fontId="47" fillId="2" borderId="15" xfId="0" applyNumberFormat="1" applyFont="1" applyFill="1" applyBorder="1" applyAlignment="1"/>
    <xf numFmtId="3" fontId="58" fillId="2" borderId="15" xfId="0" applyNumberFormat="1" applyFont="1" applyFill="1" applyBorder="1" applyAlignment="1"/>
    <xf numFmtId="0" fontId="58" fillId="2" borderId="15" xfId="0" applyNumberFormat="1" applyFont="1" applyFill="1" applyBorder="1" applyAlignment="1"/>
    <xf numFmtId="3" fontId="58" fillId="2" borderId="15" xfId="0" applyNumberFormat="1" applyFont="1" applyFill="1" applyBorder="1" applyAlignment="1" applyProtection="1">
      <alignment horizontal="right"/>
      <protection locked="0"/>
    </xf>
    <xf numFmtId="0" fontId="39" fillId="2" borderId="16" xfId="0" applyNumberFormat="1" applyFont="1" applyFill="1" applyBorder="1" applyAlignment="1"/>
    <xf numFmtId="4" fontId="58" fillId="2" borderId="15" xfId="0" applyNumberFormat="1" applyFont="1" applyFill="1" applyBorder="1" applyAlignment="1" applyProtection="1">
      <alignment horizontal="right"/>
      <protection locked="0"/>
    </xf>
    <xf numFmtId="4" fontId="49" fillId="2" borderId="0" xfId="0" applyNumberFormat="1" applyFont="1" applyFill="1" applyAlignment="1" applyProtection="1">
      <alignment horizontal="right"/>
      <protection locked="0"/>
    </xf>
    <xf numFmtId="0" fontId="49" fillId="2" borderId="8" xfId="0" applyNumberFormat="1" applyFont="1" applyFill="1" applyBorder="1" applyAlignment="1"/>
    <xf numFmtId="0" fontId="49" fillId="2" borderId="9" xfId="0" applyNumberFormat="1" applyFont="1" applyFill="1" applyBorder="1" applyAlignment="1"/>
    <xf numFmtId="4" fontId="49" fillId="2" borderId="9" xfId="0" applyNumberFormat="1" applyFont="1" applyFill="1" applyBorder="1" applyAlignment="1" applyProtection="1">
      <alignment horizontal="right"/>
      <protection locked="0"/>
    </xf>
    <xf numFmtId="0" fontId="49" fillId="2" borderId="10" xfId="0" applyNumberFormat="1" applyFont="1" applyFill="1" applyBorder="1" applyAlignment="1"/>
    <xf numFmtId="0" fontId="52" fillId="4" borderId="5" xfId="0" applyNumberFormat="1" applyFont="1" applyFill="1" applyBorder="1" applyAlignment="1"/>
    <xf numFmtId="0" fontId="53" fillId="4" borderId="2" xfId="0" applyNumberFormat="1" applyFont="1" applyFill="1" applyBorder="1" applyAlignment="1"/>
    <xf numFmtId="0" fontId="52" fillId="4" borderId="2" xfId="0" applyNumberFormat="1" applyFont="1" applyFill="1" applyBorder="1" applyAlignment="1"/>
    <xf numFmtId="4" fontId="52" fillId="4" borderId="2" xfId="0" applyNumberFormat="1" applyFont="1" applyFill="1" applyBorder="1" applyAlignment="1" applyProtection="1">
      <alignment horizontal="right"/>
      <protection locked="0"/>
    </xf>
    <xf numFmtId="0" fontId="52" fillId="4" borderId="17" xfId="0" applyNumberFormat="1" applyFont="1" applyFill="1" applyBorder="1" applyAlignment="1"/>
    <xf numFmtId="0" fontId="59" fillId="2" borderId="0" xfId="0" applyNumberFormat="1" applyFont="1" applyFill="1" applyAlignment="1"/>
    <xf numFmtId="0" fontId="47" fillId="2" borderId="0" xfId="0" applyNumberFormat="1" applyFont="1" applyFill="1" applyAlignment="1"/>
    <xf numFmtId="4" fontId="39" fillId="2" borderId="0" xfId="0" applyNumberFormat="1" applyFont="1" applyFill="1" applyBorder="1" applyAlignment="1" applyProtection="1">
      <alignment horizontal="right"/>
      <protection locked="0"/>
    </xf>
    <xf numFmtId="0" fontId="58" fillId="2" borderId="0" xfId="0" applyNumberFormat="1" applyFont="1" applyFill="1" applyBorder="1" applyAlignment="1"/>
    <xf numFmtId="3" fontId="58" fillId="2" borderId="0" xfId="0" applyNumberFormat="1" applyFont="1" applyFill="1" applyBorder="1" applyAlignment="1" applyProtection="1">
      <alignment horizontal="right"/>
      <protection locked="0"/>
    </xf>
    <xf numFmtId="0" fontId="49" fillId="2" borderId="20" xfId="0" applyNumberFormat="1" applyFont="1" applyFill="1" applyBorder="1" applyAlignment="1"/>
    <xf numFmtId="0" fontId="49" fillId="2" borderId="21" xfId="0" applyNumberFormat="1" applyFont="1" applyFill="1" applyBorder="1" applyAlignment="1"/>
    <xf numFmtId="3" fontId="49" fillId="2" borderId="21" xfId="0" applyNumberFormat="1" applyFont="1" applyFill="1" applyBorder="1" applyAlignment="1" applyProtection="1">
      <alignment horizontal="right"/>
      <protection locked="0"/>
    </xf>
    <xf numFmtId="0" fontId="49" fillId="2" borderId="22" xfId="0" applyNumberFormat="1" applyFont="1" applyFill="1" applyBorder="1" applyAlignment="1"/>
    <xf numFmtId="4" fontId="55" fillId="2" borderId="0" xfId="0" applyNumberFormat="1" applyFont="1" applyFill="1" applyAlignment="1" applyProtection="1">
      <alignment horizontal="right"/>
      <protection locked="0"/>
    </xf>
    <xf numFmtId="4" fontId="39" fillId="2" borderId="2" xfId="0" applyNumberFormat="1" applyFont="1" applyFill="1" applyBorder="1" applyAlignment="1" applyProtection="1">
      <alignment horizontal="right"/>
      <protection locked="0"/>
    </xf>
    <xf numFmtId="3" fontId="39" fillId="2" borderId="0" xfId="0" applyNumberFormat="1" applyFont="1" applyFill="1" applyBorder="1" applyAlignment="1" applyProtection="1">
      <alignment horizontal="right"/>
      <protection locked="0"/>
    </xf>
    <xf numFmtId="0" fontId="39" fillId="0" borderId="0" xfId="0" applyNumberFormat="1" applyFont="1" applyBorder="1" applyAlignment="1"/>
    <xf numFmtId="0" fontId="49" fillId="0" borderId="3" xfId="0" applyNumberFormat="1" applyFont="1" applyBorder="1" applyAlignment="1"/>
    <xf numFmtId="0" fontId="39" fillId="0" borderId="4" xfId="0" applyNumberFormat="1" applyFont="1" applyBorder="1" applyAlignment="1"/>
    <xf numFmtId="0" fontId="39" fillId="0" borderId="2" xfId="0" applyNumberFormat="1" applyFont="1" applyBorder="1" applyAlignment="1"/>
    <xf numFmtId="0" fontId="54" fillId="2" borderId="0" xfId="0" applyNumberFormat="1" applyFont="1" applyFill="1" applyAlignment="1"/>
    <xf numFmtId="0" fontId="42" fillId="2" borderId="0" xfId="0" applyNumberFormat="1" applyFont="1" applyFill="1" applyAlignment="1">
      <alignment horizontal="right"/>
    </xf>
    <xf numFmtId="4" fontId="42" fillId="2" borderId="0" xfId="0" applyNumberFormat="1" applyFont="1" applyFill="1" applyAlignment="1" applyProtection="1">
      <alignment horizontal="right"/>
      <protection locked="0"/>
    </xf>
    <xf numFmtId="0" fontId="42" fillId="2" borderId="18" xfId="0" applyNumberFormat="1" applyFont="1" applyFill="1" applyBorder="1" applyAlignment="1"/>
    <xf numFmtId="0" fontId="39" fillId="2" borderId="0" xfId="0" applyNumberFormat="1" applyFont="1" applyFill="1" applyAlignment="1" applyProtection="1">
      <protection locked="0"/>
    </xf>
    <xf numFmtId="4" fontId="49" fillId="2" borderId="15" xfId="0" applyNumberFormat="1" applyFont="1" applyFill="1" applyBorder="1" applyAlignment="1" applyProtection="1">
      <alignment horizontal="right"/>
      <protection locked="0"/>
    </xf>
    <xf numFmtId="2" fontId="49" fillId="2" borderId="15" xfId="0" applyNumberFormat="1" applyFont="1" applyFill="1" applyBorder="1" applyAlignment="1" applyProtection="1">
      <alignment horizontal="right"/>
      <protection locked="0"/>
    </xf>
    <xf numFmtId="0" fontId="58" fillId="2" borderId="16" xfId="0" applyNumberFormat="1" applyFont="1" applyFill="1" applyBorder="1" applyAlignment="1"/>
    <xf numFmtId="0" fontId="58" fillId="2" borderId="18" xfId="0" applyNumberFormat="1" applyFont="1" applyFill="1" applyBorder="1" applyAlignment="1"/>
    <xf numFmtId="0" fontId="58" fillId="2" borderId="0" xfId="0" applyNumberFormat="1" applyFont="1" applyFill="1" applyAlignment="1"/>
    <xf numFmtId="0" fontId="58" fillId="2" borderId="9" xfId="0" applyNumberFormat="1" applyFont="1" applyFill="1" applyBorder="1" applyAlignment="1"/>
    <xf numFmtId="0" fontId="58" fillId="2" borderId="10" xfId="0" applyNumberFormat="1" applyFont="1" applyFill="1" applyBorder="1" applyAlignment="1"/>
    <xf numFmtId="15" fontId="53" fillId="4" borderId="2" xfId="0" applyNumberFormat="1" applyFont="1" applyFill="1" applyBorder="1" applyAlignment="1">
      <alignment horizontal="centerContinuous"/>
    </xf>
    <xf numFmtId="15" fontId="53" fillId="4" borderId="2" xfId="0" applyNumberFormat="1" applyFont="1" applyFill="1" applyBorder="1" applyAlignment="1">
      <alignment horizontal="center"/>
    </xf>
    <xf numFmtId="0" fontId="55" fillId="2" borderId="1" xfId="0" applyNumberFormat="1" applyFont="1" applyFill="1" applyBorder="1" applyAlignment="1"/>
    <xf numFmtId="0" fontId="60" fillId="2" borderId="0" xfId="0" applyNumberFormat="1" applyFont="1" applyFill="1" applyAlignment="1"/>
    <xf numFmtId="15" fontId="61" fillId="2" borderId="0" xfId="0" applyNumberFormat="1" applyFont="1" applyFill="1" applyAlignment="1">
      <alignment horizontal="centerContinuous"/>
    </xf>
    <xf numFmtId="15" fontId="61" fillId="2" borderId="0" xfId="0" applyNumberFormat="1" applyFont="1" applyFill="1" applyAlignment="1">
      <alignment horizontal="center"/>
    </xf>
    <xf numFmtId="15" fontId="50" fillId="2" borderId="15" xfId="0" applyNumberFormat="1" applyFont="1" applyFill="1" applyBorder="1" applyAlignment="1">
      <alignment horizontal="centerContinuous"/>
    </xf>
    <xf numFmtId="17" fontId="49" fillId="2" borderId="15" xfId="0" applyNumberFormat="1" applyFont="1" applyFill="1" applyBorder="1" applyAlignment="1">
      <alignment horizontal="center"/>
    </xf>
    <xf numFmtId="0" fontId="55" fillId="2" borderId="0" xfId="0" applyNumberFormat="1" applyFont="1" applyFill="1" applyBorder="1" applyAlignment="1"/>
    <xf numFmtId="0" fontId="39" fillId="2" borderId="0" xfId="0" applyNumberFormat="1" applyFont="1" applyFill="1" applyBorder="1" applyAlignment="1" applyProtection="1">
      <protection locked="0"/>
    </xf>
    <xf numFmtId="0" fontId="52" fillId="4" borderId="1" xfId="0" applyNumberFormat="1" applyFont="1" applyFill="1" applyBorder="1" applyAlignment="1">
      <alignment horizontal="right"/>
    </xf>
    <xf numFmtId="3" fontId="53" fillId="4" borderId="0" xfId="0" applyNumberFormat="1" applyFont="1" applyFill="1" applyBorder="1" applyAlignment="1">
      <alignment horizontal="center"/>
    </xf>
    <xf numFmtId="0" fontId="49" fillId="2" borderId="1" xfId="0" applyNumberFormat="1" applyFont="1" applyFill="1" applyBorder="1" applyAlignment="1">
      <alignment horizontal="right"/>
    </xf>
    <xf numFmtId="0" fontId="49" fillId="2" borderId="0" xfId="0" applyNumberFormat="1" applyFont="1" applyFill="1" applyBorder="1" applyAlignment="1">
      <alignment horizontal="center"/>
    </xf>
    <xf numFmtId="3" fontId="49" fillId="2" borderId="0" xfId="0" applyNumberFormat="1" applyFont="1" applyFill="1" applyBorder="1" applyAlignment="1" applyProtection="1">
      <alignment horizontal="center"/>
      <protection locked="0"/>
    </xf>
    <xf numFmtId="0" fontId="49" fillId="2" borderId="0" xfId="0" applyNumberFormat="1" applyFont="1" applyFill="1" applyBorder="1" applyAlignment="1" applyProtection="1">
      <protection locked="0"/>
    </xf>
    <xf numFmtId="3" fontId="50" fillId="2" borderId="18" xfId="0" applyNumberFormat="1" applyFont="1" applyFill="1" applyBorder="1" applyAlignment="1"/>
    <xf numFmtId="0" fontId="49" fillId="2" borderId="14" xfId="0" applyNumberFormat="1" applyFont="1" applyFill="1" applyBorder="1" applyAlignment="1">
      <alignment horizontal="right"/>
    </xf>
    <xf numFmtId="3" fontId="49" fillId="2" borderId="15" xfId="0" applyNumberFormat="1" applyFont="1" applyFill="1" applyBorder="1" applyAlignment="1">
      <alignment horizontal="center"/>
    </xf>
    <xf numFmtId="3" fontId="49" fillId="2" borderId="15" xfId="0" applyNumberFormat="1" applyFont="1" applyFill="1" applyBorder="1" applyAlignment="1" applyProtection="1">
      <alignment horizontal="center"/>
      <protection locked="0"/>
    </xf>
    <xf numFmtId="0" fontId="49" fillId="2" borderId="15" xfId="0" applyNumberFormat="1" applyFont="1" applyFill="1" applyBorder="1" applyAlignment="1" applyProtection="1">
      <protection locked="0"/>
    </xf>
    <xf numFmtId="3" fontId="50" fillId="2" borderId="16" xfId="0" applyNumberFormat="1" applyFont="1" applyFill="1" applyBorder="1" applyAlignment="1"/>
    <xf numFmtId="0" fontId="55" fillId="2" borderId="14" xfId="0" applyNumberFormat="1" applyFont="1" applyFill="1" applyBorder="1" applyAlignment="1">
      <alignment horizontal="right"/>
    </xf>
    <xf numFmtId="0" fontId="42" fillId="2" borderId="15" xfId="0" applyNumberFormat="1" applyFont="1" applyFill="1" applyBorder="1" applyAlignment="1"/>
    <xf numFmtId="3" fontId="55" fillId="2" borderId="15" xfId="0" applyNumberFormat="1" applyFont="1" applyFill="1" applyBorder="1" applyAlignment="1"/>
    <xf numFmtId="0" fontId="39" fillId="2" borderId="15" xfId="0" applyNumberFormat="1" applyFont="1" applyFill="1" applyBorder="1" applyAlignment="1" applyProtection="1">
      <protection locked="0"/>
    </xf>
    <xf numFmtId="3" fontId="61" fillId="2" borderId="16" xfId="0" applyNumberFormat="1" applyFont="1" applyFill="1" applyBorder="1" applyAlignment="1"/>
    <xf numFmtId="0" fontId="55" fillId="2" borderId="14" xfId="0" applyNumberFormat="1" applyFont="1" applyFill="1" applyBorder="1" applyAlignment="1">
      <alignment horizontal="center"/>
    </xf>
    <xf numFmtId="0" fontId="55" fillId="2" borderId="15" xfId="0" applyNumberFormat="1" applyFont="1" applyFill="1" applyBorder="1" applyAlignment="1"/>
    <xf numFmtId="0" fontId="61" fillId="2" borderId="16" xfId="0" applyNumberFormat="1" applyFont="1" applyFill="1" applyBorder="1" applyAlignment="1"/>
    <xf numFmtId="0" fontId="49" fillId="2" borderId="14" xfId="0" applyNumberFormat="1" applyFont="1" applyFill="1" applyBorder="1" applyAlignment="1">
      <alignment horizontal="center"/>
    </xf>
    <xf numFmtId="0" fontId="50" fillId="2" borderId="16" xfId="0" applyNumberFormat="1" applyFont="1" applyFill="1" applyBorder="1" applyAlignment="1"/>
    <xf numFmtId="0" fontId="58" fillId="2" borderId="15" xfId="0" applyNumberFormat="1" applyFont="1" applyFill="1" applyBorder="1" applyAlignment="1">
      <alignment horizontal="center"/>
    </xf>
    <xf numFmtId="3" fontId="58" fillId="2" borderId="15" xfId="0" applyNumberFormat="1" applyFont="1" applyFill="1" applyBorder="1" applyAlignment="1" applyProtection="1">
      <alignment horizontal="center"/>
      <protection locked="0"/>
    </xf>
    <xf numFmtId="4" fontId="49" fillId="2" borderId="15" xfId="0" applyNumberFormat="1" applyFont="1" applyFill="1" applyBorder="1" applyAlignment="1" applyProtection="1">
      <alignment horizontal="center"/>
      <protection locked="0"/>
    </xf>
    <xf numFmtId="0" fontId="55" fillId="2" borderId="15" xfId="0" applyNumberFormat="1" applyFont="1" applyFill="1" applyBorder="1" applyAlignment="1">
      <alignment horizontal="right"/>
    </xf>
    <xf numFmtId="10" fontId="58" fillId="2" borderId="15" xfId="0" applyNumberFormat="1" applyFont="1" applyFill="1" applyBorder="1" applyAlignment="1" applyProtection="1">
      <alignment horizontal="center"/>
      <protection locked="0"/>
    </xf>
    <xf numFmtId="10" fontId="55" fillId="2" borderId="15" xfId="0" applyNumberFormat="1" applyFont="1" applyFill="1" applyBorder="1" applyAlignment="1" applyProtection="1">
      <alignment horizontal="center"/>
      <protection locked="0"/>
    </xf>
    <xf numFmtId="0" fontId="62" fillId="2" borderId="15" xfId="0" applyNumberFormat="1" applyFont="1" applyFill="1" applyBorder="1" applyAlignment="1"/>
    <xf numFmtId="10" fontId="45" fillId="2" borderId="15" xfId="1" applyNumberFormat="1" applyFont="1" applyFill="1" applyBorder="1" applyAlignment="1">
      <alignment horizontal="left"/>
      <protection locked="0"/>
    </xf>
    <xf numFmtId="10" fontId="63" fillId="2" borderId="15" xfId="1" applyNumberFormat="1" applyFont="1" applyFill="1" applyBorder="1" applyAlignment="1">
      <alignment horizontal="left"/>
      <protection locked="0"/>
    </xf>
    <xf numFmtId="0" fontId="55" fillId="2" borderId="1" xfId="0" applyNumberFormat="1" applyFont="1" applyFill="1" applyBorder="1" applyAlignment="1">
      <alignment horizontal="right"/>
    </xf>
    <xf numFmtId="0" fontId="64" fillId="2" borderId="0" xfId="0" applyNumberFormat="1" applyFont="1" applyFill="1" applyBorder="1" applyAlignment="1"/>
    <xf numFmtId="0" fontId="55" fillId="2" borderId="0" xfId="0" applyNumberFormat="1" applyFont="1" applyFill="1" applyBorder="1" applyAlignment="1">
      <alignment horizontal="right"/>
    </xf>
    <xf numFmtId="10" fontId="45" fillId="2" borderId="0" xfId="1" applyNumberFormat="1" applyFont="1" applyFill="1" applyBorder="1" applyAlignment="1">
      <alignment horizontal="left"/>
      <protection locked="0"/>
    </xf>
    <xf numFmtId="10" fontId="55" fillId="2" borderId="0" xfId="0" applyNumberFormat="1" applyFont="1" applyFill="1" applyBorder="1" applyAlignment="1" applyProtection="1">
      <alignment horizontal="center"/>
      <protection locked="0"/>
    </xf>
    <xf numFmtId="0" fontId="61" fillId="2" borderId="18" xfId="0" applyNumberFormat="1" applyFont="1" applyFill="1" applyBorder="1" applyAlignment="1"/>
    <xf numFmtId="0" fontId="53" fillId="4" borderId="18" xfId="0" applyNumberFormat="1" applyFont="1" applyFill="1" applyBorder="1" applyAlignment="1"/>
    <xf numFmtId="166" fontId="49" fillId="2" borderId="0" xfId="0" applyNumberFormat="1" applyFont="1" applyFill="1" applyBorder="1" applyAlignment="1"/>
    <xf numFmtId="10" fontId="49" fillId="2" borderId="0" xfId="0" applyNumberFormat="1" applyFont="1" applyFill="1" applyBorder="1" applyAlignment="1"/>
    <xf numFmtId="0" fontId="50" fillId="2" borderId="18" xfId="0" applyNumberFormat="1" applyFont="1" applyFill="1" applyBorder="1" applyAlignment="1"/>
    <xf numFmtId="166" fontId="49" fillId="2" borderId="15" xfId="0" applyNumberFormat="1" applyFont="1" applyFill="1" applyBorder="1" applyAlignment="1"/>
    <xf numFmtId="3" fontId="49" fillId="2" borderId="23" xfId="0" applyNumberFormat="1" applyFont="1" applyFill="1" applyBorder="1" applyAlignment="1"/>
    <xf numFmtId="10" fontId="49" fillId="2" borderId="24" xfId="0" applyNumberFormat="1" applyFont="1" applyFill="1" applyBorder="1" applyAlignment="1"/>
    <xf numFmtId="3" fontId="49" fillId="2" borderId="23" xfId="0" applyNumberFormat="1" applyFont="1" applyFill="1" applyBorder="1" applyAlignment="1" applyProtection="1">
      <alignment horizontal="right"/>
      <protection locked="0"/>
    </xf>
    <xf numFmtId="10" fontId="49" fillId="2" borderId="15" xfId="0" applyNumberFormat="1" applyFont="1" applyFill="1" applyBorder="1" applyAlignment="1"/>
    <xf numFmtId="3" fontId="49" fillId="2" borderId="21" xfId="0" applyNumberFormat="1" applyFont="1" applyFill="1" applyBorder="1" applyAlignment="1"/>
    <xf numFmtId="10" fontId="49" fillId="2" borderId="21" xfId="0" applyNumberFormat="1" applyFont="1" applyFill="1" applyBorder="1" applyAlignment="1"/>
    <xf numFmtId="3" fontId="49" fillId="2" borderId="25" xfId="0" applyNumberFormat="1" applyFont="1" applyFill="1" applyBorder="1" applyAlignment="1"/>
    <xf numFmtId="10" fontId="49" fillId="2" borderId="26" xfId="0" applyNumberFormat="1" applyFont="1" applyFill="1" applyBorder="1" applyAlignment="1"/>
    <xf numFmtId="3" fontId="49" fillId="2" borderId="25" xfId="0" applyNumberFormat="1" applyFont="1" applyFill="1" applyBorder="1" applyAlignment="1" applyProtection="1">
      <alignment horizontal="right"/>
      <protection locked="0"/>
    </xf>
    <xf numFmtId="9" fontId="49" fillId="2" borderId="15" xfId="0" applyNumberFormat="1" applyFont="1" applyFill="1" applyBorder="1" applyAlignment="1"/>
    <xf numFmtId="9" fontId="39" fillId="2" borderId="0" xfId="0" applyNumberFormat="1" applyFont="1" applyFill="1" applyBorder="1" applyAlignment="1"/>
    <xf numFmtId="10" fontId="39" fillId="2" borderId="0" xfId="0" applyNumberFormat="1" applyFont="1" applyFill="1" applyBorder="1" applyAlignment="1"/>
    <xf numFmtId="3" fontId="55" fillId="2" borderId="0" xfId="0" applyNumberFormat="1" applyFont="1" applyFill="1" applyBorder="1" applyAlignment="1" applyProtection="1">
      <alignment horizontal="right"/>
      <protection locked="0"/>
    </xf>
    <xf numFmtId="9" fontId="52" fillId="4" borderId="0" xfId="0" applyNumberFormat="1" applyFont="1" applyFill="1" applyBorder="1" applyAlignment="1"/>
    <xf numFmtId="9" fontId="49" fillId="2" borderId="0" xfId="0" applyNumberFormat="1" applyFont="1" applyFill="1" applyBorder="1" applyAlignment="1"/>
    <xf numFmtId="3" fontId="50" fillId="2" borderId="15" xfId="0" applyNumberFormat="1" applyFont="1" applyFill="1" applyBorder="1" applyAlignment="1"/>
    <xf numFmtId="3" fontId="50" fillId="2" borderId="15" xfId="0" applyNumberFormat="1" applyFont="1" applyFill="1" applyBorder="1" applyAlignment="1" applyProtection="1">
      <alignment horizontal="right"/>
      <protection locked="0"/>
    </xf>
    <xf numFmtId="9" fontId="50" fillId="2" borderId="15" xfId="0" applyNumberFormat="1" applyFont="1" applyFill="1" applyBorder="1" applyAlignment="1"/>
    <xf numFmtId="10" fontId="50" fillId="2" borderId="15" xfId="0" applyNumberFormat="1" applyFont="1" applyFill="1" applyBorder="1" applyAlignment="1"/>
    <xf numFmtId="10" fontId="50" fillId="2" borderId="15" xfId="0" applyNumberFormat="1" applyFont="1" applyFill="1" applyBorder="1" applyAlignment="1" applyProtection="1">
      <alignment horizontal="right"/>
      <protection locked="0"/>
    </xf>
    <xf numFmtId="9" fontId="49" fillId="2" borderId="0" xfId="0" applyNumberFormat="1" applyFont="1" applyFill="1" applyAlignment="1"/>
    <xf numFmtId="3" fontId="49" fillId="2" borderId="0" xfId="0" applyNumberFormat="1" applyFont="1" applyFill="1" applyAlignment="1" applyProtection="1">
      <alignment horizontal="right"/>
      <protection locked="0"/>
    </xf>
    <xf numFmtId="0" fontId="50" fillId="2" borderId="0" xfId="0" applyNumberFormat="1" applyFont="1" applyFill="1" applyAlignment="1">
      <alignment horizontal="center"/>
    </xf>
    <xf numFmtId="0" fontId="50" fillId="2" borderId="0" xfId="0" quotePrefix="1" applyNumberFormat="1" applyFont="1" applyFill="1" applyAlignment="1">
      <alignment horizontal="center"/>
    </xf>
    <xf numFmtId="0" fontId="56" fillId="2" borderId="0" xfId="0" applyNumberFormat="1" applyFont="1" applyFill="1" applyAlignment="1"/>
    <xf numFmtId="0" fontId="39" fillId="0" borderId="2" xfId="0" applyNumberFormat="1" applyFont="1" applyBorder="1"/>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D2926"/>
      <color rgb="FF89CB31"/>
      <color rgb="FF96969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3724" name="Picture 1" descr="C:\WINDOWS\TEMP\Symbol.gif">
          <a:extLst>
            <a:ext uri="{FF2B5EF4-FFF2-40B4-BE49-F238E27FC236}">
              <a16:creationId xmlns:a16="http://schemas.microsoft.com/office/drawing/2014/main" id="{00000000-0008-0000-0000-0000AC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132</xdr:row>
      <xdr:rowOff>161925</xdr:rowOff>
    </xdr:from>
    <xdr:to>
      <xdr:col>1</xdr:col>
      <xdr:colOff>28575</xdr:colOff>
      <xdr:row>133</xdr:row>
      <xdr:rowOff>200025</xdr:rowOff>
    </xdr:to>
    <xdr:pic>
      <xdr:nvPicPr>
        <xdr:cNvPr id="23725" name="Picture 2" descr="C:\WINDOWS\TEMP\Symbol.gif">
          <a:extLst>
            <a:ext uri="{FF2B5EF4-FFF2-40B4-BE49-F238E27FC236}">
              <a16:creationId xmlns:a16="http://schemas.microsoft.com/office/drawing/2014/main" id="{00000000-0008-0000-0000-0000AD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205</xdr:row>
      <xdr:rowOff>171450</xdr:rowOff>
    </xdr:from>
    <xdr:to>
      <xdr:col>1</xdr:col>
      <xdr:colOff>47625</xdr:colOff>
      <xdr:row>206</xdr:row>
      <xdr:rowOff>209550</xdr:rowOff>
    </xdr:to>
    <xdr:pic>
      <xdr:nvPicPr>
        <xdr:cNvPr id="23726" name="Picture 3" descr="C:\WINDOWS\TEMP\Symbol.gif">
          <a:extLst>
            <a:ext uri="{FF2B5EF4-FFF2-40B4-BE49-F238E27FC236}">
              <a16:creationId xmlns:a16="http://schemas.microsoft.com/office/drawing/2014/main" id="{00000000-0008-0000-0000-0000AE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307</xdr:row>
      <xdr:rowOff>161925</xdr:rowOff>
    </xdr:from>
    <xdr:to>
      <xdr:col>1</xdr:col>
      <xdr:colOff>19050</xdr:colOff>
      <xdr:row>308</xdr:row>
      <xdr:rowOff>200025</xdr:rowOff>
    </xdr:to>
    <xdr:pic>
      <xdr:nvPicPr>
        <xdr:cNvPr id="23727" name="Picture 4" descr="C:\WINDOWS\TEMP\Symbol.gif">
          <a:extLst>
            <a:ext uri="{FF2B5EF4-FFF2-40B4-BE49-F238E27FC236}">
              <a16:creationId xmlns:a16="http://schemas.microsoft.com/office/drawing/2014/main" id="{00000000-0008-0000-0000-0000AF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307</xdr:row>
      <xdr:rowOff>123825</xdr:rowOff>
    </xdr:from>
    <xdr:to>
      <xdr:col>18</xdr:col>
      <xdr:colOff>1895475</xdr:colOff>
      <xdr:row>308</xdr:row>
      <xdr:rowOff>152400</xdr:rowOff>
    </xdr:to>
    <xdr:pic>
      <xdr:nvPicPr>
        <xdr:cNvPr id="23728" name="Picture 5" descr="C:\WINDOWS\TEMP\~0003946.gif">
          <a:extLst>
            <a:ext uri="{FF2B5EF4-FFF2-40B4-BE49-F238E27FC236}">
              <a16:creationId xmlns:a16="http://schemas.microsoft.com/office/drawing/2014/main" id="{00000000-0008-0000-0000-0000B0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205</xdr:row>
      <xdr:rowOff>152400</xdr:rowOff>
    </xdr:from>
    <xdr:to>
      <xdr:col>18</xdr:col>
      <xdr:colOff>1924050</xdr:colOff>
      <xdr:row>206</xdr:row>
      <xdr:rowOff>180975</xdr:rowOff>
    </xdr:to>
    <xdr:pic>
      <xdr:nvPicPr>
        <xdr:cNvPr id="23729" name="Picture 6" descr="C:\WINDOWS\TEMP\~0003946.gif">
          <a:extLst>
            <a:ext uri="{FF2B5EF4-FFF2-40B4-BE49-F238E27FC236}">
              <a16:creationId xmlns:a16="http://schemas.microsoft.com/office/drawing/2014/main" id="{00000000-0008-0000-0000-0000B1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132</xdr:row>
      <xdr:rowOff>161925</xdr:rowOff>
    </xdr:from>
    <xdr:to>
      <xdr:col>18</xdr:col>
      <xdr:colOff>1952625</xdr:colOff>
      <xdr:row>133</xdr:row>
      <xdr:rowOff>190500</xdr:rowOff>
    </xdr:to>
    <xdr:pic>
      <xdr:nvPicPr>
        <xdr:cNvPr id="23730" name="Picture 7" descr="C:\WINDOWS\TEMP\~0003946.gif">
          <a:extLst>
            <a:ext uri="{FF2B5EF4-FFF2-40B4-BE49-F238E27FC236}">
              <a16:creationId xmlns:a16="http://schemas.microsoft.com/office/drawing/2014/main" id="{00000000-0008-0000-0000-0000B2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23731" name="Picture 8" descr="C:\WINDOWS\TEMP\~0003946.gif">
          <a:extLst>
            <a:ext uri="{FF2B5EF4-FFF2-40B4-BE49-F238E27FC236}">
              <a16:creationId xmlns:a16="http://schemas.microsoft.com/office/drawing/2014/main" id="{00000000-0008-0000-0000-0000B3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23732" name="Picture 9" descr="C:\WINDOWS\TEMP\~0003946.gif">
          <a:extLst>
            <a:ext uri="{FF2B5EF4-FFF2-40B4-BE49-F238E27FC236}">
              <a16:creationId xmlns:a16="http://schemas.microsoft.com/office/drawing/2014/main" id="{00000000-0008-0000-0000-0000B4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132</xdr:row>
      <xdr:rowOff>123825</xdr:rowOff>
    </xdr:from>
    <xdr:to>
      <xdr:col>18</xdr:col>
      <xdr:colOff>895350</xdr:colOff>
      <xdr:row>133</xdr:row>
      <xdr:rowOff>152400</xdr:rowOff>
    </xdr:to>
    <xdr:pic>
      <xdr:nvPicPr>
        <xdr:cNvPr id="23733" name="Picture 10" descr="C:\WINDOWS\TEMP\~0003946.gif">
          <a:extLst>
            <a:ext uri="{FF2B5EF4-FFF2-40B4-BE49-F238E27FC236}">
              <a16:creationId xmlns:a16="http://schemas.microsoft.com/office/drawing/2014/main" id="{00000000-0008-0000-0000-0000B5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205</xdr:row>
      <xdr:rowOff>104775</xdr:rowOff>
    </xdr:from>
    <xdr:to>
      <xdr:col>18</xdr:col>
      <xdr:colOff>809625</xdr:colOff>
      <xdr:row>206</xdr:row>
      <xdr:rowOff>133350</xdr:rowOff>
    </xdr:to>
    <xdr:pic>
      <xdr:nvPicPr>
        <xdr:cNvPr id="23734" name="Picture 11" descr="C:\WINDOWS\TEMP\~0003946.gif">
          <a:extLst>
            <a:ext uri="{FF2B5EF4-FFF2-40B4-BE49-F238E27FC236}">
              <a16:creationId xmlns:a16="http://schemas.microsoft.com/office/drawing/2014/main" id="{00000000-0008-0000-0000-0000B6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307</xdr:row>
      <xdr:rowOff>104775</xdr:rowOff>
    </xdr:from>
    <xdr:to>
      <xdr:col>18</xdr:col>
      <xdr:colOff>895350</xdr:colOff>
      <xdr:row>308</xdr:row>
      <xdr:rowOff>133350</xdr:rowOff>
    </xdr:to>
    <xdr:pic>
      <xdr:nvPicPr>
        <xdr:cNvPr id="23735" name="Picture 12" descr="C:\WINDOWS\TEMP\~0003946.gif">
          <a:extLst>
            <a:ext uri="{FF2B5EF4-FFF2-40B4-BE49-F238E27FC236}">
              <a16:creationId xmlns:a16="http://schemas.microsoft.com/office/drawing/2014/main" id="{00000000-0008-0000-0000-0000B7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C59BB693-BDEA-4FBE-805E-61D7C08568F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E4613AA7-E03A-4053-9355-C1B985A1884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1D0E86F2-7172-4AB8-A0BB-CF4B12CFFC5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E182C3C0-BEC9-4090-AE6B-5B3AECC3E22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F1F34F94-9CD4-4F29-B633-9BF0927A73D1}"/>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425C0419-787A-454A-A802-916A57EFF21E}"/>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4267DFC8-E5D8-4393-ADE6-20079374AAAD}"/>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43ED106C-43B8-4D09-81B7-3DDEF390E6BD}"/>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02CD6D8A-7E12-490F-8A3A-E5C21D8063EF}"/>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5122601A-19F8-4A36-A99E-9DFE8C643740}"/>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45C0BE40-CA3C-4F03-83B1-63EB897D3FBC}"/>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F768F6AB-CBE8-46A3-A134-FC0317131FFA}"/>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34A00EBE-8CFF-40BE-8F35-6706FD65BA1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A0B2E1B4-AB9D-44E2-98CC-D1B56C108BE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F61B02AA-2E2F-4302-9B2A-5B6803B2695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CABE2227-DA35-43BD-88F5-EDE86E9E3B5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A2A4D1A5-90FC-4E62-AD43-2ACBC939F10A}"/>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316EF444-DB7F-4653-9F0D-09A783883C3A}"/>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6AF0F23B-434B-4E4C-83B0-3C933FA8B9D2}"/>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6B07E59F-A39E-4EA2-8733-12A9CD2DC645}"/>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581AA198-8200-4287-959C-1D9AA0B35DA8}"/>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DDD173CB-5526-4FB2-93E2-BE55AF594B13}"/>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8F31C39E-8E21-411D-9980-790E1D58C322}"/>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439AC3B3-DD0A-4BFF-8C3B-481272A5FB5A}"/>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6A5EF0E7-922C-47D9-9182-480F61EE750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534E9AE8-44C7-4249-8F57-0A3FC56FF40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29A1D4A1-7964-4795-8B48-2873AD26A94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045BF750-8A11-4D27-8E08-5BAA8FC1875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6ACE1004-862E-4970-832D-F2A1A44FB231}"/>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8C534971-C790-4731-AAC1-40073CA58DDC}"/>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175A89D5-D12C-4B1A-8A4E-7F53EB65A7F5}"/>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7501053F-5B26-4CCE-BD56-4791824F4AEA}"/>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BC6DAA31-42DE-4BA3-9E8D-462C3BDC6BF1}"/>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A12A2074-C7EF-4EE0-9502-57AA2E13FF79}"/>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49B5EA93-08C8-4064-B703-B47A69E7CD9C}"/>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818A8B22-6FBF-40A5-8E65-A075EC333A2A}"/>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B0C0B756-9985-49B2-80F9-93AB07AA2CD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1F2E7CE3-A6D6-436C-84D1-72A0FFD7652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9698F485-28D4-4904-800B-B418CE52DBE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A53BB66F-5A08-4FDF-83D6-31E6EB266CB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42316BEB-F3B1-4E08-BE44-F12273A20BB9}"/>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1299D2A6-52E9-4F34-8CE8-72AD47944B2C}"/>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F200AB1D-2F76-43F9-BCDF-4EB113CAB690}"/>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255DF328-1FD2-4FF8-B28F-9FA5C6AEC7CB}"/>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885BE38D-B400-4AEC-B5F4-B790252242BF}"/>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B9B95724-EFEB-402B-A24D-7032B0158241}"/>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B453E9EF-525D-439F-BEFA-940F529EC5E7}"/>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E433989B-CA86-4469-8011-278A279C4015}"/>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A7B1CBA4-B3F8-490D-999A-A50B5301B7F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AACB4908-B6DB-4CEE-9032-5CD894BF16B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E3ABC51B-8EF2-40D2-9ECC-20C7F30DB83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94639B68-4CBF-496C-B6C6-A48F2C6CC77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B7E10890-C376-4D3F-BD28-7617737F7118}"/>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45F53C0B-DAF7-4735-96A2-DB0E3564F3C1}"/>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753A0ECB-7716-4033-B48C-CEA92F7EE49F}"/>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4A367F36-FA91-45CC-A334-EA9DA875FF64}"/>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26D516E7-BED8-447C-B5AC-E365AE18E9A7}"/>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7CF43DED-05E7-4EE9-85F8-651E6FE13B35}"/>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23919556-8C4F-4685-B895-5C7B942322ED}"/>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29244B67-718D-44C5-BD07-E9AC63569B20}"/>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96CB0EBD-8EFD-4FCB-9FA0-E22F92A9BF9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6DB9DEE2-80E4-43E0-878C-234A8AA37E1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D6AF7348-7EFA-4A4E-B67D-71FE70E55A6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771A0135-637B-4778-B8E3-DA1F724CEB4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FF1D69ED-5317-406C-860B-9FDE6D4010C6}"/>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82EF0879-4F5C-4E55-873F-3529F68E850B}"/>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A69E6C4A-9B6A-4E6E-811D-0F1A57221953}"/>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9088AF15-7C54-4470-87CD-4A3055737531}"/>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FD8DDCC8-CCB7-4758-9971-24150113ABFD}"/>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8BB8083E-F7AF-4B3C-9D6A-47F739D033A5}"/>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327F5357-A404-4E05-B795-E6FAA1C96324}"/>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850A977B-2E49-4BF4-BBCE-DE10D88BB86B}"/>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1BB1E685-DE74-43EE-B780-5278CDD76AE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AF764358-F789-4A31-A24A-6CB9226EDF5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7566C2BE-1DF8-4DC0-8B51-B632050F755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F38528E9-9EFE-4279-9009-C18B21D7997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FC74A482-2532-4A5E-8F56-22F72BF4995C}"/>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7" name="Picture 6">
          <a:extLst>
            <a:ext uri="{FF2B5EF4-FFF2-40B4-BE49-F238E27FC236}">
              <a16:creationId xmlns:a16="http://schemas.microsoft.com/office/drawing/2014/main" id="{9BF6DF78-1769-4567-9974-5C133B4F1CDD}"/>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8" name="Picture 7">
          <a:extLst>
            <a:ext uri="{FF2B5EF4-FFF2-40B4-BE49-F238E27FC236}">
              <a16:creationId xmlns:a16="http://schemas.microsoft.com/office/drawing/2014/main" id="{CEC4AE65-7CBD-4426-AD1B-1DB06C7A3152}"/>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9" name="Picture 8">
          <a:extLst>
            <a:ext uri="{FF2B5EF4-FFF2-40B4-BE49-F238E27FC236}">
              <a16:creationId xmlns:a16="http://schemas.microsoft.com/office/drawing/2014/main" id="{3B5E4342-0707-46E5-9C32-E6B6A9402A78}"/>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10" name="Picture 9">
          <a:extLst>
            <a:ext uri="{FF2B5EF4-FFF2-40B4-BE49-F238E27FC236}">
              <a16:creationId xmlns:a16="http://schemas.microsoft.com/office/drawing/2014/main" id="{8365ED40-5A79-4F6B-B346-695BD5524A62}"/>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11" name="Picture 10">
          <a:extLst>
            <a:ext uri="{FF2B5EF4-FFF2-40B4-BE49-F238E27FC236}">
              <a16:creationId xmlns:a16="http://schemas.microsoft.com/office/drawing/2014/main" id="{EDD09A3F-6B31-4C51-A13B-8898C54A9974}"/>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12" name="Picture 11">
          <a:extLst>
            <a:ext uri="{FF2B5EF4-FFF2-40B4-BE49-F238E27FC236}">
              <a16:creationId xmlns:a16="http://schemas.microsoft.com/office/drawing/2014/main" id="{9D3BB074-83CF-404C-8BF7-5B2A96B68B58}"/>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16306870-EFBE-4BC5-987F-30B9318412C1}"/>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1095375</xdr:colOff>
      <xdr:row>309</xdr:row>
      <xdr:rowOff>123825</xdr:rowOff>
    </xdr:from>
    <xdr:to>
      <xdr:col>18</xdr:col>
      <xdr:colOff>1895475</xdr:colOff>
      <xdr:row>310</xdr:row>
      <xdr:rowOff>152400</xdr:rowOff>
    </xdr:to>
    <xdr:pic>
      <xdr:nvPicPr>
        <xdr:cNvPr id="2" name="Picture 1" descr="C:\WINDOWS\TEMP\~0003946.gif">
          <a:extLst>
            <a:ext uri="{FF2B5EF4-FFF2-40B4-BE49-F238E27FC236}">
              <a16:creationId xmlns:a16="http://schemas.microsoft.com/office/drawing/2014/main" id="{9CA29F6C-36D8-465E-B0E8-6645F8D32C6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208</xdr:row>
      <xdr:rowOff>152400</xdr:rowOff>
    </xdr:from>
    <xdr:to>
      <xdr:col>18</xdr:col>
      <xdr:colOff>1924050</xdr:colOff>
      <xdr:row>209</xdr:row>
      <xdr:rowOff>180975</xdr:rowOff>
    </xdr:to>
    <xdr:pic>
      <xdr:nvPicPr>
        <xdr:cNvPr id="3" name="Picture 2" descr="C:\WINDOWS\TEMP\~0003946.gif">
          <a:extLst>
            <a:ext uri="{FF2B5EF4-FFF2-40B4-BE49-F238E27FC236}">
              <a16:creationId xmlns:a16="http://schemas.microsoft.com/office/drawing/2014/main" id="{9679A3A8-FA0A-48AE-9F96-2061193DD54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134</xdr:row>
      <xdr:rowOff>161925</xdr:rowOff>
    </xdr:from>
    <xdr:to>
      <xdr:col>18</xdr:col>
      <xdr:colOff>1952625</xdr:colOff>
      <xdr:row>135</xdr:row>
      <xdr:rowOff>190500</xdr:rowOff>
    </xdr:to>
    <xdr:pic>
      <xdr:nvPicPr>
        <xdr:cNvPr id="4" name="Picture 3" descr="C:\WINDOWS\TEMP\~0003946.gif">
          <a:extLst>
            <a:ext uri="{FF2B5EF4-FFF2-40B4-BE49-F238E27FC236}">
              <a16:creationId xmlns:a16="http://schemas.microsoft.com/office/drawing/2014/main" id="{7354925D-4C20-4B29-9B4A-506E4C36786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65059A0D-D679-48D6-8102-D7F03121EC1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6" name="Picture 5">
          <a:extLst>
            <a:ext uri="{FF2B5EF4-FFF2-40B4-BE49-F238E27FC236}">
              <a16:creationId xmlns:a16="http://schemas.microsoft.com/office/drawing/2014/main" id="{4A6A1790-B0D9-4135-977C-C13493AF7905}"/>
            </a:ext>
          </a:extLst>
        </xdr:cNvPr>
        <xdr:cNvPicPr>
          <a:picLocks noChangeAspect="1"/>
        </xdr:cNvPicPr>
      </xdr:nvPicPr>
      <xdr:blipFill>
        <a:blip xmlns:r="http://schemas.openxmlformats.org/officeDocument/2006/relationships" r:embed="rId3"/>
        <a:stretch>
          <a:fillRect/>
        </a:stretch>
      </xdr:blipFill>
      <xdr:spPr>
        <a:xfrm>
          <a:off x="114300" y="11855450"/>
          <a:ext cx="170703" cy="228493"/>
        </a:xfrm>
        <a:prstGeom prst="rect">
          <a:avLst/>
        </a:prstGeom>
      </xdr:spPr>
    </xdr:pic>
    <xdr:clientData/>
  </xdr:twoCellAnchor>
  <xdr:twoCellAnchor editAs="oneCell">
    <xdr:from>
      <xdr:col>0</xdr:col>
      <xdr:colOff>127000</xdr:colOff>
      <xdr:row>134</xdr:row>
      <xdr:rowOff>152400</xdr:rowOff>
    </xdr:from>
    <xdr:to>
      <xdr:col>0</xdr:col>
      <xdr:colOff>297703</xdr:colOff>
      <xdr:row>135</xdr:row>
      <xdr:rowOff>180868</xdr:rowOff>
    </xdr:to>
    <xdr:pic>
      <xdr:nvPicPr>
        <xdr:cNvPr id="7" name="Picture 6">
          <a:extLst>
            <a:ext uri="{FF2B5EF4-FFF2-40B4-BE49-F238E27FC236}">
              <a16:creationId xmlns:a16="http://schemas.microsoft.com/office/drawing/2014/main" id="{2E3BAB91-5ECE-40C0-9E74-6D0CBEE7B94C}"/>
            </a:ext>
          </a:extLst>
        </xdr:cNvPr>
        <xdr:cNvPicPr>
          <a:picLocks noChangeAspect="1"/>
        </xdr:cNvPicPr>
      </xdr:nvPicPr>
      <xdr:blipFill>
        <a:blip xmlns:r="http://schemas.openxmlformats.org/officeDocument/2006/relationships" r:embed="rId3"/>
        <a:stretch>
          <a:fillRect/>
        </a:stretch>
      </xdr:blipFill>
      <xdr:spPr>
        <a:xfrm>
          <a:off x="127000" y="26717625"/>
          <a:ext cx="170703" cy="228493"/>
        </a:xfrm>
        <a:prstGeom prst="rect">
          <a:avLst/>
        </a:prstGeom>
      </xdr:spPr>
    </xdr:pic>
    <xdr:clientData/>
  </xdr:twoCellAnchor>
  <xdr:twoCellAnchor editAs="oneCell">
    <xdr:from>
      <xdr:col>0</xdr:col>
      <xdr:colOff>101600</xdr:colOff>
      <xdr:row>208</xdr:row>
      <xdr:rowOff>139700</xdr:rowOff>
    </xdr:from>
    <xdr:to>
      <xdr:col>0</xdr:col>
      <xdr:colOff>272303</xdr:colOff>
      <xdr:row>209</xdr:row>
      <xdr:rowOff>168168</xdr:rowOff>
    </xdr:to>
    <xdr:pic>
      <xdr:nvPicPr>
        <xdr:cNvPr id="8" name="Picture 7">
          <a:extLst>
            <a:ext uri="{FF2B5EF4-FFF2-40B4-BE49-F238E27FC236}">
              <a16:creationId xmlns:a16="http://schemas.microsoft.com/office/drawing/2014/main" id="{172F9977-7C52-43C9-ACC2-77E07C4CC136}"/>
            </a:ext>
          </a:extLst>
        </xdr:cNvPr>
        <xdr:cNvPicPr>
          <a:picLocks noChangeAspect="1"/>
        </xdr:cNvPicPr>
      </xdr:nvPicPr>
      <xdr:blipFill>
        <a:blip xmlns:r="http://schemas.openxmlformats.org/officeDocument/2006/relationships" r:embed="rId3"/>
        <a:stretch>
          <a:fillRect/>
        </a:stretch>
      </xdr:blipFill>
      <xdr:spPr>
        <a:xfrm>
          <a:off x="101600" y="41392475"/>
          <a:ext cx="170703" cy="228493"/>
        </a:xfrm>
        <a:prstGeom prst="rect">
          <a:avLst/>
        </a:prstGeom>
      </xdr:spPr>
    </xdr:pic>
    <xdr:clientData/>
  </xdr:twoCellAnchor>
  <xdr:twoCellAnchor editAs="oneCell">
    <xdr:from>
      <xdr:col>0</xdr:col>
      <xdr:colOff>114300</xdr:colOff>
      <xdr:row>309</xdr:row>
      <xdr:rowOff>114300</xdr:rowOff>
    </xdr:from>
    <xdr:to>
      <xdr:col>0</xdr:col>
      <xdr:colOff>285003</xdr:colOff>
      <xdr:row>310</xdr:row>
      <xdr:rowOff>142768</xdr:rowOff>
    </xdr:to>
    <xdr:pic>
      <xdr:nvPicPr>
        <xdr:cNvPr id="9" name="Picture 8">
          <a:extLst>
            <a:ext uri="{FF2B5EF4-FFF2-40B4-BE49-F238E27FC236}">
              <a16:creationId xmlns:a16="http://schemas.microsoft.com/office/drawing/2014/main" id="{C4B59398-0046-4371-B3B9-F54B7E7625CD}"/>
            </a:ext>
          </a:extLst>
        </xdr:cNvPr>
        <xdr:cNvPicPr>
          <a:picLocks noChangeAspect="1"/>
        </xdr:cNvPicPr>
      </xdr:nvPicPr>
      <xdr:blipFill>
        <a:blip xmlns:r="http://schemas.openxmlformats.org/officeDocument/2006/relationships" r:embed="rId3"/>
        <a:stretch>
          <a:fillRect/>
        </a:stretch>
      </xdr:blipFill>
      <xdr:spPr>
        <a:xfrm>
          <a:off x="114300" y="61693425"/>
          <a:ext cx="170703" cy="228493"/>
        </a:xfrm>
        <a:prstGeom prst="rect">
          <a:avLst/>
        </a:prstGeom>
      </xdr:spPr>
    </xdr:pic>
    <xdr:clientData/>
  </xdr:twoCellAnchor>
  <xdr:twoCellAnchor editAs="oneCell">
    <xdr:from>
      <xdr:col>18</xdr:col>
      <xdr:colOff>38100</xdr:colOff>
      <xdr:row>309</xdr:row>
      <xdr:rowOff>88900</xdr:rowOff>
    </xdr:from>
    <xdr:to>
      <xdr:col>18</xdr:col>
      <xdr:colOff>867228</xdr:colOff>
      <xdr:row>310</xdr:row>
      <xdr:rowOff>178333</xdr:rowOff>
    </xdr:to>
    <xdr:pic>
      <xdr:nvPicPr>
        <xdr:cNvPr id="10" name="Picture 9">
          <a:extLst>
            <a:ext uri="{FF2B5EF4-FFF2-40B4-BE49-F238E27FC236}">
              <a16:creationId xmlns:a16="http://schemas.microsoft.com/office/drawing/2014/main" id="{E0C24CC9-5760-482D-AC68-3398716340AF}"/>
            </a:ext>
          </a:extLst>
        </xdr:cNvPr>
        <xdr:cNvPicPr>
          <a:picLocks noChangeAspect="1"/>
        </xdr:cNvPicPr>
      </xdr:nvPicPr>
      <xdr:blipFill>
        <a:blip xmlns:r="http://schemas.openxmlformats.org/officeDocument/2006/relationships" r:embed="rId4"/>
        <a:stretch>
          <a:fillRect/>
        </a:stretch>
      </xdr:blipFill>
      <xdr:spPr>
        <a:xfrm>
          <a:off x="20059650" y="61668025"/>
          <a:ext cx="829128" cy="289458"/>
        </a:xfrm>
        <a:prstGeom prst="rect">
          <a:avLst/>
        </a:prstGeom>
      </xdr:spPr>
    </xdr:pic>
    <xdr:clientData/>
  </xdr:twoCellAnchor>
  <xdr:twoCellAnchor editAs="oneCell">
    <xdr:from>
      <xdr:col>18</xdr:col>
      <xdr:colOff>0</xdr:colOff>
      <xdr:row>208</xdr:row>
      <xdr:rowOff>0</xdr:rowOff>
    </xdr:from>
    <xdr:to>
      <xdr:col>18</xdr:col>
      <xdr:colOff>829128</xdr:colOff>
      <xdr:row>209</xdr:row>
      <xdr:rowOff>89433</xdr:rowOff>
    </xdr:to>
    <xdr:pic>
      <xdr:nvPicPr>
        <xdr:cNvPr id="11" name="Picture 10">
          <a:extLst>
            <a:ext uri="{FF2B5EF4-FFF2-40B4-BE49-F238E27FC236}">
              <a16:creationId xmlns:a16="http://schemas.microsoft.com/office/drawing/2014/main" id="{E7E87DF6-2FAD-4359-92D8-1A4FB4417389}"/>
            </a:ext>
          </a:extLst>
        </xdr:cNvPr>
        <xdr:cNvPicPr>
          <a:picLocks noChangeAspect="1"/>
        </xdr:cNvPicPr>
      </xdr:nvPicPr>
      <xdr:blipFill>
        <a:blip xmlns:r="http://schemas.openxmlformats.org/officeDocument/2006/relationships" r:embed="rId4"/>
        <a:stretch>
          <a:fillRect/>
        </a:stretch>
      </xdr:blipFill>
      <xdr:spPr>
        <a:xfrm>
          <a:off x="20021550" y="41252775"/>
          <a:ext cx="829128" cy="289458"/>
        </a:xfrm>
        <a:prstGeom prst="rect">
          <a:avLst/>
        </a:prstGeom>
      </xdr:spPr>
    </xdr:pic>
    <xdr:clientData/>
  </xdr:twoCellAnchor>
  <xdr:twoCellAnchor editAs="oneCell">
    <xdr:from>
      <xdr:col>18</xdr:col>
      <xdr:colOff>0</xdr:colOff>
      <xdr:row>134</xdr:row>
      <xdr:rowOff>0</xdr:rowOff>
    </xdr:from>
    <xdr:to>
      <xdr:col>18</xdr:col>
      <xdr:colOff>829128</xdr:colOff>
      <xdr:row>135</xdr:row>
      <xdr:rowOff>89433</xdr:rowOff>
    </xdr:to>
    <xdr:pic>
      <xdr:nvPicPr>
        <xdr:cNvPr id="12" name="Picture 11">
          <a:extLst>
            <a:ext uri="{FF2B5EF4-FFF2-40B4-BE49-F238E27FC236}">
              <a16:creationId xmlns:a16="http://schemas.microsoft.com/office/drawing/2014/main" id="{D4E264B4-0AF4-4569-9A9B-738395CF4312}"/>
            </a:ext>
          </a:extLst>
        </xdr:cNvPr>
        <xdr:cNvPicPr>
          <a:picLocks noChangeAspect="1"/>
        </xdr:cNvPicPr>
      </xdr:nvPicPr>
      <xdr:blipFill>
        <a:blip xmlns:r="http://schemas.openxmlformats.org/officeDocument/2006/relationships" r:embed="rId4"/>
        <a:stretch>
          <a:fillRect/>
        </a:stretch>
      </xdr:blipFill>
      <xdr:spPr>
        <a:xfrm>
          <a:off x="20021550" y="26565225"/>
          <a:ext cx="829128" cy="289458"/>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13" name="Picture 12">
          <a:extLst>
            <a:ext uri="{FF2B5EF4-FFF2-40B4-BE49-F238E27FC236}">
              <a16:creationId xmlns:a16="http://schemas.microsoft.com/office/drawing/2014/main" id="{94BDB971-C8B2-4F8B-996F-A3526EB9C731}"/>
            </a:ext>
          </a:extLst>
        </xdr:cNvPr>
        <xdr:cNvPicPr>
          <a:picLocks noChangeAspect="1"/>
        </xdr:cNvPicPr>
      </xdr:nvPicPr>
      <xdr:blipFill>
        <a:blip xmlns:r="http://schemas.openxmlformats.org/officeDocument/2006/relationships" r:embed="rId4"/>
        <a:stretch>
          <a:fillRect/>
        </a:stretch>
      </xdr:blipFill>
      <xdr:spPr>
        <a:xfrm>
          <a:off x="20135850" y="11791950"/>
          <a:ext cx="829128" cy="289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71176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8147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23316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22935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7957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711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70795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7480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22744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86410FAC-99FC-41A0-8C13-98CC07A1D88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6ED29C1B-A986-45C6-98B0-589E2A2D176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690520CB-8961-4125-8E30-CAE788F70C5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a16="http://schemas.microsoft.com/office/drawing/2014/main" id="{4F99F845-E3AB-4E6D-86F3-83DB7339F4D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a16="http://schemas.microsoft.com/office/drawing/2014/main" id="{83B698C0-CC93-4DEF-A9EF-14DA74047B2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5C177B0C-4D64-46B8-AC1B-F20FE5BCD8D6}"/>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6200E37E-A0A4-4CEF-BFF3-1FF87A921A93}"/>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2F70BC98-537D-46BF-8D64-B086F400502E}"/>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FF10FD60-4267-437F-BB36-891CFB7DD911}"/>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C5708948-90AD-4103-BAA8-E0C3B7C378D5}"/>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D159E1F1-28CC-4921-A374-BAFFDB1B8CED}"/>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a16="http://schemas.microsoft.com/office/drawing/2014/main" id="{7A4CB445-5BDA-40A9-BB8D-CE8F36C44B18}"/>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EA991C0C-549F-487A-A5BA-686D1009A86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D8ED61DD-1CC1-4487-A13A-45686E73FF4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F71B5051-0C04-4715-9C8B-B5E96410877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a16="http://schemas.microsoft.com/office/drawing/2014/main" id="{4BAF8F6A-7620-4F0B-B481-4503FD1AF50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a16="http://schemas.microsoft.com/office/drawing/2014/main" id="{2A17FB5F-4267-457C-B273-0AD65A87D54F}"/>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59FD41D6-C26F-4B7A-BA34-C8D8B7F972FB}"/>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DEB628CD-FABD-49BF-8A22-F3DB6467393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6AFB918B-4CDC-4E2D-B888-2800DD114381}"/>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633D5FDC-D41F-4EF9-A02C-D31FC87A7A5F}"/>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6C8B3ABC-CDF9-4CC5-A5A3-A26ABB4BD5A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92003386-4B6B-4BBB-9AD9-61BA3CBABF38}"/>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a16="http://schemas.microsoft.com/office/drawing/2014/main" id="{0B1AD37B-0CBB-4AB4-A7B8-13E548BE8225}"/>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a16="http://schemas.microsoft.com/office/drawing/2014/main" id="{3B04FB17-C050-4CFA-9204-7AAB212C001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C67CCBD6-70B7-45D5-AF6F-FEEB6A1EAC4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506C58A1-7B94-4D07-899C-38FF330D4E0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BDA42AE8-D6CD-4A41-B17A-AFE4E694383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58</xdr:row>
      <xdr:rowOff>139700</xdr:rowOff>
    </xdr:from>
    <xdr:to>
      <xdr:col>0</xdr:col>
      <xdr:colOff>285003</xdr:colOff>
      <xdr:row>59</xdr:row>
      <xdr:rowOff>168168</xdr:rowOff>
    </xdr:to>
    <xdr:pic>
      <xdr:nvPicPr>
        <xdr:cNvPr id="14" name="Picture 13">
          <a:extLst>
            <a:ext uri="{FF2B5EF4-FFF2-40B4-BE49-F238E27FC236}">
              <a16:creationId xmlns:a16="http://schemas.microsoft.com/office/drawing/2014/main" id="{2FB9E9D0-5833-4501-8E02-B8224D57E998}"/>
            </a:ext>
          </a:extLst>
        </xdr:cNvPr>
        <xdr:cNvPicPr>
          <a:picLocks noChangeAspect="1"/>
        </xdr:cNvPicPr>
      </xdr:nvPicPr>
      <xdr:blipFill>
        <a:blip xmlns:r="http://schemas.openxmlformats.org/officeDocument/2006/relationships" r:embed="rId3"/>
        <a:stretch>
          <a:fillRect/>
        </a:stretch>
      </xdr:blipFill>
      <xdr:spPr>
        <a:xfrm>
          <a:off x="114300" y="12026900"/>
          <a:ext cx="170703" cy="231668"/>
        </a:xfrm>
        <a:prstGeom prst="rect">
          <a:avLst/>
        </a:prstGeom>
      </xdr:spPr>
    </xdr:pic>
    <xdr:clientData/>
  </xdr:twoCellAnchor>
  <xdr:twoCellAnchor editAs="oneCell">
    <xdr:from>
      <xdr:col>0</xdr:col>
      <xdr:colOff>127000</xdr:colOff>
      <xdr:row>130</xdr:row>
      <xdr:rowOff>152400</xdr:rowOff>
    </xdr:from>
    <xdr:to>
      <xdr:col>0</xdr:col>
      <xdr:colOff>297703</xdr:colOff>
      <xdr:row>131</xdr:row>
      <xdr:rowOff>180868</xdr:rowOff>
    </xdr:to>
    <xdr:pic>
      <xdr:nvPicPr>
        <xdr:cNvPr id="16" name="Picture 15">
          <a:extLst>
            <a:ext uri="{FF2B5EF4-FFF2-40B4-BE49-F238E27FC236}">
              <a16:creationId xmlns:a16="http://schemas.microsoft.com/office/drawing/2014/main" id="{51749225-2DAA-4A40-A9CE-0BF5FA174623}"/>
            </a:ext>
          </a:extLst>
        </xdr:cNvPr>
        <xdr:cNvPicPr>
          <a:picLocks noChangeAspect="1"/>
        </xdr:cNvPicPr>
      </xdr:nvPicPr>
      <xdr:blipFill>
        <a:blip xmlns:r="http://schemas.openxmlformats.org/officeDocument/2006/relationships" r:embed="rId3"/>
        <a:stretch>
          <a:fillRect/>
        </a:stretch>
      </xdr:blipFill>
      <xdr:spPr>
        <a:xfrm>
          <a:off x="127000" y="27114500"/>
          <a:ext cx="170703" cy="231668"/>
        </a:xfrm>
        <a:prstGeom prst="rect">
          <a:avLst/>
        </a:prstGeom>
      </xdr:spPr>
    </xdr:pic>
    <xdr:clientData/>
  </xdr:twoCellAnchor>
  <xdr:twoCellAnchor editAs="oneCell">
    <xdr:from>
      <xdr:col>0</xdr:col>
      <xdr:colOff>101600</xdr:colOff>
      <xdr:row>203</xdr:row>
      <xdr:rowOff>139700</xdr:rowOff>
    </xdr:from>
    <xdr:to>
      <xdr:col>0</xdr:col>
      <xdr:colOff>272303</xdr:colOff>
      <xdr:row>204</xdr:row>
      <xdr:rowOff>168168</xdr:rowOff>
    </xdr:to>
    <xdr:pic>
      <xdr:nvPicPr>
        <xdr:cNvPr id="17" name="Picture 16">
          <a:extLst>
            <a:ext uri="{FF2B5EF4-FFF2-40B4-BE49-F238E27FC236}">
              <a16:creationId xmlns:a16="http://schemas.microsoft.com/office/drawing/2014/main" id="{CA4355DE-2FAD-40BB-8BF8-7C1F93462CD3}"/>
            </a:ext>
          </a:extLst>
        </xdr:cNvPr>
        <xdr:cNvPicPr>
          <a:picLocks noChangeAspect="1"/>
        </xdr:cNvPicPr>
      </xdr:nvPicPr>
      <xdr:blipFill>
        <a:blip xmlns:r="http://schemas.openxmlformats.org/officeDocument/2006/relationships" r:embed="rId3"/>
        <a:stretch>
          <a:fillRect/>
        </a:stretch>
      </xdr:blipFill>
      <xdr:spPr>
        <a:xfrm>
          <a:off x="101600" y="42037000"/>
          <a:ext cx="170703" cy="231668"/>
        </a:xfrm>
        <a:prstGeom prst="rect">
          <a:avLst/>
        </a:prstGeom>
      </xdr:spPr>
    </xdr:pic>
    <xdr:clientData/>
  </xdr:twoCellAnchor>
  <xdr:twoCellAnchor editAs="oneCell">
    <xdr:from>
      <xdr:col>0</xdr:col>
      <xdr:colOff>114300</xdr:colOff>
      <xdr:row>304</xdr:row>
      <xdr:rowOff>114300</xdr:rowOff>
    </xdr:from>
    <xdr:to>
      <xdr:col>0</xdr:col>
      <xdr:colOff>285003</xdr:colOff>
      <xdr:row>305</xdr:row>
      <xdr:rowOff>142768</xdr:rowOff>
    </xdr:to>
    <xdr:pic>
      <xdr:nvPicPr>
        <xdr:cNvPr id="19" name="Picture 18">
          <a:extLst>
            <a:ext uri="{FF2B5EF4-FFF2-40B4-BE49-F238E27FC236}">
              <a16:creationId xmlns:a16="http://schemas.microsoft.com/office/drawing/2014/main" id="{E65F5810-28D8-4084-BAB2-0F6C527CF762}"/>
            </a:ext>
          </a:extLst>
        </xdr:cNvPr>
        <xdr:cNvPicPr>
          <a:picLocks noChangeAspect="1"/>
        </xdr:cNvPicPr>
      </xdr:nvPicPr>
      <xdr:blipFill>
        <a:blip xmlns:r="http://schemas.openxmlformats.org/officeDocument/2006/relationships" r:embed="rId3"/>
        <a:stretch>
          <a:fillRect/>
        </a:stretch>
      </xdr:blipFill>
      <xdr:spPr>
        <a:xfrm>
          <a:off x="114300" y="62661800"/>
          <a:ext cx="170703" cy="231668"/>
        </a:xfrm>
        <a:prstGeom prst="rect">
          <a:avLst/>
        </a:prstGeom>
      </xdr:spPr>
    </xdr:pic>
    <xdr:clientData/>
  </xdr:twoCellAnchor>
  <xdr:twoCellAnchor editAs="oneCell">
    <xdr:from>
      <xdr:col>18</xdr:col>
      <xdr:colOff>38100</xdr:colOff>
      <xdr:row>304</xdr:row>
      <xdr:rowOff>88900</xdr:rowOff>
    </xdr:from>
    <xdr:to>
      <xdr:col>18</xdr:col>
      <xdr:colOff>867228</xdr:colOff>
      <xdr:row>305</xdr:row>
      <xdr:rowOff>178333</xdr:rowOff>
    </xdr:to>
    <xdr:pic>
      <xdr:nvPicPr>
        <xdr:cNvPr id="20" name="Picture 19">
          <a:extLst>
            <a:ext uri="{FF2B5EF4-FFF2-40B4-BE49-F238E27FC236}">
              <a16:creationId xmlns:a16="http://schemas.microsoft.com/office/drawing/2014/main" id="{8605A434-332C-4BA5-A2BA-7FBACF5801BD}"/>
            </a:ext>
          </a:extLst>
        </xdr:cNvPr>
        <xdr:cNvPicPr>
          <a:picLocks noChangeAspect="1"/>
        </xdr:cNvPicPr>
      </xdr:nvPicPr>
      <xdr:blipFill>
        <a:blip xmlns:r="http://schemas.openxmlformats.org/officeDocument/2006/relationships" r:embed="rId4"/>
        <a:stretch>
          <a:fillRect/>
        </a:stretch>
      </xdr:blipFill>
      <xdr:spPr>
        <a:xfrm>
          <a:off x="20116800" y="62636400"/>
          <a:ext cx="829128" cy="292633"/>
        </a:xfrm>
        <a:prstGeom prst="rect">
          <a:avLst/>
        </a:prstGeom>
      </xdr:spPr>
    </xdr:pic>
    <xdr:clientData/>
  </xdr:twoCellAnchor>
  <xdr:twoCellAnchor editAs="oneCell">
    <xdr:from>
      <xdr:col>18</xdr:col>
      <xdr:colOff>0</xdr:colOff>
      <xdr:row>203</xdr:row>
      <xdr:rowOff>0</xdr:rowOff>
    </xdr:from>
    <xdr:to>
      <xdr:col>18</xdr:col>
      <xdr:colOff>829128</xdr:colOff>
      <xdr:row>204</xdr:row>
      <xdr:rowOff>89433</xdr:rowOff>
    </xdr:to>
    <xdr:pic>
      <xdr:nvPicPr>
        <xdr:cNvPr id="21" name="Picture 20">
          <a:extLst>
            <a:ext uri="{FF2B5EF4-FFF2-40B4-BE49-F238E27FC236}">
              <a16:creationId xmlns:a16="http://schemas.microsoft.com/office/drawing/2014/main" id="{8DDC076F-677E-40B7-B747-B5E33D9378FB}"/>
            </a:ext>
          </a:extLst>
        </xdr:cNvPr>
        <xdr:cNvPicPr>
          <a:picLocks noChangeAspect="1"/>
        </xdr:cNvPicPr>
      </xdr:nvPicPr>
      <xdr:blipFill>
        <a:blip xmlns:r="http://schemas.openxmlformats.org/officeDocument/2006/relationships" r:embed="rId4"/>
        <a:stretch>
          <a:fillRect/>
        </a:stretch>
      </xdr:blipFill>
      <xdr:spPr>
        <a:xfrm>
          <a:off x="20078700" y="41897300"/>
          <a:ext cx="829128" cy="292633"/>
        </a:xfrm>
        <a:prstGeom prst="rect">
          <a:avLst/>
        </a:prstGeom>
      </xdr:spPr>
    </xdr:pic>
    <xdr:clientData/>
  </xdr:twoCellAnchor>
  <xdr:twoCellAnchor editAs="oneCell">
    <xdr:from>
      <xdr:col>18</xdr:col>
      <xdr:colOff>0</xdr:colOff>
      <xdr:row>130</xdr:row>
      <xdr:rowOff>0</xdr:rowOff>
    </xdr:from>
    <xdr:to>
      <xdr:col>18</xdr:col>
      <xdr:colOff>829128</xdr:colOff>
      <xdr:row>131</xdr:row>
      <xdr:rowOff>89433</xdr:rowOff>
    </xdr:to>
    <xdr:pic>
      <xdr:nvPicPr>
        <xdr:cNvPr id="22" name="Picture 21">
          <a:extLst>
            <a:ext uri="{FF2B5EF4-FFF2-40B4-BE49-F238E27FC236}">
              <a16:creationId xmlns:a16="http://schemas.microsoft.com/office/drawing/2014/main" id="{BF64FDAC-EDA8-4FFD-8378-55B6DA624F26}"/>
            </a:ext>
          </a:extLst>
        </xdr:cNvPr>
        <xdr:cNvPicPr>
          <a:picLocks noChangeAspect="1"/>
        </xdr:cNvPicPr>
      </xdr:nvPicPr>
      <xdr:blipFill>
        <a:blip xmlns:r="http://schemas.openxmlformats.org/officeDocument/2006/relationships" r:embed="rId4"/>
        <a:stretch>
          <a:fillRect/>
        </a:stretch>
      </xdr:blipFill>
      <xdr:spPr>
        <a:xfrm>
          <a:off x="20078700" y="26962100"/>
          <a:ext cx="829128" cy="292633"/>
        </a:xfrm>
        <a:prstGeom prst="rect">
          <a:avLst/>
        </a:prstGeom>
      </xdr:spPr>
    </xdr:pic>
    <xdr:clientData/>
  </xdr:twoCellAnchor>
  <xdr:twoCellAnchor editAs="oneCell">
    <xdr:from>
      <xdr:col>18</xdr:col>
      <xdr:colOff>114300</xdr:colOff>
      <xdr:row>58</xdr:row>
      <xdr:rowOff>76200</xdr:rowOff>
    </xdr:from>
    <xdr:to>
      <xdr:col>18</xdr:col>
      <xdr:colOff>943428</xdr:colOff>
      <xdr:row>59</xdr:row>
      <xdr:rowOff>165633</xdr:rowOff>
    </xdr:to>
    <xdr:pic>
      <xdr:nvPicPr>
        <xdr:cNvPr id="23" name="Picture 22">
          <a:extLst>
            <a:ext uri="{FF2B5EF4-FFF2-40B4-BE49-F238E27FC236}">
              <a16:creationId xmlns:a16="http://schemas.microsoft.com/office/drawing/2014/main" id="{69077E48-10EC-4E6C-A6A1-D73E94097CDA}"/>
            </a:ext>
          </a:extLst>
        </xdr:cNvPr>
        <xdr:cNvPicPr>
          <a:picLocks noChangeAspect="1"/>
        </xdr:cNvPicPr>
      </xdr:nvPicPr>
      <xdr:blipFill>
        <a:blip xmlns:r="http://schemas.openxmlformats.org/officeDocument/2006/relationships" r:embed="rId4"/>
        <a:stretch>
          <a:fillRect/>
        </a:stretch>
      </xdr:blipFill>
      <xdr:spPr>
        <a:xfrm>
          <a:off x="20193000" y="11963400"/>
          <a:ext cx="829128" cy="292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D2926"/>
  </sheetPr>
  <dimension ref="A1:IR310"/>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42298</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v>0</v>
      </c>
      <c r="E29" s="130"/>
      <c r="F29" s="201">
        <v>0</v>
      </c>
      <c r="G29" s="201"/>
      <c r="H29" s="201">
        <v>0</v>
      </c>
      <c r="I29" s="201"/>
      <c r="J29" s="201">
        <v>0</v>
      </c>
      <c r="K29" s="126"/>
      <c r="L29" s="201">
        <v>0</v>
      </c>
      <c r="M29" s="126"/>
      <c r="N29" s="130"/>
      <c r="O29" s="126"/>
      <c r="P29" s="126"/>
      <c r="Q29" s="127"/>
      <c r="R29" s="126"/>
      <c r="S29" s="128"/>
      <c r="T29" s="2"/>
    </row>
    <row r="30" spans="1:23" ht="15.6" x14ac:dyDescent="0.3">
      <c r="A30" s="122"/>
      <c r="B30" s="121" t="s">
        <v>107</v>
      </c>
      <c r="C30" s="125"/>
      <c r="D30" s="236">
        <f>D28*D34</f>
        <v>104413.14449999999</v>
      </c>
      <c r="E30" s="202"/>
      <c r="F30" s="202">
        <f t="shared" ref="F30" si="0">F28*F34</f>
        <v>187545.89574000001</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v>0</v>
      </c>
      <c r="E32" s="201"/>
      <c r="F32" s="201">
        <v>0</v>
      </c>
      <c r="G32" s="201"/>
      <c r="H32" s="201">
        <v>0</v>
      </c>
      <c r="I32" s="201"/>
      <c r="J32" s="201">
        <v>0</v>
      </c>
      <c r="K32" s="201"/>
      <c r="L32" s="201">
        <v>0</v>
      </c>
      <c r="M32" s="126"/>
      <c r="N32" s="133"/>
      <c r="O32" s="126"/>
      <c r="P32" s="126"/>
      <c r="Q32" s="127"/>
      <c r="R32" s="126">
        <f>SUM(D32:L32)</f>
        <v>0</v>
      </c>
      <c r="S32" s="128"/>
      <c r="T32" s="2"/>
    </row>
    <row r="33" spans="1:20" ht="15.6" x14ac:dyDescent="0.3">
      <c r="A33" s="122"/>
      <c r="B33" s="124" t="s">
        <v>226</v>
      </c>
      <c r="C33" s="125"/>
      <c r="D33" s="237">
        <f>D31*D34</f>
        <v>72914.184831599996</v>
      </c>
      <c r="E33" s="237"/>
      <c r="F33" s="237">
        <f t="shared" ref="F33:L33" si="4">F31*F34</f>
        <v>187545.89574000001</v>
      </c>
      <c r="G33" s="237"/>
      <c r="H33" s="237">
        <f t="shared" si="4"/>
        <v>14800</v>
      </c>
      <c r="I33" s="237"/>
      <c r="J33" s="237">
        <f t="shared" si="4"/>
        <v>15800</v>
      </c>
      <c r="K33" s="237"/>
      <c r="L33" s="237">
        <f t="shared" si="4"/>
        <v>7505</v>
      </c>
      <c r="M33" s="131"/>
      <c r="N33" s="133"/>
      <c r="O33" s="126"/>
      <c r="P33" s="126"/>
      <c r="Q33" s="127"/>
      <c r="R33" s="203">
        <f>SUM(D33:L33)</f>
        <v>298565.0805716</v>
      </c>
      <c r="S33" s="128"/>
      <c r="T33" s="2"/>
    </row>
    <row r="34" spans="1:20" ht="15.6" x14ac:dyDescent="0.3">
      <c r="A34" s="112"/>
      <c r="B34" s="134" t="s">
        <v>103</v>
      </c>
      <c r="C34" s="135"/>
      <c r="D34" s="136">
        <v>0.99441089999999999</v>
      </c>
      <c r="E34" s="136"/>
      <c r="F34" s="136">
        <v>0.99441089999999999</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1</v>
      </c>
      <c r="E35" s="136"/>
      <c r="F35" s="136">
        <v>1</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6.7600000000000004E-3</v>
      </c>
      <c r="E37" s="143"/>
      <c r="F37" s="143">
        <v>1.67268E-2</v>
      </c>
      <c r="G37" s="143"/>
      <c r="H37" s="143">
        <v>2.2226800000000001E-2</v>
      </c>
      <c r="I37" s="143"/>
      <c r="J37" s="143">
        <v>2.7726799999999999E-2</v>
      </c>
      <c r="K37" s="143"/>
      <c r="L37" s="143">
        <v>3.1226799999999999E-2</v>
      </c>
      <c r="M37" s="142"/>
      <c r="N37" s="143"/>
      <c r="O37" s="123"/>
      <c r="P37" s="123"/>
      <c r="Q37" s="115"/>
      <c r="R37" s="142"/>
      <c r="S37" s="116"/>
      <c r="T37" s="2"/>
    </row>
    <row r="38" spans="1:20" ht="15.6" x14ac:dyDescent="0.3">
      <c r="A38" s="112"/>
      <c r="B38" s="113" t="s">
        <v>10</v>
      </c>
      <c r="C38" s="144"/>
      <c r="D38" s="143">
        <v>0</v>
      </c>
      <c r="E38" s="143"/>
      <c r="F38" s="143">
        <v>0</v>
      </c>
      <c r="G38" s="143"/>
      <c r="H38" s="143">
        <v>0</v>
      </c>
      <c r="I38" s="143"/>
      <c r="J38" s="143">
        <v>0</v>
      </c>
      <c r="K38" s="143"/>
      <c r="L38" s="143">
        <v>0</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1.8341799999999998E-2</v>
      </c>
      <c r="E40" s="143"/>
      <c r="F40" s="143">
        <f>+F37</f>
        <v>1.67268E-2</v>
      </c>
      <c r="G40" s="143"/>
      <c r="H40" s="143">
        <f>+H37</f>
        <v>2.2226800000000001E-2</v>
      </c>
      <c r="I40" s="143"/>
      <c r="J40" s="143">
        <f>+J37</f>
        <v>2.7726799999999999E-2</v>
      </c>
      <c r="K40" s="143"/>
      <c r="L40" s="143">
        <f>+L37</f>
        <v>3.1226799999999999E-2</v>
      </c>
      <c r="M40" s="142"/>
      <c r="N40" s="143"/>
      <c r="O40" s="123"/>
      <c r="P40" s="123"/>
      <c r="Q40" s="115"/>
      <c r="R40" s="142">
        <f>SUMPRODUCT(D40:L40,D31:L31)/R31</f>
        <v>1.8334780428558572E-2</v>
      </c>
      <c r="S40" s="116"/>
      <c r="T40" s="2"/>
    </row>
    <row r="41" spans="1:20" ht="15.6" x14ac:dyDescent="0.3">
      <c r="A41" s="112"/>
      <c r="B41" s="113" t="s">
        <v>232</v>
      </c>
      <c r="C41" s="144"/>
      <c r="D41" s="143">
        <v>0</v>
      </c>
      <c r="E41" s="143"/>
      <c r="F41" s="143">
        <v>0</v>
      </c>
      <c r="G41" s="143"/>
      <c r="H41" s="143">
        <v>0</v>
      </c>
      <c r="I41" s="143"/>
      <c r="J41" s="143">
        <v>0</v>
      </c>
      <c r="K41" s="143"/>
      <c r="L41" s="143">
        <v>0</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0.14629881061380154</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42292</v>
      </c>
      <c r="S52" s="116"/>
      <c r="T52" s="2"/>
    </row>
    <row r="53" spans="1:21" ht="15.6" x14ac:dyDescent="0.3">
      <c r="A53" s="112"/>
      <c r="B53" s="113" t="s">
        <v>99</v>
      </c>
      <c r="C53" s="113"/>
      <c r="D53" s="150"/>
      <c r="E53" s="150"/>
      <c r="F53" s="150"/>
      <c r="G53" s="150"/>
      <c r="H53" s="150"/>
      <c r="I53" s="150"/>
      <c r="J53" s="150"/>
      <c r="K53" s="150"/>
      <c r="L53" s="150"/>
      <c r="M53" s="150"/>
      <c r="N53" s="113"/>
      <c r="O53" s="150"/>
      <c r="P53" s="151"/>
      <c r="Q53" s="152"/>
      <c r="R53" s="151"/>
      <c r="S53" s="116"/>
      <c r="T53" s="2"/>
    </row>
    <row r="54" spans="1:21" ht="15.6" x14ac:dyDescent="0.3">
      <c r="A54" s="112"/>
      <c r="B54" s="113" t="s">
        <v>100</v>
      </c>
      <c r="C54" s="113"/>
      <c r="D54" s="113"/>
      <c r="E54" s="113"/>
      <c r="F54" s="113"/>
      <c r="G54" s="113"/>
      <c r="H54" s="113"/>
      <c r="I54" s="113"/>
      <c r="J54" s="113"/>
      <c r="K54" s="113"/>
      <c r="L54" s="113"/>
      <c r="M54" s="113"/>
      <c r="N54" s="113">
        <f>+R54-P54+1</f>
        <v>84</v>
      </c>
      <c r="O54" s="113"/>
      <c r="P54" s="151">
        <v>42208</v>
      </c>
      <c r="Q54" s="152"/>
      <c r="R54" s="151">
        <v>42291</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42278</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271</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281184</v>
      </c>
      <c r="I64" s="155"/>
      <c r="J64" s="156">
        <v>172</v>
      </c>
      <c r="K64" s="155"/>
      <c r="L64" s="155">
        <f>219+1495-172</f>
        <v>1542</v>
      </c>
      <c r="M64" s="155"/>
      <c r="N64" s="155">
        <f>256+17339</f>
        <v>17595</v>
      </c>
      <c r="O64" s="155"/>
      <c r="P64" s="155">
        <v>0</v>
      </c>
      <c r="Q64" s="155"/>
      <c r="R64" s="156">
        <f>F64-J64-L64+N64-P64</f>
        <v>297065</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281184</v>
      </c>
      <c r="I67" s="155"/>
      <c r="J67" s="155">
        <f>J64+J65</f>
        <v>172</v>
      </c>
      <c r="K67" s="155"/>
      <c r="L67" s="155">
        <f>SUM(L64:L66)</f>
        <v>1542</v>
      </c>
      <c r="M67" s="155"/>
      <c r="N67" s="155">
        <f>SUM(N64:N66)</f>
        <v>17595</v>
      </c>
      <c r="O67" s="155"/>
      <c r="P67" s="155">
        <f>SUM(P64:P66)</f>
        <v>0</v>
      </c>
      <c r="Q67" s="155"/>
      <c r="R67" s="155">
        <f>SUM(R64:R66)</f>
        <v>297065</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17345</v>
      </c>
      <c r="I77" s="155"/>
      <c r="J77" s="155">
        <v>-17339</v>
      </c>
      <c r="K77" s="155"/>
      <c r="L77" s="155">
        <v>6</v>
      </c>
      <c r="M77" s="155"/>
      <c r="N77" s="155"/>
      <c r="O77" s="155"/>
      <c r="P77" s="155"/>
      <c r="Q77" s="155"/>
      <c r="R77" s="155">
        <v>0</v>
      </c>
      <c r="S77" s="116"/>
      <c r="T77" s="2"/>
    </row>
    <row r="78" spans="1:20" ht="15.6" x14ac:dyDescent="0.3">
      <c r="A78" s="112"/>
      <c r="B78" s="113" t="s">
        <v>206</v>
      </c>
      <c r="C78" s="155"/>
      <c r="D78" s="155"/>
      <c r="E78" s="155"/>
      <c r="F78" s="155">
        <v>1500</v>
      </c>
      <c r="G78" s="155"/>
      <c r="H78" s="155">
        <v>1500</v>
      </c>
      <c r="I78" s="155"/>
      <c r="J78" s="155"/>
      <c r="K78" s="155"/>
      <c r="L78" s="155"/>
      <c r="M78" s="155"/>
      <c r="N78" s="155"/>
      <c r="O78" s="155"/>
      <c r="P78" s="155"/>
      <c r="Q78" s="155"/>
      <c r="R78" s="155">
        <f>+H78-N78</f>
        <v>1500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300029</v>
      </c>
      <c r="I80" s="155"/>
      <c r="J80" s="155"/>
      <c r="K80" s="155"/>
      <c r="L80" s="155"/>
      <c r="M80" s="155"/>
      <c r="N80" s="155"/>
      <c r="O80" s="155"/>
      <c r="P80" s="155"/>
      <c r="Q80" s="155"/>
      <c r="R80" s="155">
        <f>SUM(R67:R79)</f>
        <v>298565</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+P208</f>
        <v>42277</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171</v>
      </c>
      <c r="C85" s="135"/>
      <c r="D85" s="157"/>
      <c r="E85" s="157"/>
      <c r="F85" s="157"/>
      <c r="G85" s="158"/>
      <c r="H85" s="157"/>
      <c r="I85" s="135"/>
      <c r="J85" s="159"/>
      <c r="K85" s="135"/>
      <c r="L85" s="135"/>
      <c r="M85" s="135"/>
      <c r="N85" s="135"/>
      <c r="O85" s="135"/>
      <c r="P85" s="155">
        <f>+L77</f>
        <v>6</v>
      </c>
      <c r="Q85" s="113"/>
      <c r="R85" s="156"/>
      <c r="S85" s="139"/>
      <c r="T85" s="2"/>
    </row>
    <row r="86" spans="1:20" ht="15.6" x14ac:dyDescent="0.3">
      <c r="A86" s="122"/>
      <c r="B86" s="113" t="s">
        <v>207</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219</v>
      </c>
      <c r="C87" s="135"/>
      <c r="D87" s="157"/>
      <c r="E87" s="157"/>
      <c r="F87" s="157"/>
      <c r="G87" s="158"/>
      <c r="H87" s="157"/>
      <c r="I87" s="135"/>
      <c r="J87" s="159"/>
      <c r="K87" s="135"/>
      <c r="L87" s="135"/>
      <c r="M87" s="135"/>
      <c r="N87" s="135"/>
      <c r="O87" s="135"/>
      <c r="P87" s="155">
        <f>-N78</f>
        <v>0</v>
      </c>
      <c r="Q87" s="113"/>
      <c r="R87" s="156"/>
      <c r="S87" s="139"/>
      <c r="T87" s="2"/>
    </row>
    <row r="88" spans="1:20" ht="15.6" x14ac:dyDescent="0.3">
      <c r="A88" s="122"/>
      <c r="B88" s="113" t="s">
        <v>220</v>
      </c>
      <c r="C88" s="135"/>
      <c r="D88" s="157"/>
      <c r="E88" s="157"/>
      <c r="F88" s="157"/>
      <c r="G88" s="158"/>
      <c r="H88" s="157"/>
      <c r="I88" s="135"/>
      <c r="J88" s="159"/>
      <c r="K88" s="135"/>
      <c r="L88" s="135"/>
      <c r="M88" s="135"/>
      <c r="N88" s="135"/>
      <c r="O88" s="135"/>
      <c r="P88" s="155">
        <f>-P87</f>
        <v>0</v>
      </c>
      <c r="Q88" s="113"/>
      <c r="R88" s="156"/>
      <c r="S88" s="139"/>
      <c r="T88" s="2"/>
    </row>
    <row r="89" spans="1:20" ht="15.6" x14ac:dyDescent="0.3">
      <c r="A89" s="122"/>
      <c r="B89" s="113" t="s">
        <v>24</v>
      </c>
      <c r="C89" s="135"/>
      <c r="D89" s="157"/>
      <c r="E89" s="157"/>
      <c r="F89" s="157"/>
      <c r="G89" s="158"/>
      <c r="H89" s="157"/>
      <c r="I89" s="135"/>
      <c r="J89" s="159"/>
      <c r="K89" s="135"/>
      <c r="L89" s="135"/>
      <c r="M89" s="135"/>
      <c r="N89" s="135"/>
      <c r="O89" s="135"/>
      <c r="P89" s="155">
        <f>+J64+L64</f>
        <v>1714</v>
      </c>
      <c r="Q89" s="113"/>
      <c r="R89" s="156"/>
      <c r="S89" s="139"/>
      <c r="T89" s="2"/>
    </row>
    <row r="90" spans="1:20" ht="15.6" x14ac:dyDescent="0.3">
      <c r="A90" s="122"/>
      <c r="B90" s="113" t="s">
        <v>135</v>
      </c>
      <c r="C90" s="135"/>
      <c r="D90" s="157"/>
      <c r="E90" s="157"/>
      <c r="F90" s="157"/>
      <c r="G90" s="158"/>
      <c r="H90" s="157"/>
      <c r="I90" s="135"/>
      <c r="J90" s="159"/>
      <c r="K90" s="135"/>
      <c r="L90" s="135"/>
      <c r="M90" s="135"/>
      <c r="N90" s="135"/>
      <c r="O90" s="135"/>
      <c r="P90" s="155"/>
      <c r="Q90" s="113"/>
      <c r="R90" s="156">
        <f>2879-219</f>
        <v>2660</v>
      </c>
      <c r="S90" s="139"/>
      <c r="T90" s="2"/>
    </row>
    <row r="91" spans="1:20" ht="15.6" x14ac:dyDescent="0.3">
      <c r="A91" s="122"/>
      <c r="B91" s="113" t="s">
        <v>133</v>
      </c>
      <c r="C91" s="135"/>
      <c r="D91" s="157"/>
      <c r="E91" s="157"/>
      <c r="F91" s="157"/>
      <c r="G91" s="158"/>
      <c r="H91" s="157"/>
      <c r="I91" s="135"/>
      <c r="J91" s="159"/>
      <c r="K91" s="135"/>
      <c r="L91" s="135"/>
      <c r="M91" s="135"/>
      <c r="N91" s="135"/>
      <c r="O91" s="135"/>
      <c r="P91" s="155"/>
      <c r="Q91" s="113"/>
      <c r="R91" s="156">
        <v>28</v>
      </c>
      <c r="S91" s="139"/>
      <c r="T91" s="2"/>
    </row>
    <row r="92" spans="1:20" ht="15.6" x14ac:dyDescent="0.3">
      <c r="A92" s="122"/>
      <c r="B92" s="113" t="s">
        <v>134</v>
      </c>
      <c r="C92" s="135"/>
      <c r="D92" s="157"/>
      <c r="E92" s="157"/>
      <c r="F92" s="157"/>
      <c r="G92" s="158"/>
      <c r="H92" s="157"/>
      <c r="I92" s="135"/>
      <c r="J92" s="159"/>
      <c r="K92" s="135"/>
      <c r="L92" s="135"/>
      <c r="M92" s="135"/>
      <c r="N92" s="135"/>
      <c r="O92" s="135"/>
      <c r="P92" s="155"/>
      <c r="Q92" s="113"/>
      <c r="R92" s="156">
        <v>22</v>
      </c>
      <c r="S92" s="139"/>
      <c r="T92" s="2"/>
    </row>
    <row r="93" spans="1:20" ht="15.6" x14ac:dyDescent="0.3">
      <c r="A93" s="122"/>
      <c r="B93" s="113" t="s">
        <v>143</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145</v>
      </c>
      <c r="C94" s="135"/>
      <c r="D94" s="157"/>
      <c r="E94" s="157"/>
      <c r="F94" s="157"/>
      <c r="G94" s="158"/>
      <c r="H94" s="157"/>
      <c r="I94" s="135"/>
      <c r="J94" s="159"/>
      <c r="K94" s="135"/>
      <c r="L94" s="135"/>
      <c r="M94" s="135"/>
      <c r="N94" s="135"/>
      <c r="O94" s="135"/>
      <c r="P94" s="155"/>
      <c r="Q94" s="113"/>
      <c r="R94" s="156">
        <v>303</v>
      </c>
      <c r="S94" s="139"/>
      <c r="T94" s="2"/>
    </row>
    <row r="95" spans="1:20" ht="15.6" x14ac:dyDescent="0.3">
      <c r="A95" s="122"/>
      <c r="B95" s="113" t="s">
        <v>164</v>
      </c>
      <c r="C95" s="135"/>
      <c r="D95" s="157"/>
      <c r="E95" s="157"/>
      <c r="F95" s="157"/>
      <c r="G95" s="158"/>
      <c r="H95" s="157"/>
      <c r="I95" s="135"/>
      <c r="J95" s="159"/>
      <c r="K95" s="135"/>
      <c r="L95" s="135"/>
      <c r="M95" s="135"/>
      <c r="N95" s="135"/>
      <c r="O95" s="135"/>
      <c r="P95" s="155"/>
      <c r="Q95" s="113"/>
      <c r="R95" s="156">
        <v>0</v>
      </c>
      <c r="S95" s="139"/>
      <c r="T95" s="2"/>
    </row>
    <row r="96" spans="1:20" ht="15.6" x14ac:dyDescent="0.3">
      <c r="A96" s="122"/>
      <c r="B96" s="113" t="s">
        <v>165</v>
      </c>
      <c r="C96" s="135"/>
      <c r="D96" s="157"/>
      <c r="E96" s="157"/>
      <c r="F96" s="157"/>
      <c r="G96" s="158"/>
      <c r="H96" s="157"/>
      <c r="I96" s="135"/>
      <c r="J96" s="159"/>
      <c r="K96" s="135"/>
      <c r="L96" s="135"/>
      <c r="M96" s="135"/>
      <c r="N96" s="135"/>
      <c r="O96" s="135"/>
      <c r="P96" s="155"/>
      <c r="Q96" s="113"/>
      <c r="R96" s="156">
        <v>0</v>
      </c>
      <c r="S96" s="139"/>
      <c r="T96" s="2"/>
    </row>
    <row r="97" spans="1:21" ht="15.6" x14ac:dyDescent="0.3">
      <c r="A97" s="122"/>
      <c r="B97" s="113" t="s">
        <v>166</v>
      </c>
      <c r="C97" s="135"/>
      <c r="D97" s="135"/>
      <c r="E97" s="135"/>
      <c r="F97" s="135"/>
      <c r="G97" s="135"/>
      <c r="H97" s="135"/>
      <c r="I97" s="135"/>
      <c r="J97" s="135"/>
      <c r="K97" s="135"/>
      <c r="L97" s="135"/>
      <c r="M97" s="135"/>
      <c r="N97" s="135"/>
      <c r="O97" s="135"/>
      <c r="P97" s="155"/>
      <c r="Q97" s="113"/>
      <c r="R97" s="156">
        <v>0</v>
      </c>
      <c r="S97" s="139"/>
      <c r="T97" s="2"/>
    </row>
    <row r="98" spans="1:21" ht="15.6" x14ac:dyDescent="0.3">
      <c r="A98" s="122"/>
      <c r="B98" s="113" t="s">
        <v>274</v>
      </c>
      <c r="C98" s="135"/>
      <c r="D98" s="135"/>
      <c r="E98" s="135"/>
      <c r="F98" s="135"/>
      <c r="G98" s="135"/>
      <c r="H98" s="135"/>
      <c r="I98" s="135"/>
      <c r="J98" s="135"/>
      <c r="K98" s="135"/>
      <c r="L98" s="135"/>
      <c r="M98" s="135"/>
      <c r="N98" s="135"/>
      <c r="O98" s="135"/>
      <c r="P98" s="155"/>
      <c r="Q98" s="113"/>
      <c r="R98" s="156">
        <v>299</v>
      </c>
      <c r="S98" s="139"/>
      <c r="T98" s="2"/>
    </row>
    <row r="99" spans="1:21" ht="15.6" x14ac:dyDescent="0.3">
      <c r="A99" s="122"/>
      <c r="B99" s="113" t="s">
        <v>25</v>
      </c>
      <c r="C99" s="135"/>
      <c r="D99" s="135"/>
      <c r="E99" s="135"/>
      <c r="F99" s="135"/>
      <c r="G99" s="135"/>
      <c r="H99" s="135"/>
      <c r="I99" s="135"/>
      <c r="J99" s="135"/>
      <c r="K99" s="135"/>
      <c r="L99" s="135"/>
      <c r="M99" s="135"/>
      <c r="N99" s="135"/>
      <c r="O99" s="135"/>
      <c r="P99" s="155">
        <f>SUM(P84:P98)</f>
        <v>1720</v>
      </c>
      <c r="Q99" s="113"/>
      <c r="R99" s="155">
        <f>SUM(R84:R98)</f>
        <v>3312</v>
      </c>
      <c r="S99" s="139"/>
      <c r="T99" s="2"/>
    </row>
    <row r="100" spans="1:21" ht="15.6" x14ac:dyDescent="0.3">
      <c r="A100" s="122"/>
      <c r="B100" s="113" t="s">
        <v>26</v>
      </c>
      <c r="C100" s="135"/>
      <c r="D100" s="135"/>
      <c r="E100" s="135"/>
      <c r="F100" s="135"/>
      <c r="G100" s="135"/>
      <c r="H100" s="135"/>
      <c r="I100" s="135"/>
      <c r="J100" s="135"/>
      <c r="K100" s="135"/>
      <c r="L100" s="135"/>
      <c r="M100" s="135"/>
      <c r="N100" s="135"/>
      <c r="O100" s="135"/>
      <c r="P100" s="155">
        <f>-R100</f>
        <v>0</v>
      </c>
      <c r="Q100" s="113"/>
      <c r="R100" s="156">
        <v>0</v>
      </c>
      <c r="S100" s="139"/>
      <c r="T100" s="2"/>
    </row>
    <row r="101" spans="1:21" ht="15.6" x14ac:dyDescent="0.3">
      <c r="A101" s="122"/>
      <c r="B101" s="113" t="s">
        <v>150</v>
      </c>
      <c r="C101" s="135"/>
      <c r="D101" s="135"/>
      <c r="E101" s="135"/>
      <c r="F101" s="135"/>
      <c r="G101" s="135"/>
      <c r="H101" s="135"/>
      <c r="I101" s="135"/>
      <c r="J101" s="135"/>
      <c r="K101" s="135"/>
      <c r="L101" s="135"/>
      <c r="M101" s="135"/>
      <c r="N101" s="135"/>
      <c r="O101" s="135"/>
      <c r="P101" s="155"/>
      <c r="Q101" s="113"/>
      <c r="R101" s="156">
        <v>0</v>
      </c>
      <c r="S101" s="139"/>
      <c r="T101" s="2"/>
    </row>
    <row r="102" spans="1:21" ht="15.6" x14ac:dyDescent="0.3">
      <c r="A102" s="122"/>
      <c r="B102" s="113" t="s">
        <v>27</v>
      </c>
      <c r="C102" s="135"/>
      <c r="D102" s="135"/>
      <c r="E102" s="135"/>
      <c r="F102" s="135"/>
      <c r="G102" s="135"/>
      <c r="H102" s="135"/>
      <c r="I102" s="135"/>
      <c r="J102" s="135"/>
      <c r="K102" s="135"/>
      <c r="L102" s="135"/>
      <c r="M102" s="135"/>
      <c r="N102" s="135"/>
      <c r="O102" s="135"/>
      <c r="P102" s="155">
        <f>P99+P100</f>
        <v>1720</v>
      </c>
      <c r="Q102" s="113"/>
      <c r="R102" s="155">
        <f>R99+R100+R101</f>
        <v>3312</v>
      </c>
      <c r="S102" s="139"/>
      <c r="T102" s="2"/>
    </row>
    <row r="103" spans="1:21" ht="15.6" x14ac:dyDescent="0.3">
      <c r="A103" s="112"/>
      <c r="B103" s="160" t="s">
        <v>28</v>
      </c>
      <c r="C103" s="135"/>
      <c r="D103" s="135"/>
      <c r="E103" s="135"/>
      <c r="F103" s="135"/>
      <c r="G103" s="135"/>
      <c r="H103" s="135"/>
      <c r="I103" s="135"/>
      <c r="J103" s="135"/>
      <c r="K103" s="135"/>
      <c r="L103" s="135"/>
      <c r="M103" s="135"/>
      <c r="N103" s="135"/>
      <c r="O103" s="135"/>
      <c r="P103" s="155"/>
      <c r="Q103" s="113"/>
      <c r="R103" s="156"/>
      <c r="S103" s="139"/>
      <c r="T103" s="2"/>
    </row>
    <row r="104" spans="1:21" ht="15.6" x14ac:dyDescent="0.3">
      <c r="A104" s="122">
        <v>1</v>
      </c>
      <c r="B104" s="113" t="s">
        <v>175</v>
      </c>
      <c r="C104" s="135"/>
      <c r="D104" s="135"/>
      <c r="E104" s="135"/>
      <c r="F104" s="135"/>
      <c r="G104" s="135"/>
      <c r="H104" s="135"/>
      <c r="I104" s="135"/>
      <c r="J104" s="135"/>
      <c r="K104" s="135"/>
      <c r="L104" s="135"/>
      <c r="M104" s="135"/>
      <c r="N104" s="135"/>
      <c r="O104" s="135"/>
      <c r="P104" s="155"/>
      <c r="Q104" s="113"/>
      <c r="R104" s="156">
        <v>-557</v>
      </c>
      <c r="S104" s="139"/>
      <c r="T104" s="2"/>
    </row>
    <row r="105" spans="1:21" ht="15.6" x14ac:dyDescent="0.3">
      <c r="A105" s="122">
        <v>2</v>
      </c>
      <c r="B105" s="113" t="s">
        <v>195</v>
      </c>
      <c r="C105" s="113"/>
      <c r="D105" s="135"/>
      <c r="E105" s="135"/>
      <c r="F105" s="135"/>
      <c r="G105" s="135"/>
      <c r="H105" s="135"/>
      <c r="I105" s="135"/>
      <c r="J105" s="135"/>
      <c r="K105" s="135"/>
      <c r="L105" s="135"/>
      <c r="M105" s="135"/>
      <c r="N105" s="135"/>
      <c r="O105" s="135"/>
      <c r="P105" s="113"/>
      <c r="Q105" s="113"/>
      <c r="R105" s="156">
        <f>-3</f>
        <v>-3</v>
      </c>
      <c r="S105" s="139"/>
      <c r="T105" s="2"/>
    </row>
    <row r="106" spans="1:21" ht="15.6" x14ac:dyDescent="0.3">
      <c r="A106" s="122">
        <v>3</v>
      </c>
      <c r="B106" s="113" t="s">
        <v>247</v>
      </c>
      <c r="C106" s="113"/>
      <c r="D106" s="135"/>
      <c r="E106" s="135"/>
      <c r="F106" s="135"/>
      <c r="G106" s="135"/>
      <c r="H106" s="135"/>
      <c r="I106" s="135"/>
      <c r="J106" s="135"/>
      <c r="K106" s="135"/>
      <c r="L106" s="135"/>
      <c r="M106" s="135"/>
      <c r="N106" s="135"/>
      <c r="O106" s="135"/>
      <c r="P106" s="113"/>
      <c r="Q106" s="113"/>
      <c r="R106" s="156">
        <f>-81-4</f>
        <v>-85</v>
      </c>
      <c r="S106" s="139"/>
      <c r="T106" s="2"/>
    </row>
    <row r="107" spans="1:21" ht="15.6" x14ac:dyDescent="0.3">
      <c r="A107" s="122">
        <v>4</v>
      </c>
      <c r="B107" s="113" t="s">
        <v>96</v>
      </c>
      <c r="C107" s="113"/>
      <c r="D107" s="135"/>
      <c r="E107" s="135"/>
      <c r="F107" s="135"/>
      <c r="G107" s="135"/>
      <c r="H107" s="135"/>
      <c r="I107" s="135"/>
      <c r="J107" s="135"/>
      <c r="K107" s="135"/>
      <c r="L107" s="135"/>
      <c r="M107" s="135"/>
      <c r="N107" s="135"/>
      <c r="O107" s="135"/>
      <c r="P107" s="113"/>
      <c r="Q107" s="113"/>
      <c r="R107" s="156">
        <v>-251</v>
      </c>
      <c r="S107" s="139"/>
      <c r="T107" s="2"/>
    </row>
    <row r="108" spans="1:21" ht="15.6" x14ac:dyDescent="0.3">
      <c r="A108" s="122" t="s">
        <v>255</v>
      </c>
      <c r="B108" s="113" t="s">
        <v>254</v>
      </c>
      <c r="C108" s="113"/>
      <c r="D108" s="135"/>
      <c r="E108" s="135"/>
      <c r="F108" s="135"/>
      <c r="G108" s="135"/>
      <c r="H108" s="135"/>
      <c r="I108" s="135"/>
      <c r="J108" s="135"/>
      <c r="K108" s="135"/>
      <c r="L108" s="135"/>
      <c r="M108" s="135"/>
      <c r="N108" s="135"/>
      <c r="O108" s="135"/>
      <c r="P108" s="113"/>
      <c r="Q108" s="113"/>
      <c r="R108" s="156">
        <v>-310</v>
      </c>
      <c r="S108" s="139"/>
      <c r="T108" s="2"/>
      <c r="U108" s="4"/>
    </row>
    <row r="109" spans="1:21" ht="15.6" x14ac:dyDescent="0.3">
      <c r="A109" s="122" t="s">
        <v>256</v>
      </c>
      <c r="B109" s="113" t="s">
        <v>248</v>
      </c>
      <c r="C109" s="113"/>
      <c r="D109" s="135"/>
      <c r="E109" s="135"/>
      <c r="F109" s="135"/>
      <c r="G109" s="135"/>
      <c r="H109" s="135"/>
      <c r="I109" s="135"/>
      <c r="J109" s="135"/>
      <c r="K109" s="135"/>
      <c r="L109" s="135"/>
      <c r="M109" s="135"/>
      <c r="N109" s="135"/>
      <c r="O109" s="135"/>
      <c r="P109" s="113"/>
      <c r="Q109" s="113"/>
      <c r="R109" s="156">
        <v>-726</v>
      </c>
      <c r="S109" s="139"/>
      <c r="T109" s="2"/>
      <c r="U109" s="4"/>
    </row>
    <row r="110" spans="1:21" ht="15.6" x14ac:dyDescent="0.3">
      <c r="A110" s="122">
        <v>6</v>
      </c>
      <c r="B110" s="113" t="s">
        <v>189</v>
      </c>
      <c r="C110" s="113"/>
      <c r="D110" s="135"/>
      <c r="E110" s="135"/>
      <c r="F110" s="135"/>
      <c r="G110" s="135"/>
      <c r="H110" s="135"/>
      <c r="I110" s="135"/>
      <c r="J110" s="135"/>
      <c r="K110" s="135"/>
      <c r="L110" s="135"/>
      <c r="M110" s="135"/>
      <c r="N110" s="135"/>
      <c r="O110" s="135"/>
      <c r="P110" s="113"/>
      <c r="Q110" s="113"/>
      <c r="R110" s="156">
        <v>-76</v>
      </c>
      <c r="S110" s="139"/>
      <c r="T110" s="2"/>
      <c r="U110" s="4"/>
    </row>
    <row r="111" spans="1:21" ht="15.6" x14ac:dyDescent="0.3">
      <c r="A111" s="122">
        <v>7</v>
      </c>
      <c r="B111" s="113" t="s">
        <v>190</v>
      </c>
      <c r="C111" s="113"/>
      <c r="D111" s="135"/>
      <c r="E111" s="135"/>
      <c r="F111" s="135"/>
      <c r="G111" s="135"/>
      <c r="H111" s="135"/>
      <c r="I111" s="135"/>
      <c r="J111" s="135"/>
      <c r="K111" s="135"/>
      <c r="L111" s="135"/>
      <c r="M111" s="135"/>
      <c r="N111" s="135"/>
      <c r="O111" s="135"/>
      <c r="P111" s="113"/>
      <c r="Q111" s="113"/>
      <c r="R111" s="156">
        <v>-101</v>
      </c>
      <c r="S111" s="139"/>
      <c r="T111" s="2"/>
      <c r="U111" s="4"/>
    </row>
    <row r="112" spans="1:21" ht="15.6" x14ac:dyDescent="0.3">
      <c r="A112" s="122">
        <v>8</v>
      </c>
      <c r="B112" s="113" t="s">
        <v>156</v>
      </c>
      <c r="C112" s="113"/>
      <c r="D112" s="135"/>
      <c r="E112" s="135"/>
      <c r="F112" s="135"/>
      <c r="G112" s="135"/>
      <c r="H112" s="135"/>
      <c r="I112" s="135"/>
      <c r="J112" s="135"/>
      <c r="K112" s="135"/>
      <c r="L112" s="135"/>
      <c r="M112" s="135"/>
      <c r="N112" s="135"/>
      <c r="O112" s="135"/>
      <c r="P112" s="113"/>
      <c r="Q112" s="113"/>
      <c r="R112" s="156">
        <v>-1</v>
      </c>
      <c r="S112" s="139"/>
      <c r="T112" s="2"/>
      <c r="U112" s="4"/>
    </row>
    <row r="113" spans="1:20" ht="15.6" x14ac:dyDescent="0.3">
      <c r="A113" s="122">
        <v>9</v>
      </c>
      <c r="B113" s="113" t="s">
        <v>37</v>
      </c>
      <c r="C113" s="113"/>
      <c r="D113" s="135"/>
      <c r="E113" s="135"/>
      <c r="F113" s="135"/>
      <c r="G113" s="135"/>
      <c r="H113" s="135"/>
      <c r="I113" s="135"/>
      <c r="J113" s="135"/>
      <c r="K113" s="135"/>
      <c r="L113" s="135"/>
      <c r="M113" s="135"/>
      <c r="N113" s="135"/>
      <c r="O113" s="135"/>
      <c r="P113" s="155">
        <f>-R113</f>
        <v>0</v>
      </c>
      <c r="Q113" s="113"/>
      <c r="R113" s="156">
        <v>0</v>
      </c>
      <c r="S113" s="139"/>
      <c r="T113" s="2"/>
    </row>
    <row r="114" spans="1:20" ht="15.6" x14ac:dyDescent="0.3">
      <c r="A114" s="122">
        <v>10</v>
      </c>
      <c r="B114" s="113" t="s">
        <v>101</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11</v>
      </c>
      <c r="B115" s="113" t="s">
        <v>29</v>
      </c>
      <c r="C115" s="113"/>
      <c r="D115" s="135"/>
      <c r="E115" s="135"/>
      <c r="F115" s="135"/>
      <c r="G115" s="135"/>
      <c r="H115" s="135"/>
      <c r="I115" s="135"/>
      <c r="J115" s="135"/>
      <c r="K115" s="135"/>
      <c r="L115" s="135"/>
      <c r="M115" s="135"/>
      <c r="N115" s="135"/>
      <c r="O115" s="135"/>
      <c r="P115" s="113"/>
      <c r="Q115" s="113"/>
      <c r="R115" s="156">
        <v>-25</v>
      </c>
      <c r="S115" s="139"/>
      <c r="T115" s="2"/>
    </row>
    <row r="116" spans="1:20" ht="15.6" x14ac:dyDescent="0.3">
      <c r="A116" s="122">
        <v>12</v>
      </c>
      <c r="B116" s="113" t="s">
        <v>138</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13</v>
      </c>
      <c r="B117" s="113" t="s">
        <v>249</v>
      </c>
      <c r="C117" s="113"/>
      <c r="D117" s="135"/>
      <c r="E117" s="135"/>
      <c r="F117" s="135"/>
      <c r="G117" s="135"/>
      <c r="H117" s="135"/>
      <c r="I117" s="135"/>
      <c r="J117" s="135"/>
      <c r="K117" s="135"/>
      <c r="L117" s="135"/>
      <c r="M117" s="135"/>
      <c r="N117" s="135"/>
      <c r="O117" s="135"/>
      <c r="P117" s="113"/>
      <c r="Q117" s="113"/>
      <c r="R117" s="156">
        <v>-54</v>
      </c>
      <c r="S117" s="139"/>
      <c r="T117" s="2"/>
    </row>
    <row r="118" spans="1:20" ht="15.6" x14ac:dyDescent="0.3">
      <c r="A118" s="122">
        <v>14</v>
      </c>
      <c r="B118" s="113" t="s">
        <v>157</v>
      </c>
      <c r="C118" s="113"/>
      <c r="D118" s="135"/>
      <c r="E118" s="135"/>
      <c r="F118" s="135"/>
      <c r="G118" s="135"/>
      <c r="H118" s="135"/>
      <c r="I118" s="135"/>
      <c r="J118" s="135"/>
      <c r="K118" s="135"/>
      <c r="L118" s="135"/>
      <c r="M118" s="135"/>
      <c r="N118" s="135"/>
      <c r="O118" s="135"/>
      <c r="P118" s="113"/>
      <c r="Q118" s="113"/>
      <c r="R118" s="156">
        <v>0</v>
      </c>
      <c r="S118" s="139"/>
      <c r="T118" s="2"/>
    </row>
    <row r="119" spans="1:20" ht="15.6" x14ac:dyDescent="0.3">
      <c r="A119" s="122">
        <v>15</v>
      </c>
      <c r="B119" s="113" t="s">
        <v>208</v>
      </c>
      <c r="C119" s="113"/>
      <c r="D119" s="135"/>
      <c r="E119" s="135"/>
      <c r="F119" s="135"/>
      <c r="G119" s="135"/>
      <c r="H119" s="135"/>
      <c r="I119" s="135"/>
      <c r="J119" s="135"/>
      <c r="K119" s="135"/>
      <c r="L119" s="135"/>
      <c r="M119" s="135"/>
      <c r="N119" s="135"/>
      <c r="O119" s="135"/>
      <c r="P119" s="113"/>
      <c r="Q119" s="113"/>
      <c r="R119" s="156">
        <v>-81</v>
      </c>
      <c r="S119" s="139"/>
      <c r="T119" s="2"/>
    </row>
    <row r="120" spans="1:20" ht="15.6" x14ac:dyDescent="0.3">
      <c r="A120" s="122">
        <v>16</v>
      </c>
      <c r="B120" s="113" t="s">
        <v>167</v>
      </c>
      <c r="C120" s="113"/>
      <c r="D120" s="135"/>
      <c r="E120" s="135"/>
      <c r="F120" s="135"/>
      <c r="G120" s="135"/>
      <c r="H120" s="135"/>
      <c r="I120" s="135"/>
      <c r="J120" s="135"/>
      <c r="K120" s="135"/>
      <c r="L120" s="135"/>
      <c r="M120" s="135"/>
      <c r="N120" s="135"/>
      <c r="O120" s="135"/>
      <c r="P120" s="113"/>
      <c r="Q120" s="113"/>
      <c r="R120" s="156">
        <f>-32-115</f>
        <v>-147</v>
      </c>
      <c r="S120" s="139"/>
      <c r="T120" s="2"/>
    </row>
    <row r="121" spans="1:20" ht="15.6" x14ac:dyDescent="0.3">
      <c r="A121" s="122">
        <v>17</v>
      </c>
      <c r="B121" s="113" t="s">
        <v>250</v>
      </c>
      <c r="C121" s="113"/>
      <c r="D121" s="135"/>
      <c r="E121" s="135"/>
      <c r="F121" s="135"/>
      <c r="G121" s="135"/>
      <c r="H121" s="135"/>
      <c r="I121" s="135"/>
      <c r="J121" s="135"/>
      <c r="K121" s="135"/>
      <c r="L121" s="135"/>
      <c r="M121" s="135"/>
      <c r="N121" s="135"/>
      <c r="O121" s="135"/>
      <c r="P121" s="113"/>
      <c r="Q121" s="113"/>
      <c r="R121" s="156">
        <f>-R102-SUM(R104:R120)</f>
        <v>-895</v>
      </c>
      <c r="S121" s="139"/>
      <c r="T121" s="2"/>
    </row>
    <row r="122" spans="1:20" ht="15.6" x14ac:dyDescent="0.3">
      <c r="A122" s="112"/>
      <c r="B122" s="160" t="s">
        <v>30</v>
      </c>
      <c r="C122" s="135"/>
      <c r="D122" s="135"/>
      <c r="E122" s="135"/>
      <c r="F122" s="135"/>
      <c r="G122" s="135"/>
      <c r="H122" s="135"/>
      <c r="I122" s="135"/>
      <c r="J122" s="135"/>
      <c r="K122" s="135"/>
      <c r="L122" s="135"/>
      <c r="M122" s="135"/>
      <c r="N122" s="135"/>
      <c r="O122" s="135"/>
      <c r="P122" s="113"/>
      <c r="Q122" s="113"/>
      <c r="R122" s="161"/>
      <c r="S122" s="139"/>
      <c r="T122" s="2"/>
    </row>
    <row r="123" spans="1:20" ht="15.6" x14ac:dyDescent="0.3">
      <c r="A123" s="112"/>
      <c r="B123" s="113" t="s">
        <v>209</v>
      </c>
      <c r="C123" s="135"/>
      <c r="D123" s="135"/>
      <c r="E123" s="135"/>
      <c r="F123" s="135"/>
      <c r="G123" s="135"/>
      <c r="H123" s="135"/>
      <c r="I123" s="135"/>
      <c r="J123" s="135"/>
      <c r="K123" s="135"/>
      <c r="L123" s="135"/>
      <c r="M123" s="135"/>
      <c r="N123" s="135"/>
      <c r="O123" s="135"/>
      <c r="P123" s="155">
        <f>-P190</f>
        <v>-256</v>
      </c>
      <c r="Q123" s="155"/>
      <c r="R123" s="156"/>
      <c r="S123" s="139"/>
      <c r="T123" s="2"/>
    </row>
    <row r="124" spans="1:20" ht="15.6" x14ac:dyDescent="0.3">
      <c r="A124" s="112"/>
      <c r="B124" s="113" t="s">
        <v>210</v>
      </c>
      <c r="C124" s="135"/>
      <c r="D124" s="135"/>
      <c r="E124" s="135"/>
      <c r="F124" s="135"/>
      <c r="G124" s="135"/>
      <c r="H124" s="135"/>
      <c r="I124" s="135"/>
      <c r="J124" s="135"/>
      <c r="K124" s="135"/>
      <c r="L124" s="135"/>
      <c r="M124" s="135"/>
      <c r="N124" s="135"/>
      <c r="O124" s="135"/>
      <c r="P124" s="155">
        <f>-O190</f>
        <v>0</v>
      </c>
      <c r="Q124" s="155"/>
      <c r="R124" s="156"/>
      <c r="S124" s="139"/>
      <c r="T124" s="2"/>
    </row>
    <row r="125" spans="1:20" ht="15.6" x14ac:dyDescent="0.3">
      <c r="A125" s="112"/>
      <c r="B125" s="113" t="s">
        <v>252</v>
      </c>
      <c r="C125" s="135"/>
      <c r="D125" s="135"/>
      <c r="E125" s="135"/>
      <c r="F125" s="135"/>
      <c r="G125" s="135"/>
      <c r="H125" s="135"/>
      <c r="I125" s="135"/>
      <c r="J125" s="135"/>
      <c r="K125" s="135"/>
      <c r="L125" s="135"/>
      <c r="M125" s="135"/>
      <c r="N125" s="135"/>
      <c r="O125" s="135"/>
      <c r="P125" s="155">
        <v>-410</v>
      </c>
      <c r="Q125" s="155"/>
      <c r="R125" s="156"/>
      <c r="S125" s="139"/>
      <c r="T125" s="2"/>
    </row>
    <row r="126" spans="1:20" ht="15.6" x14ac:dyDescent="0.3">
      <c r="A126" s="112"/>
      <c r="B126" s="113" t="s">
        <v>251</v>
      </c>
      <c r="C126" s="135"/>
      <c r="D126" s="135"/>
      <c r="E126" s="135"/>
      <c r="F126" s="135"/>
      <c r="G126" s="135"/>
      <c r="H126" s="135"/>
      <c r="I126" s="135"/>
      <c r="J126" s="135"/>
      <c r="K126" s="135"/>
      <c r="L126" s="135"/>
      <c r="M126" s="135"/>
      <c r="N126" s="135"/>
      <c r="O126" s="135"/>
      <c r="P126" s="155">
        <v>-1054</v>
      </c>
      <c r="Q126" s="155"/>
      <c r="R126" s="156"/>
      <c r="S126" s="139"/>
      <c r="T126" s="2"/>
    </row>
    <row r="127" spans="1:20" ht="15.6" x14ac:dyDescent="0.3">
      <c r="A127" s="112"/>
      <c r="B127" s="113" t="s">
        <v>181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182</v>
      </c>
      <c r="C128" s="135"/>
      <c r="D128" s="135"/>
      <c r="E128" s="135"/>
      <c r="F128" s="135"/>
      <c r="G128" s="135"/>
      <c r="H128" s="135"/>
      <c r="I128" s="135"/>
      <c r="J128" s="135"/>
      <c r="K128" s="135"/>
      <c r="L128" s="135"/>
      <c r="M128" s="135"/>
      <c r="N128" s="135"/>
      <c r="O128" s="135"/>
      <c r="P128" s="155">
        <v>0</v>
      </c>
      <c r="Q128" s="155"/>
      <c r="R128" s="156"/>
      <c r="S128" s="139"/>
      <c r="T128" s="2"/>
    </row>
    <row r="129" spans="1:20" ht="15.6" x14ac:dyDescent="0.3">
      <c r="A129" s="112"/>
      <c r="B129" s="113" t="s">
        <v>253</v>
      </c>
      <c r="C129" s="135"/>
      <c r="D129" s="135"/>
      <c r="E129" s="135"/>
      <c r="F129" s="135"/>
      <c r="G129" s="135"/>
      <c r="H129" s="135"/>
      <c r="I129" s="135"/>
      <c r="J129" s="135"/>
      <c r="K129" s="135"/>
      <c r="L129" s="135"/>
      <c r="M129" s="135"/>
      <c r="N129" s="135"/>
      <c r="O129" s="135"/>
      <c r="P129" s="155">
        <v>0</v>
      </c>
      <c r="Q129" s="155"/>
      <c r="R129" s="156"/>
      <c r="S129" s="139"/>
      <c r="T129" s="2"/>
    </row>
    <row r="130" spans="1:20" ht="15.6" x14ac:dyDescent="0.3">
      <c r="A130" s="112"/>
      <c r="B130" s="113" t="s">
        <v>31</v>
      </c>
      <c r="C130" s="135"/>
      <c r="D130" s="135"/>
      <c r="E130" s="135"/>
      <c r="F130" s="135"/>
      <c r="G130" s="135"/>
      <c r="H130" s="135"/>
      <c r="I130" s="135"/>
      <c r="J130" s="135"/>
      <c r="K130" s="135"/>
      <c r="L130" s="135"/>
      <c r="M130" s="135"/>
      <c r="N130" s="135"/>
      <c r="O130" s="135"/>
      <c r="P130" s="155">
        <f>SUM(P123:P129)</f>
        <v>-1720</v>
      </c>
      <c r="Q130" s="155"/>
      <c r="R130" s="155">
        <f>SUM(R103:R129)</f>
        <v>-3312</v>
      </c>
      <c r="S130" s="139"/>
      <c r="T130" s="2"/>
    </row>
    <row r="131" spans="1:20" ht="15.6" x14ac:dyDescent="0.3">
      <c r="A131" s="112"/>
      <c r="B131" s="113" t="s">
        <v>32</v>
      </c>
      <c r="C131" s="135"/>
      <c r="D131" s="135"/>
      <c r="E131" s="135"/>
      <c r="F131" s="135"/>
      <c r="G131" s="135"/>
      <c r="H131" s="135"/>
      <c r="I131" s="135"/>
      <c r="J131" s="135"/>
      <c r="K131" s="135"/>
      <c r="L131" s="135"/>
      <c r="M131" s="135"/>
      <c r="N131" s="135"/>
      <c r="O131" s="135"/>
      <c r="P131" s="155">
        <f>P102+P130+P113</f>
        <v>0</v>
      </c>
      <c r="Q131" s="155"/>
      <c r="R131" s="155">
        <f>R102+R130</f>
        <v>0</v>
      </c>
      <c r="S131" s="139"/>
      <c r="T131" s="2"/>
    </row>
    <row r="132" spans="1:20" ht="15.6" x14ac:dyDescent="0.3">
      <c r="A132" s="12"/>
      <c r="B132" s="43"/>
      <c r="C132" s="43"/>
      <c r="D132" s="43"/>
      <c r="E132" s="43"/>
      <c r="F132" s="43"/>
      <c r="G132" s="43"/>
      <c r="H132" s="43"/>
      <c r="I132" s="43"/>
      <c r="J132" s="43"/>
      <c r="K132" s="43"/>
      <c r="L132" s="43"/>
      <c r="M132" s="43"/>
      <c r="N132" s="43"/>
      <c r="O132" s="43"/>
      <c r="P132" s="153"/>
      <c r="Q132" s="153"/>
      <c r="R132" s="153"/>
      <c r="S132" s="217"/>
      <c r="T132" s="2"/>
    </row>
    <row r="133" spans="1:20" ht="15.6" x14ac:dyDescent="0.3">
      <c r="A133" s="12"/>
      <c r="B133" s="14"/>
      <c r="C133" s="14"/>
      <c r="D133" s="14"/>
      <c r="E133" s="14"/>
      <c r="F133" s="14"/>
      <c r="G133" s="14"/>
      <c r="H133" s="14"/>
      <c r="I133" s="14"/>
      <c r="J133" s="14"/>
      <c r="K133" s="14"/>
      <c r="L133" s="14"/>
      <c r="M133" s="14"/>
      <c r="N133" s="14"/>
      <c r="O133" s="14"/>
      <c r="P133" s="14"/>
      <c r="Q133" s="14"/>
      <c r="R133" s="33"/>
      <c r="S133" s="217"/>
      <c r="T133" s="2"/>
    </row>
    <row r="134" spans="1:20" ht="18" thickBot="1" x14ac:dyDescent="0.35">
      <c r="A134" s="28"/>
      <c r="B134" s="97" t="str">
        <f>B60</f>
        <v>PM23 INVESTOR REPORT QUARTER ENDING SEPTEMBER 2015</v>
      </c>
      <c r="C134" s="29"/>
      <c r="D134" s="29"/>
      <c r="E134" s="29"/>
      <c r="F134" s="29"/>
      <c r="G134" s="29"/>
      <c r="H134" s="29"/>
      <c r="I134" s="29"/>
      <c r="J134" s="29"/>
      <c r="K134" s="29"/>
      <c r="L134" s="29"/>
      <c r="M134" s="29"/>
      <c r="N134" s="29"/>
      <c r="O134" s="29"/>
      <c r="P134" s="29"/>
      <c r="Q134" s="29"/>
      <c r="R134" s="40"/>
      <c r="S134" s="31"/>
      <c r="T134" s="2"/>
    </row>
    <row r="135" spans="1:20" ht="15.6" x14ac:dyDescent="0.3">
      <c r="A135" s="65"/>
      <c r="B135" s="66" t="s">
        <v>33</v>
      </c>
      <c r="C135" s="67"/>
      <c r="D135" s="67"/>
      <c r="E135" s="67"/>
      <c r="F135" s="67"/>
      <c r="G135" s="67"/>
      <c r="H135" s="67"/>
      <c r="I135" s="67"/>
      <c r="J135" s="67"/>
      <c r="K135" s="67"/>
      <c r="L135" s="67"/>
      <c r="M135" s="67"/>
      <c r="N135" s="67"/>
      <c r="O135" s="67"/>
      <c r="P135" s="67"/>
      <c r="Q135" s="67"/>
      <c r="R135" s="68"/>
      <c r="S135" s="223"/>
      <c r="T135" s="2"/>
    </row>
    <row r="136" spans="1:20" ht="15.6" x14ac:dyDescent="0.3">
      <c r="A136" s="12"/>
      <c r="B136" s="22"/>
      <c r="C136" s="14"/>
      <c r="D136" s="14"/>
      <c r="E136" s="14"/>
      <c r="F136" s="14"/>
      <c r="G136" s="14"/>
      <c r="H136" s="14"/>
      <c r="I136" s="14"/>
      <c r="J136" s="14"/>
      <c r="K136" s="14"/>
      <c r="L136" s="14"/>
      <c r="M136" s="14"/>
      <c r="N136" s="14"/>
      <c r="O136" s="14"/>
      <c r="P136" s="14"/>
      <c r="Q136" s="14"/>
      <c r="R136" s="33"/>
      <c r="S136" s="217"/>
      <c r="T136" s="2"/>
    </row>
    <row r="137" spans="1:20" ht="15.6" x14ac:dyDescent="0.3">
      <c r="A137" s="12"/>
      <c r="B137" s="41" t="s">
        <v>34</v>
      </c>
      <c r="C137" s="14"/>
      <c r="D137" s="14"/>
      <c r="E137" s="14"/>
      <c r="F137" s="14"/>
      <c r="G137" s="14"/>
      <c r="H137" s="14"/>
      <c r="I137" s="14"/>
      <c r="J137" s="14"/>
      <c r="K137" s="14"/>
      <c r="L137" s="14"/>
      <c r="M137" s="14"/>
      <c r="N137" s="14"/>
      <c r="O137" s="14"/>
      <c r="P137" s="14"/>
      <c r="Q137" s="14"/>
      <c r="R137" s="33"/>
      <c r="S137" s="217"/>
      <c r="T137" s="2"/>
    </row>
    <row r="138" spans="1:20" ht="15.6" x14ac:dyDescent="0.3">
      <c r="A138" s="112"/>
      <c r="B138" s="113" t="s">
        <v>35</v>
      </c>
      <c r="C138" s="113"/>
      <c r="D138" s="113"/>
      <c r="E138" s="113"/>
      <c r="F138" s="113"/>
      <c r="G138" s="113"/>
      <c r="H138" s="113"/>
      <c r="I138" s="113"/>
      <c r="J138" s="113"/>
      <c r="K138" s="113"/>
      <c r="L138" s="113"/>
      <c r="M138" s="113"/>
      <c r="N138" s="113"/>
      <c r="O138" s="113"/>
      <c r="P138" s="113"/>
      <c r="Q138" s="113"/>
      <c r="R138" s="156">
        <v>7501</v>
      </c>
      <c r="S138" s="116"/>
      <c r="T138" s="2"/>
    </row>
    <row r="139" spans="1:20" ht="15.6" x14ac:dyDescent="0.3">
      <c r="A139" s="112"/>
      <c r="B139" s="113" t="s">
        <v>36</v>
      </c>
      <c r="C139" s="113"/>
      <c r="D139" s="113"/>
      <c r="E139" s="113"/>
      <c r="F139" s="113"/>
      <c r="G139" s="113"/>
      <c r="H139" s="113"/>
      <c r="I139" s="113"/>
      <c r="J139" s="113"/>
      <c r="K139" s="113"/>
      <c r="L139" s="113"/>
      <c r="M139" s="113"/>
      <c r="N139" s="113"/>
      <c r="O139" s="113"/>
      <c r="P139" s="113"/>
      <c r="Q139" s="113"/>
      <c r="R139" s="156">
        <v>0</v>
      </c>
      <c r="S139" s="116"/>
      <c r="T139" s="2"/>
    </row>
    <row r="140" spans="1:20" ht="15.6" x14ac:dyDescent="0.3">
      <c r="A140" s="112"/>
      <c r="B140" s="113" t="s">
        <v>169</v>
      </c>
      <c r="C140" s="113"/>
      <c r="D140" s="113"/>
      <c r="E140" s="113"/>
      <c r="F140" s="113"/>
      <c r="G140" s="113"/>
      <c r="H140" s="113"/>
      <c r="I140" s="113"/>
      <c r="J140" s="113"/>
      <c r="K140" s="113"/>
      <c r="L140" s="113"/>
      <c r="M140" s="113"/>
      <c r="N140" s="113"/>
      <c r="O140" s="113"/>
      <c r="P140" s="113"/>
      <c r="Q140" s="113"/>
      <c r="R140" s="156">
        <f>R138-R141</f>
        <v>224.49798570999974</v>
      </c>
      <c r="S140" s="116"/>
      <c r="T140" s="2"/>
    </row>
    <row r="141" spans="1:20" ht="15.6" x14ac:dyDescent="0.3">
      <c r="A141" s="112"/>
      <c r="B141" s="113" t="s">
        <v>211</v>
      </c>
      <c r="C141" s="113"/>
      <c r="D141" s="113"/>
      <c r="E141" s="113"/>
      <c r="F141" s="113"/>
      <c r="G141" s="113"/>
      <c r="H141" s="113"/>
      <c r="I141" s="113"/>
      <c r="J141" s="113"/>
      <c r="K141" s="113"/>
      <c r="L141" s="113"/>
      <c r="M141" s="113"/>
      <c r="N141" s="113"/>
      <c r="O141" s="113"/>
      <c r="P141" s="113"/>
      <c r="Q141" s="113"/>
      <c r="R141" s="156">
        <f>SUM(D33:J33)*0.025</f>
        <v>7276.5020142900003</v>
      </c>
      <c r="S141" s="116"/>
      <c r="T141" s="2"/>
    </row>
    <row r="142" spans="1:20" ht="15.6" x14ac:dyDescent="0.3">
      <c r="A142" s="112"/>
      <c r="B142" s="113" t="s">
        <v>108</v>
      </c>
      <c r="C142" s="113"/>
      <c r="D142" s="113"/>
      <c r="E142" s="113"/>
      <c r="F142" s="113"/>
      <c r="G142" s="113"/>
      <c r="H142" s="113"/>
      <c r="I142" s="113"/>
      <c r="J142" s="113"/>
      <c r="K142" s="113"/>
      <c r="L142" s="113"/>
      <c r="M142" s="113"/>
      <c r="N142" s="113"/>
      <c r="O142" s="113"/>
      <c r="P142" s="113"/>
      <c r="Q142" s="113"/>
      <c r="R142" s="156"/>
      <c r="S142" s="116"/>
      <c r="T142" s="2"/>
    </row>
    <row r="143" spans="1:20" ht="15.6" x14ac:dyDescent="0.3">
      <c r="A143" s="112"/>
      <c r="B143" s="113" t="s">
        <v>155</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189</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190</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37</v>
      </c>
      <c r="C146" s="113"/>
      <c r="D146" s="113"/>
      <c r="E146" s="113"/>
      <c r="F146" s="113"/>
      <c r="G146" s="113"/>
      <c r="H146" s="113"/>
      <c r="I146" s="113"/>
      <c r="J146" s="113"/>
      <c r="K146" s="113"/>
      <c r="L146" s="113"/>
      <c r="M146" s="113"/>
      <c r="N146" s="113"/>
      <c r="O146" s="113"/>
      <c r="P146" s="113"/>
      <c r="Q146" s="113"/>
      <c r="R146" s="156">
        <v>0</v>
      </c>
      <c r="S146" s="116"/>
      <c r="T146" s="2"/>
    </row>
    <row r="147" spans="1:21" ht="15.6" x14ac:dyDescent="0.3">
      <c r="A147" s="112"/>
      <c r="B147" s="113" t="s">
        <v>102</v>
      </c>
      <c r="C147" s="113"/>
      <c r="D147" s="113"/>
      <c r="E147" s="113"/>
      <c r="F147" s="113"/>
      <c r="G147" s="113"/>
      <c r="H147" s="113"/>
      <c r="I147" s="113"/>
      <c r="J147" s="113"/>
      <c r="K147" s="113"/>
      <c r="L147" s="113"/>
      <c r="M147" s="113"/>
      <c r="N147" s="113"/>
      <c r="O147" s="113"/>
      <c r="P147" s="113"/>
      <c r="Q147" s="113"/>
      <c r="R147" s="156">
        <v>0</v>
      </c>
      <c r="S147" s="116"/>
      <c r="T147" s="2"/>
    </row>
    <row r="148" spans="1:21" ht="15.6" x14ac:dyDescent="0.3">
      <c r="A148" s="112"/>
      <c r="B148" s="113" t="s">
        <v>275</v>
      </c>
      <c r="C148" s="113"/>
      <c r="D148" s="113"/>
      <c r="E148" s="113"/>
      <c r="F148" s="113"/>
      <c r="G148" s="113"/>
      <c r="H148" s="113"/>
      <c r="I148" s="113"/>
      <c r="J148" s="113"/>
      <c r="K148" s="113"/>
      <c r="L148" s="113"/>
      <c r="M148" s="113"/>
      <c r="N148" s="113"/>
      <c r="O148" s="113"/>
      <c r="P148" s="113"/>
      <c r="Q148" s="113"/>
      <c r="R148" s="156">
        <v>0</v>
      </c>
      <c r="S148" s="116"/>
      <c r="T148" s="2"/>
      <c r="U148" s="4"/>
    </row>
    <row r="149" spans="1:21" ht="15.6" x14ac:dyDescent="0.3">
      <c r="A149" s="112"/>
      <c r="B149" s="113" t="s">
        <v>38</v>
      </c>
      <c r="C149" s="113"/>
      <c r="D149" s="113"/>
      <c r="E149" s="113"/>
      <c r="F149" s="113"/>
      <c r="G149" s="113"/>
      <c r="H149" s="113"/>
      <c r="I149" s="113"/>
      <c r="J149" s="113"/>
      <c r="K149" s="113"/>
      <c r="L149" s="113"/>
      <c r="M149" s="113"/>
      <c r="N149" s="113"/>
      <c r="O149" s="113"/>
      <c r="P149" s="113"/>
      <c r="Q149" s="113"/>
      <c r="R149" s="156">
        <f>SUM(R139:R148)</f>
        <v>7501</v>
      </c>
      <c r="S149" s="116"/>
      <c r="T149" s="2"/>
    </row>
    <row r="150" spans="1:21" ht="15.6" x14ac:dyDescent="0.3">
      <c r="A150" s="12"/>
      <c r="B150" s="43"/>
      <c r="C150" s="43"/>
      <c r="D150" s="43"/>
      <c r="E150" s="43"/>
      <c r="F150" s="43"/>
      <c r="G150" s="43"/>
      <c r="H150" s="43"/>
      <c r="I150" s="43"/>
      <c r="J150" s="43"/>
      <c r="K150" s="43"/>
      <c r="L150" s="43"/>
      <c r="M150" s="43"/>
      <c r="N150" s="43"/>
      <c r="O150" s="43"/>
      <c r="P150" s="43"/>
      <c r="Q150" s="43"/>
      <c r="R150" s="162"/>
      <c r="S150" s="217"/>
      <c r="T150" s="2"/>
    </row>
    <row r="151" spans="1:21" ht="15.6" x14ac:dyDescent="0.3">
      <c r="A151" s="12"/>
      <c r="B151" s="41" t="s">
        <v>203</v>
      </c>
      <c r="C151" s="14"/>
      <c r="D151" s="14"/>
      <c r="E151" s="14"/>
      <c r="F151" s="14"/>
      <c r="G151" s="14"/>
      <c r="H151" s="14"/>
      <c r="I151" s="14"/>
      <c r="J151" s="14"/>
      <c r="K151" s="14"/>
      <c r="L151" s="14"/>
      <c r="M151" s="14"/>
      <c r="N151" s="14"/>
      <c r="O151" s="14"/>
      <c r="P151" s="14"/>
      <c r="Q151" s="14"/>
      <c r="R151" s="33"/>
      <c r="S151" s="217"/>
      <c r="T151" s="2"/>
    </row>
    <row r="152" spans="1:21" ht="15.6" x14ac:dyDescent="0.3">
      <c r="A152" s="112"/>
      <c r="B152" s="113" t="s">
        <v>168</v>
      </c>
      <c r="C152" s="113"/>
      <c r="D152" s="113"/>
      <c r="E152" s="113"/>
      <c r="F152" s="113"/>
      <c r="G152" s="113"/>
      <c r="H152" s="113"/>
      <c r="I152" s="113"/>
      <c r="J152" s="113"/>
      <c r="K152" s="113"/>
      <c r="L152" s="113"/>
      <c r="M152" s="113"/>
      <c r="N152" s="113"/>
      <c r="O152" s="113"/>
      <c r="P152" s="113"/>
      <c r="Q152" s="113"/>
      <c r="R152" s="156">
        <f>+F77</f>
        <v>17345</v>
      </c>
      <c r="S152" s="139"/>
      <c r="T152" s="2"/>
    </row>
    <row r="153" spans="1:21" ht="15.6" x14ac:dyDescent="0.3">
      <c r="A153" s="112"/>
      <c r="B153" s="113" t="s">
        <v>191</v>
      </c>
      <c r="C153" s="115"/>
      <c r="D153" s="115"/>
      <c r="E153" s="115"/>
      <c r="F153" s="115"/>
      <c r="G153" s="115"/>
      <c r="H153" s="115"/>
      <c r="I153" s="115"/>
      <c r="J153" s="115"/>
      <c r="K153" s="115"/>
      <c r="L153" s="115"/>
      <c r="M153" s="115"/>
      <c r="N153" s="115"/>
      <c r="O153" s="115"/>
      <c r="P153" s="115"/>
      <c r="Q153" s="115"/>
      <c r="R153" s="156">
        <f>+J77</f>
        <v>-17339</v>
      </c>
      <c r="S153" s="139"/>
      <c r="T153" s="2"/>
    </row>
    <row r="154" spans="1:21" ht="15.6" x14ac:dyDescent="0.3">
      <c r="A154" s="112"/>
      <c r="B154" s="113" t="s">
        <v>205</v>
      </c>
      <c r="C154" s="113"/>
      <c r="D154" s="113"/>
      <c r="E154" s="113"/>
      <c r="F154" s="113"/>
      <c r="G154" s="113"/>
      <c r="H154" s="113"/>
      <c r="I154" s="113"/>
      <c r="J154" s="113"/>
      <c r="K154" s="113"/>
      <c r="L154" s="113"/>
      <c r="M154" s="113"/>
      <c r="N154" s="113"/>
      <c r="O154" s="113"/>
      <c r="P154" s="113"/>
      <c r="Q154" s="113"/>
      <c r="R154" s="156">
        <f>R152+R153</f>
        <v>6</v>
      </c>
      <c r="S154" s="139"/>
      <c r="T154" s="2"/>
    </row>
    <row r="155" spans="1:21" ht="15.6" x14ac:dyDescent="0.3">
      <c r="A155" s="12"/>
      <c r="B155" s="163"/>
      <c r="C155" s="163"/>
      <c r="D155" s="163"/>
      <c r="E155" s="163"/>
      <c r="F155" s="163"/>
      <c r="G155" s="163"/>
      <c r="H155" s="163"/>
      <c r="I155" s="163"/>
      <c r="J155" s="163"/>
      <c r="K155" s="163"/>
      <c r="L155" s="163"/>
      <c r="M155" s="163"/>
      <c r="N155" s="163"/>
      <c r="O155" s="163"/>
      <c r="P155" s="163"/>
      <c r="Q155" s="163"/>
      <c r="R155" s="195"/>
      <c r="S155" s="217"/>
      <c r="T155" s="2"/>
    </row>
    <row r="156" spans="1:21" ht="15.6" x14ac:dyDescent="0.3">
      <c r="A156" s="12"/>
      <c r="B156" s="41" t="s">
        <v>212</v>
      </c>
      <c r="C156" s="163"/>
      <c r="D156" s="163"/>
      <c r="E156" s="163"/>
      <c r="F156" s="163"/>
      <c r="G156" s="163"/>
      <c r="H156" s="163"/>
      <c r="I156" s="163"/>
      <c r="J156" s="163"/>
      <c r="K156" s="163"/>
      <c r="L156" s="163"/>
      <c r="M156" s="163"/>
      <c r="N156" s="163"/>
      <c r="O156" s="163"/>
      <c r="P156" s="163"/>
      <c r="Q156" s="163"/>
      <c r="R156" s="195"/>
      <c r="S156" s="217"/>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1500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v>0</v>
      </c>
      <c r="S158" s="234"/>
      <c r="T158" s="2"/>
    </row>
    <row r="159" spans="1:21" ht="15.6" x14ac:dyDescent="0.3">
      <c r="A159" s="231"/>
      <c r="B159" s="232" t="s">
        <v>215</v>
      </c>
      <c r="C159" s="232"/>
      <c r="D159" s="232"/>
      <c r="E159" s="232"/>
      <c r="F159" s="232"/>
      <c r="G159" s="232"/>
      <c r="H159" s="232"/>
      <c r="I159" s="232"/>
      <c r="J159" s="232"/>
      <c r="K159" s="232"/>
      <c r="L159" s="232"/>
      <c r="M159" s="232"/>
      <c r="N159" s="232"/>
      <c r="O159" s="232"/>
      <c r="P159" s="232"/>
      <c r="Q159" s="232"/>
      <c r="R159" s="233">
        <v>0</v>
      </c>
      <c r="S159" s="234"/>
      <c r="T159" s="2"/>
    </row>
    <row r="160" spans="1:21" ht="15.6" x14ac:dyDescent="0.3">
      <c r="A160" s="231"/>
      <c r="B160" s="232" t="s">
        <v>216</v>
      </c>
      <c r="C160" s="232"/>
      <c r="D160" s="232"/>
      <c r="E160" s="232"/>
      <c r="F160" s="232"/>
      <c r="G160" s="232"/>
      <c r="H160" s="232"/>
      <c r="I160" s="232"/>
      <c r="J160" s="232"/>
      <c r="K160" s="232"/>
      <c r="L160" s="232"/>
      <c r="M160" s="232"/>
      <c r="N160" s="232"/>
      <c r="O160" s="232"/>
      <c r="P160" s="232"/>
      <c r="Q160" s="232"/>
      <c r="R160" s="233">
        <f>R157-R158-R159</f>
        <v>1500</v>
      </c>
      <c r="S160" s="234"/>
      <c r="T160" s="2"/>
    </row>
    <row r="161" spans="1:252" ht="15.6" x14ac:dyDescent="0.3">
      <c r="A161" s="12"/>
      <c r="B161" s="43"/>
      <c r="C161" s="43"/>
      <c r="D161" s="43"/>
      <c r="E161" s="43"/>
      <c r="F161" s="43"/>
      <c r="G161" s="43"/>
      <c r="H161" s="43"/>
      <c r="I161" s="43"/>
      <c r="J161" s="43"/>
      <c r="K161" s="43"/>
      <c r="L161" s="43"/>
      <c r="M161" s="43"/>
      <c r="N161" s="43"/>
      <c r="O161" s="43"/>
      <c r="P161" s="43"/>
      <c r="Q161" s="43"/>
      <c r="R161" s="162"/>
      <c r="S161" s="217"/>
      <c r="T161" s="2"/>
    </row>
    <row r="162" spans="1:252" ht="15.6" x14ac:dyDescent="0.3">
      <c r="A162" s="12"/>
      <c r="B162" s="41" t="s">
        <v>39</v>
      </c>
      <c r="C162" s="14"/>
      <c r="D162" s="14"/>
      <c r="E162" s="14"/>
      <c r="F162" s="14"/>
      <c r="G162" s="14"/>
      <c r="H162" s="14"/>
      <c r="I162" s="14"/>
      <c r="J162" s="14"/>
      <c r="K162" s="14"/>
      <c r="L162" s="14"/>
      <c r="M162" s="14"/>
      <c r="N162" s="14"/>
      <c r="O162" s="14"/>
      <c r="P162" s="14"/>
      <c r="Q162" s="14"/>
      <c r="R162" s="42"/>
      <c r="S162" s="217"/>
      <c r="T162" s="2"/>
    </row>
    <row r="163" spans="1:252" ht="15.6" x14ac:dyDescent="0.3">
      <c r="A163" s="112"/>
      <c r="B163" s="113" t="s">
        <v>40</v>
      </c>
      <c r="C163" s="113"/>
      <c r="D163" s="113"/>
      <c r="E163" s="113"/>
      <c r="F163" s="113"/>
      <c r="G163" s="113"/>
      <c r="H163" s="113"/>
      <c r="I163" s="113"/>
      <c r="J163" s="113"/>
      <c r="K163" s="113"/>
      <c r="L163" s="113"/>
      <c r="M163" s="113"/>
      <c r="N163" s="113"/>
      <c r="O163" s="113"/>
      <c r="P163" s="113"/>
      <c r="Q163" s="113"/>
      <c r="R163" s="156">
        <v>0</v>
      </c>
      <c r="S163" s="116"/>
      <c r="T163" s="2"/>
    </row>
    <row r="164" spans="1:252" ht="15.6" x14ac:dyDescent="0.3">
      <c r="A164" s="112"/>
      <c r="B164" s="113" t="s">
        <v>41</v>
      </c>
      <c r="C164" s="113"/>
      <c r="D164" s="113"/>
      <c r="E164" s="113"/>
      <c r="F164" s="113"/>
      <c r="G164" s="113"/>
      <c r="H164" s="113"/>
      <c r="I164" s="113"/>
      <c r="J164" s="113"/>
      <c r="K164" s="113"/>
      <c r="L164" s="113"/>
      <c r="M164" s="113"/>
      <c r="N164" s="113"/>
      <c r="O164" s="113"/>
      <c r="P164" s="113"/>
      <c r="Q164" s="113"/>
      <c r="R164" s="156">
        <v>0</v>
      </c>
      <c r="S164" s="116"/>
      <c r="T164" s="2"/>
    </row>
    <row r="165" spans="1:252" ht="15.6" x14ac:dyDescent="0.3">
      <c r="A165" s="112"/>
      <c r="B165" s="113" t="s">
        <v>42</v>
      </c>
      <c r="C165" s="113"/>
      <c r="D165" s="113"/>
      <c r="E165" s="113"/>
      <c r="F165" s="113"/>
      <c r="G165" s="113"/>
      <c r="H165" s="113"/>
      <c r="I165" s="113"/>
      <c r="J165" s="113"/>
      <c r="K165" s="113"/>
      <c r="L165" s="113"/>
      <c r="M165" s="113"/>
      <c r="N165" s="113"/>
      <c r="O165" s="113"/>
      <c r="P165" s="113"/>
      <c r="Q165" s="113"/>
      <c r="R165" s="156">
        <f>R164+R163</f>
        <v>0</v>
      </c>
      <c r="S165" s="116"/>
      <c r="T165" s="2"/>
    </row>
    <row r="166" spans="1:252" ht="15.6" x14ac:dyDescent="0.3">
      <c r="A166" s="112"/>
      <c r="B166" s="113" t="s">
        <v>174</v>
      </c>
      <c r="C166" s="113"/>
      <c r="D166" s="113"/>
      <c r="E166" s="113"/>
      <c r="F166" s="113"/>
      <c r="G166" s="113"/>
      <c r="H166" s="113"/>
      <c r="I166" s="113"/>
      <c r="J166" s="113"/>
      <c r="K166" s="113"/>
      <c r="L166" s="113"/>
      <c r="M166" s="113"/>
      <c r="N166" s="113"/>
      <c r="O166" s="113"/>
      <c r="P166" s="113"/>
      <c r="Q166" s="113"/>
      <c r="R166" s="156">
        <f>R113</f>
        <v>0</v>
      </c>
      <c r="S166" s="116"/>
      <c r="T166" s="2"/>
    </row>
    <row r="167" spans="1:252" ht="15.6" x14ac:dyDescent="0.3">
      <c r="A167" s="112"/>
      <c r="B167" s="113" t="s">
        <v>43</v>
      </c>
      <c r="C167" s="113"/>
      <c r="D167" s="113"/>
      <c r="E167" s="113"/>
      <c r="F167" s="113"/>
      <c r="G167" s="113"/>
      <c r="H167" s="113"/>
      <c r="I167" s="113"/>
      <c r="J167" s="113"/>
      <c r="K167" s="113"/>
      <c r="L167" s="113"/>
      <c r="M167" s="113"/>
      <c r="N167" s="113"/>
      <c r="O167" s="113"/>
      <c r="P167" s="113"/>
      <c r="Q167" s="113"/>
      <c r="R167" s="156">
        <f>R165+R166</f>
        <v>0</v>
      </c>
      <c r="S167" s="116"/>
      <c r="T167" s="2"/>
    </row>
    <row r="168" spans="1:252" ht="15.6" x14ac:dyDescent="0.3">
      <c r="A168" s="112"/>
      <c r="B168" s="113" t="s">
        <v>150</v>
      </c>
      <c r="C168" s="113"/>
      <c r="D168" s="113"/>
      <c r="E168" s="113"/>
      <c r="F168" s="113"/>
      <c r="G168" s="113"/>
      <c r="H168" s="113"/>
      <c r="I168" s="113"/>
      <c r="J168" s="113"/>
      <c r="K168" s="113"/>
      <c r="L168" s="113"/>
      <c r="M168" s="113"/>
      <c r="N168" s="113"/>
      <c r="O168" s="113"/>
      <c r="P168" s="113"/>
      <c r="Q168" s="113"/>
      <c r="R168" s="156">
        <f>-R101</f>
        <v>0</v>
      </c>
      <c r="S168" s="116"/>
      <c r="T168" s="2"/>
    </row>
    <row r="169" spans="1:252" ht="16.2" thickBot="1" x14ac:dyDescent="0.35">
      <c r="A169" s="12"/>
      <c r="B169" s="43"/>
      <c r="C169" s="43"/>
      <c r="D169" s="43"/>
      <c r="E169" s="43"/>
      <c r="F169" s="43"/>
      <c r="G169" s="43"/>
      <c r="H169" s="43"/>
      <c r="I169" s="43"/>
      <c r="J169" s="43"/>
      <c r="K169" s="43"/>
      <c r="L169" s="43"/>
      <c r="M169" s="43"/>
      <c r="N169" s="43"/>
      <c r="O169" s="43"/>
      <c r="P169" s="43"/>
      <c r="Q169" s="43"/>
      <c r="R169" s="162"/>
      <c r="S169" s="217"/>
      <c r="T169" s="2"/>
    </row>
    <row r="170" spans="1:252" ht="15.6" x14ac:dyDescent="0.3">
      <c r="A170" s="10"/>
      <c r="B170" s="11"/>
      <c r="C170" s="11"/>
      <c r="D170" s="11"/>
      <c r="E170" s="11"/>
      <c r="F170" s="11"/>
      <c r="G170" s="11"/>
      <c r="H170" s="11"/>
      <c r="I170" s="11"/>
      <c r="J170" s="11"/>
      <c r="K170" s="11"/>
      <c r="L170" s="11"/>
      <c r="M170" s="11"/>
      <c r="N170" s="11"/>
      <c r="O170" s="11"/>
      <c r="P170" s="11"/>
      <c r="Q170" s="11"/>
      <c r="R170" s="32"/>
      <c r="S170" s="216"/>
      <c r="T170" s="2"/>
    </row>
    <row r="171" spans="1:252" s="6" customFormat="1" ht="15.6" x14ac:dyDescent="0.3">
      <c r="A171" s="12"/>
      <c r="B171" s="41" t="s">
        <v>204</v>
      </c>
      <c r="C171" s="43"/>
      <c r="D171" s="43"/>
      <c r="E171" s="43"/>
      <c r="F171" s="43"/>
      <c r="G171" s="43"/>
      <c r="H171" s="43"/>
      <c r="I171" s="43"/>
      <c r="J171" s="43"/>
      <c r="K171" s="43"/>
      <c r="L171" s="43"/>
      <c r="M171" s="43"/>
      <c r="N171" s="43"/>
      <c r="O171" s="43"/>
      <c r="P171" s="43"/>
      <c r="Q171" s="43"/>
      <c r="R171" s="44"/>
      <c r="S171" s="217"/>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141</v>
      </c>
      <c r="C172" s="113"/>
      <c r="D172" s="113"/>
      <c r="E172" s="113"/>
      <c r="F172" s="113"/>
      <c r="G172" s="113"/>
      <c r="H172" s="113"/>
      <c r="I172" s="113"/>
      <c r="J172" s="113"/>
      <c r="K172" s="113"/>
      <c r="L172" s="113"/>
      <c r="M172" s="113"/>
      <c r="N172" s="113"/>
      <c r="O172" s="113"/>
      <c r="P172" s="113"/>
      <c r="Q172" s="113"/>
      <c r="R172" s="156">
        <f>994+62</f>
        <v>1056</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276</v>
      </c>
      <c r="C173" s="113"/>
      <c r="D173" s="113"/>
      <c r="E173" s="113"/>
      <c r="F173" s="113"/>
      <c r="G173" s="113"/>
      <c r="H173" s="113"/>
      <c r="I173" s="113"/>
      <c r="J173" s="113"/>
      <c r="K173" s="113"/>
      <c r="L173" s="113"/>
      <c r="M173" s="113"/>
      <c r="N173" s="113"/>
      <c r="O173" s="113"/>
      <c r="P173" s="113"/>
      <c r="Q173" s="113"/>
      <c r="R173" s="156">
        <v>5</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7" customFormat="1" ht="15.6" x14ac:dyDescent="0.3">
      <c r="A174" s="112"/>
      <c r="B174" s="113" t="s">
        <v>144</v>
      </c>
      <c r="C174" s="113"/>
      <c r="D174" s="113"/>
      <c r="E174" s="113"/>
      <c r="F174" s="113"/>
      <c r="G174" s="113"/>
      <c r="H174" s="113"/>
      <c r="I174" s="113"/>
      <c r="J174" s="113"/>
      <c r="K174" s="113"/>
      <c r="L174" s="113"/>
      <c r="M174" s="113"/>
      <c r="N174" s="113"/>
      <c r="O174" s="113"/>
      <c r="P174" s="113"/>
      <c r="Q174" s="113"/>
      <c r="R174" s="156">
        <f>+R94</f>
        <v>303</v>
      </c>
      <c r="S174" s="116"/>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7" customFormat="1" ht="15.6" x14ac:dyDescent="0.3">
      <c r="A175" s="112"/>
      <c r="B175" s="113" t="s">
        <v>142</v>
      </c>
      <c r="C175" s="113"/>
      <c r="D175" s="113"/>
      <c r="E175" s="113"/>
      <c r="F175" s="113"/>
      <c r="G175" s="113"/>
      <c r="H175" s="113"/>
      <c r="I175" s="113"/>
      <c r="J175" s="113"/>
      <c r="K175" s="113"/>
      <c r="L175" s="113"/>
      <c r="M175" s="113"/>
      <c r="N175" s="113"/>
      <c r="O175" s="113"/>
      <c r="P175" s="113"/>
      <c r="Q175" s="113"/>
      <c r="R175" s="156">
        <f>+R172+R173-R174</f>
        <v>758</v>
      </c>
      <c r="S175" s="1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s="8" customFormat="1" ht="16.2" thickBot="1" x14ac:dyDescent="0.35">
      <c r="A176" s="28"/>
      <c r="B176" s="43"/>
      <c r="C176" s="43"/>
      <c r="D176" s="43"/>
      <c r="E176" s="43"/>
      <c r="F176" s="43"/>
      <c r="G176" s="43"/>
      <c r="H176" s="43"/>
      <c r="I176" s="43"/>
      <c r="J176" s="43"/>
      <c r="K176" s="43"/>
      <c r="L176" s="43"/>
      <c r="M176" s="43"/>
      <c r="N176" s="43"/>
      <c r="O176" s="43"/>
      <c r="P176" s="43"/>
      <c r="Q176" s="43"/>
      <c r="R176" s="162"/>
      <c r="S176" s="217"/>
      <c r="T176" s="2"/>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1:252" s="9" customFormat="1" ht="15.6" x14ac:dyDescent="0.3">
      <c r="A177" s="10"/>
      <c r="B177" s="11"/>
      <c r="C177" s="11"/>
      <c r="D177" s="11"/>
      <c r="E177" s="11"/>
      <c r="F177" s="11"/>
      <c r="G177" s="11"/>
      <c r="H177" s="11"/>
      <c r="I177" s="11"/>
      <c r="J177" s="11"/>
      <c r="K177" s="11"/>
      <c r="L177" s="11"/>
      <c r="M177" s="11"/>
      <c r="N177" s="11"/>
      <c r="O177" s="11"/>
      <c r="P177" s="11"/>
      <c r="Q177" s="11"/>
      <c r="R177" s="32"/>
      <c r="S177" s="216"/>
      <c r="T177" s="2"/>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1:252" ht="15.6" x14ac:dyDescent="0.3">
      <c r="A178" s="12"/>
      <c r="B178" s="41" t="s">
        <v>44</v>
      </c>
      <c r="C178" s="14"/>
      <c r="D178" s="14"/>
      <c r="E178" s="14"/>
      <c r="F178" s="14"/>
      <c r="G178" s="14"/>
      <c r="H178" s="14"/>
      <c r="I178" s="14"/>
      <c r="J178" s="14"/>
      <c r="K178" s="14"/>
      <c r="L178" s="14"/>
      <c r="M178" s="14"/>
      <c r="N178" s="14"/>
      <c r="O178" s="14"/>
      <c r="P178" s="14"/>
      <c r="Q178" s="14"/>
      <c r="R178" s="33"/>
      <c r="S178" s="217"/>
      <c r="T178" s="2"/>
    </row>
    <row r="179" spans="1:252" ht="15.6" x14ac:dyDescent="0.3">
      <c r="A179" s="12"/>
      <c r="B179" s="22"/>
      <c r="C179" s="14"/>
      <c r="D179" s="14"/>
      <c r="E179" s="14"/>
      <c r="F179" s="14"/>
      <c r="G179" s="14"/>
      <c r="H179" s="14"/>
      <c r="I179" s="14"/>
      <c r="J179" s="14"/>
      <c r="K179" s="14"/>
      <c r="L179" s="14"/>
      <c r="M179" s="14"/>
      <c r="N179" s="14"/>
      <c r="O179" s="14"/>
      <c r="P179" s="14"/>
      <c r="Q179" s="14"/>
      <c r="R179" s="33"/>
      <c r="S179" s="217"/>
      <c r="T179" s="2"/>
    </row>
    <row r="180" spans="1:252" ht="15.6" x14ac:dyDescent="0.3">
      <c r="A180" s="112"/>
      <c r="B180" s="113" t="s">
        <v>172</v>
      </c>
      <c r="C180" s="113"/>
      <c r="D180" s="113"/>
      <c r="E180" s="113"/>
      <c r="F180" s="113"/>
      <c r="G180" s="113"/>
      <c r="H180" s="113"/>
      <c r="I180" s="113"/>
      <c r="J180" s="113"/>
      <c r="K180" s="113"/>
      <c r="L180" s="113"/>
      <c r="M180" s="113"/>
      <c r="N180" s="113"/>
      <c r="O180" s="113"/>
      <c r="P180" s="113"/>
      <c r="Q180" s="113"/>
      <c r="R180" s="156">
        <f>+R67</f>
        <v>297065</v>
      </c>
      <c r="S180" s="116"/>
      <c r="T180" s="2"/>
    </row>
    <row r="181" spans="1:252" ht="15.6" x14ac:dyDescent="0.3">
      <c r="A181" s="112"/>
      <c r="B181" s="113" t="s">
        <v>173</v>
      </c>
      <c r="C181" s="113"/>
      <c r="D181" s="113"/>
      <c r="E181" s="113"/>
      <c r="F181" s="113"/>
      <c r="G181" s="113"/>
      <c r="H181" s="113"/>
      <c r="I181" s="113"/>
      <c r="J181" s="113"/>
      <c r="K181" s="113"/>
      <c r="L181" s="113"/>
      <c r="M181" s="113"/>
      <c r="N181" s="113"/>
      <c r="O181" s="113"/>
      <c r="P181" s="113"/>
      <c r="Q181" s="113"/>
      <c r="R181" s="156">
        <f>+R77</f>
        <v>0</v>
      </c>
      <c r="S181" s="116"/>
      <c r="T181" s="2"/>
    </row>
    <row r="182" spans="1:252" ht="15.6" x14ac:dyDescent="0.3">
      <c r="A182" s="112"/>
      <c r="B182" s="113" t="s">
        <v>217</v>
      </c>
      <c r="C182" s="113"/>
      <c r="D182" s="113"/>
      <c r="E182" s="113"/>
      <c r="F182" s="113"/>
      <c r="G182" s="113"/>
      <c r="H182" s="113"/>
      <c r="I182" s="113"/>
      <c r="J182" s="113"/>
      <c r="K182" s="113"/>
      <c r="L182" s="113"/>
      <c r="M182" s="113"/>
      <c r="N182" s="113"/>
      <c r="O182" s="113"/>
      <c r="P182" s="113"/>
      <c r="Q182" s="113"/>
      <c r="R182" s="156">
        <f>+R78</f>
        <v>1500</v>
      </c>
      <c r="S182" s="116"/>
      <c r="T182" s="2"/>
    </row>
    <row r="183" spans="1:252" ht="15.6" x14ac:dyDescent="0.3">
      <c r="A183" s="112"/>
      <c r="B183" s="113" t="s">
        <v>126</v>
      </c>
      <c r="C183" s="113"/>
      <c r="D183" s="113"/>
      <c r="E183" s="113"/>
      <c r="F183" s="113"/>
      <c r="G183" s="113"/>
      <c r="H183" s="113"/>
      <c r="I183" s="113"/>
      <c r="J183" s="113"/>
      <c r="K183" s="113"/>
      <c r="L183" s="113"/>
      <c r="M183" s="113"/>
      <c r="N183" s="113"/>
      <c r="O183" s="113"/>
      <c r="P183" s="113"/>
      <c r="Q183" s="113"/>
      <c r="R183" s="156">
        <f>+R180+R181+R182</f>
        <v>298565</v>
      </c>
      <c r="S183" s="116"/>
      <c r="T183" s="2"/>
    </row>
    <row r="184" spans="1:252" ht="15.6" x14ac:dyDescent="0.3">
      <c r="A184" s="112"/>
      <c r="B184" s="113" t="s">
        <v>45</v>
      </c>
      <c r="C184" s="113"/>
      <c r="D184" s="113"/>
      <c r="E184" s="113"/>
      <c r="F184" s="113"/>
      <c r="G184" s="113"/>
      <c r="H184" s="113"/>
      <c r="I184" s="113"/>
      <c r="J184" s="113"/>
      <c r="K184" s="113"/>
      <c r="L184" s="113"/>
      <c r="M184" s="113"/>
      <c r="N184" s="113"/>
      <c r="O184" s="113"/>
      <c r="P184" s="113"/>
      <c r="Q184" s="113"/>
      <c r="R184" s="156">
        <f>R80</f>
        <v>298565</v>
      </c>
      <c r="S184" s="116"/>
      <c r="T184" s="2"/>
    </row>
    <row r="185" spans="1:252" ht="16.2" thickBot="1" x14ac:dyDescent="0.35">
      <c r="A185" s="12"/>
      <c r="B185" s="43"/>
      <c r="C185" s="43"/>
      <c r="D185" s="43"/>
      <c r="E185" s="43"/>
      <c r="F185" s="43"/>
      <c r="G185" s="43"/>
      <c r="H185" s="43"/>
      <c r="I185" s="43"/>
      <c r="J185" s="43"/>
      <c r="K185" s="43"/>
      <c r="L185" s="43"/>
      <c r="M185" s="43"/>
      <c r="N185" s="43"/>
      <c r="O185" s="43"/>
      <c r="P185" s="43"/>
      <c r="Q185" s="43"/>
      <c r="R185" s="162"/>
      <c r="S185" s="217"/>
      <c r="T185" s="2"/>
    </row>
    <row r="186" spans="1:252" ht="15.6" x14ac:dyDescent="0.3">
      <c r="A186" s="10"/>
      <c r="B186" s="11"/>
      <c r="C186" s="11"/>
      <c r="D186" s="11"/>
      <c r="E186" s="11"/>
      <c r="F186" s="11"/>
      <c r="G186" s="11"/>
      <c r="H186" s="11"/>
      <c r="I186" s="11"/>
      <c r="J186" s="11"/>
      <c r="K186" s="11"/>
      <c r="L186" s="11"/>
      <c r="M186" s="11"/>
      <c r="N186" s="11"/>
      <c r="O186" s="11"/>
      <c r="P186" s="11"/>
      <c r="Q186" s="11"/>
      <c r="R186" s="32"/>
      <c r="S186" s="216"/>
      <c r="T186" s="2"/>
    </row>
    <row r="187" spans="1:252" ht="15.6" x14ac:dyDescent="0.3">
      <c r="A187" s="12"/>
      <c r="B187" s="41" t="s">
        <v>46</v>
      </c>
      <c r="C187" s="37"/>
      <c r="D187" s="45"/>
      <c r="E187" s="45"/>
      <c r="F187" s="45"/>
      <c r="G187" s="45"/>
      <c r="H187" s="45"/>
      <c r="I187" s="45"/>
      <c r="J187" s="45"/>
      <c r="K187" s="45"/>
      <c r="L187" s="45"/>
      <c r="M187" s="45"/>
      <c r="N187" s="45"/>
      <c r="O187" s="45" t="s">
        <v>82</v>
      </c>
      <c r="P187" s="45" t="s">
        <v>170</v>
      </c>
      <c r="Q187" s="16"/>
      <c r="R187" s="46" t="s">
        <v>94</v>
      </c>
      <c r="S187" s="224"/>
      <c r="T187" s="2"/>
    </row>
    <row r="188" spans="1:252" ht="15.6" x14ac:dyDescent="0.3">
      <c r="A188" s="112"/>
      <c r="B188" s="113" t="s">
        <v>47</v>
      </c>
      <c r="C188" s="113"/>
      <c r="D188" s="113"/>
      <c r="E188" s="113"/>
      <c r="F188" s="113"/>
      <c r="G188" s="113"/>
      <c r="H188" s="113"/>
      <c r="I188" s="113"/>
      <c r="J188" s="113"/>
      <c r="K188" s="113"/>
      <c r="L188" s="113"/>
      <c r="M188" s="113"/>
      <c r="N188" s="113"/>
      <c r="O188" s="156">
        <f>+R31*0.08</f>
        <v>24002.32</v>
      </c>
      <c r="P188" s="145"/>
      <c r="Q188" s="113"/>
      <c r="R188" s="156"/>
      <c r="S188" s="116"/>
      <c r="T188" s="2"/>
    </row>
    <row r="189" spans="1:252" ht="15.6" x14ac:dyDescent="0.3">
      <c r="A189" s="112"/>
      <c r="B189" s="113" t="s">
        <v>48</v>
      </c>
      <c r="C189" s="113"/>
      <c r="D189" s="113"/>
      <c r="E189" s="113"/>
      <c r="F189" s="113"/>
      <c r="G189" s="113"/>
      <c r="H189" s="113"/>
      <c r="I189" s="113"/>
      <c r="J189" s="113"/>
      <c r="K189" s="113"/>
      <c r="L189" s="113"/>
      <c r="M189" s="113"/>
      <c r="N189" s="113"/>
      <c r="O189" s="156">
        <v>0</v>
      </c>
      <c r="P189" s="156">
        <v>0</v>
      </c>
      <c r="Q189" s="113"/>
      <c r="R189" s="156">
        <f>O189+P189</f>
        <v>0</v>
      </c>
      <c r="S189" s="116"/>
      <c r="T189" s="2"/>
    </row>
    <row r="190" spans="1:252" ht="15.6" x14ac:dyDescent="0.3">
      <c r="A190" s="112"/>
      <c r="B190" s="113" t="s">
        <v>49</v>
      </c>
      <c r="C190" s="113"/>
      <c r="D190" s="113"/>
      <c r="E190" s="113"/>
      <c r="F190" s="113"/>
      <c r="G190" s="113"/>
      <c r="H190" s="113"/>
      <c r="I190" s="113"/>
      <c r="J190" s="113"/>
      <c r="K190" s="113"/>
      <c r="L190" s="113"/>
      <c r="M190" s="113"/>
      <c r="N190" s="113"/>
      <c r="O190" s="155">
        <v>0</v>
      </c>
      <c r="P190" s="155">
        <v>256</v>
      </c>
      <c r="Q190" s="113"/>
      <c r="R190" s="156">
        <f>O190+P190</f>
        <v>256</v>
      </c>
      <c r="S190" s="116"/>
      <c r="T190" s="2"/>
    </row>
    <row r="191" spans="1:252" ht="15.6" x14ac:dyDescent="0.3">
      <c r="A191" s="112"/>
      <c r="B191" s="113" t="s">
        <v>50</v>
      </c>
      <c r="C191" s="113"/>
      <c r="D191" s="113"/>
      <c r="E191" s="113"/>
      <c r="F191" s="113"/>
      <c r="G191" s="113"/>
      <c r="H191" s="113"/>
      <c r="I191" s="113"/>
      <c r="J191" s="113"/>
      <c r="K191" s="113"/>
      <c r="L191" s="113"/>
      <c r="M191" s="113"/>
      <c r="N191" s="113"/>
      <c r="O191" s="156">
        <f>O189+O190</f>
        <v>0</v>
      </c>
      <c r="P191" s="156">
        <f>P190+P189</f>
        <v>256</v>
      </c>
      <c r="Q191" s="113"/>
      <c r="R191" s="156">
        <f>O191+P191</f>
        <v>256</v>
      </c>
      <c r="S191" s="116"/>
      <c r="T191" s="2"/>
    </row>
    <row r="192" spans="1:252" ht="15.6" x14ac:dyDescent="0.3">
      <c r="A192" s="112"/>
      <c r="B192" s="113" t="s">
        <v>51</v>
      </c>
      <c r="C192" s="113"/>
      <c r="D192" s="113"/>
      <c r="E192" s="113"/>
      <c r="F192" s="113"/>
      <c r="G192" s="113"/>
      <c r="H192" s="113"/>
      <c r="I192" s="113"/>
      <c r="J192" s="113"/>
      <c r="K192" s="113"/>
      <c r="L192" s="113"/>
      <c r="M192" s="113"/>
      <c r="N192" s="113"/>
      <c r="O192" s="156">
        <f>O188-O191-P191</f>
        <v>23746.32</v>
      </c>
      <c r="P192" s="145"/>
      <c r="Q192" s="113"/>
      <c r="R192" s="156"/>
      <c r="S192" s="116"/>
      <c r="T192" s="2"/>
    </row>
    <row r="193" spans="1:20" ht="16.2" thickBot="1" x14ac:dyDescent="0.35">
      <c r="A193" s="12"/>
      <c r="B193" s="43"/>
      <c r="C193" s="43"/>
      <c r="D193" s="43"/>
      <c r="E193" s="43"/>
      <c r="F193" s="43"/>
      <c r="G193" s="43"/>
      <c r="H193" s="43"/>
      <c r="I193" s="43"/>
      <c r="J193" s="43"/>
      <c r="K193" s="43"/>
      <c r="L193" s="43"/>
      <c r="M193" s="43"/>
      <c r="N193" s="43"/>
      <c r="O193" s="43"/>
      <c r="P193" s="43"/>
      <c r="Q193" s="43"/>
      <c r="R193" s="162"/>
      <c r="S193" s="217"/>
      <c r="T193" s="2"/>
    </row>
    <row r="194" spans="1:20" ht="15.6" x14ac:dyDescent="0.3">
      <c r="A194" s="10"/>
      <c r="B194" s="11"/>
      <c r="C194" s="11"/>
      <c r="D194" s="11"/>
      <c r="E194" s="11"/>
      <c r="F194" s="11"/>
      <c r="G194" s="11"/>
      <c r="H194" s="11"/>
      <c r="I194" s="11"/>
      <c r="J194" s="11"/>
      <c r="K194" s="11"/>
      <c r="L194" s="11"/>
      <c r="M194" s="11"/>
      <c r="N194" s="11"/>
      <c r="O194" s="11"/>
      <c r="P194" s="11"/>
      <c r="Q194" s="11"/>
      <c r="R194" s="32"/>
      <c r="S194" s="216"/>
      <c r="T194" s="2"/>
    </row>
    <row r="195" spans="1:20" ht="15.6" x14ac:dyDescent="0.3">
      <c r="A195" s="12"/>
      <c r="B195" s="41" t="s">
        <v>52</v>
      </c>
      <c r="C195" s="14"/>
      <c r="D195" s="14"/>
      <c r="E195" s="14"/>
      <c r="F195" s="14"/>
      <c r="G195" s="14"/>
      <c r="H195" s="14"/>
      <c r="I195" s="14"/>
      <c r="J195" s="14"/>
      <c r="K195" s="14"/>
      <c r="L195" s="14"/>
      <c r="M195" s="14"/>
      <c r="N195" s="14"/>
      <c r="O195" s="14"/>
      <c r="P195" s="14"/>
      <c r="Q195" s="14"/>
      <c r="R195" s="47"/>
      <c r="S195" s="217"/>
      <c r="T195" s="2"/>
    </row>
    <row r="196" spans="1:20" ht="15.6" x14ac:dyDescent="0.3">
      <c r="A196" s="112"/>
      <c r="B196" s="113" t="s">
        <v>53</v>
      </c>
      <c r="C196" s="113"/>
      <c r="D196" s="113"/>
      <c r="E196" s="113"/>
      <c r="F196" s="113"/>
      <c r="G196" s="113"/>
      <c r="H196" s="113"/>
      <c r="I196" s="113"/>
      <c r="J196" s="113"/>
      <c r="K196" s="113"/>
      <c r="L196" s="113"/>
      <c r="M196" s="113"/>
      <c r="N196" s="113"/>
      <c r="O196" s="113"/>
      <c r="P196" s="113"/>
      <c r="Q196" s="113"/>
      <c r="R196" s="161">
        <f>(R102+R104+R105+R106+R107)/-(R108+R109)</f>
        <v>2.3320463320463318</v>
      </c>
      <c r="S196" s="116" t="s">
        <v>95</v>
      </c>
      <c r="T196" s="2"/>
    </row>
    <row r="197" spans="1:20" ht="15.6" x14ac:dyDescent="0.3">
      <c r="A197" s="112"/>
      <c r="B197" s="113" t="s">
        <v>54</v>
      </c>
      <c r="C197" s="113"/>
      <c r="D197" s="113"/>
      <c r="E197" s="113"/>
      <c r="F197" s="113"/>
      <c r="G197" s="113"/>
      <c r="H197" s="113"/>
      <c r="I197" s="113"/>
      <c r="J197" s="113"/>
      <c r="K197" s="113"/>
      <c r="L197" s="113"/>
      <c r="M197" s="113"/>
      <c r="N197" s="113"/>
      <c r="O197" s="113"/>
      <c r="P197" s="113"/>
      <c r="Q197" s="113"/>
      <c r="R197" s="241">
        <v>2.33</v>
      </c>
      <c r="S197" s="116" t="s">
        <v>95</v>
      </c>
      <c r="T197" s="2"/>
    </row>
    <row r="198" spans="1:20" ht="15.6" x14ac:dyDescent="0.3">
      <c r="A198" s="112"/>
      <c r="B198" s="113" t="s">
        <v>183</v>
      </c>
      <c r="C198" s="113"/>
      <c r="D198" s="113"/>
      <c r="E198" s="113"/>
      <c r="F198" s="113"/>
      <c r="G198" s="113"/>
      <c r="H198" s="113"/>
      <c r="I198" s="113"/>
      <c r="J198" s="113"/>
      <c r="K198" s="113"/>
      <c r="L198" s="113"/>
      <c r="M198" s="113"/>
      <c r="N198" s="113"/>
      <c r="O198" s="113"/>
      <c r="P198" s="113"/>
      <c r="Q198" s="113"/>
      <c r="R198" s="242">
        <f>(R102+R104+R105+R106+R107+R108+R109)/-(R110)</f>
        <v>18.157894736842106</v>
      </c>
      <c r="S198" s="116" t="s">
        <v>95</v>
      </c>
      <c r="T198" s="2"/>
    </row>
    <row r="199" spans="1:20" ht="15.6" x14ac:dyDescent="0.3">
      <c r="A199" s="112"/>
      <c r="B199" s="113" t="s">
        <v>184</v>
      </c>
      <c r="C199" s="113"/>
      <c r="D199" s="113"/>
      <c r="E199" s="113"/>
      <c r="F199" s="113"/>
      <c r="G199" s="113"/>
      <c r="H199" s="113"/>
      <c r="I199" s="113"/>
      <c r="J199" s="113"/>
      <c r="K199" s="113"/>
      <c r="L199" s="113"/>
      <c r="M199" s="113"/>
      <c r="N199" s="113"/>
      <c r="O199" s="113"/>
      <c r="P199" s="113"/>
      <c r="Q199" s="113"/>
      <c r="R199" s="241">
        <v>18.16</v>
      </c>
      <c r="S199" s="116" t="s">
        <v>95</v>
      </c>
      <c r="T199" s="2"/>
    </row>
    <row r="200" spans="1:20" ht="15.6" x14ac:dyDescent="0.3">
      <c r="A200" s="112"/>
      <c r="B200" s="113" t="s">
        <v>185</v>
      </c>
      <c r="C200" s="113"/>
      <c r="D200" s="113"/>
      <c r="E200" s="113"/>
      <c r="F200" s="113"/>
      <c r="G200" s="113"/>
      <c r="H200" s="113"/>
      <c r="I200" s="113"/>
      <c r="J200" s="113"/>
      <c r="K200" s="113"/>
      <c r="L200" s="113"/>
      <c r="M200" s="113"/>
      <c r="N200" s="113"/>
      <c r="O200" s="113"/>
      <c r="P200" s="113"/>
      <c r="Q200" s="113"/>
      <c r="R200" s="242">
        <f>(R102+R104+R105+R106+R107+R108+R109+R110)/-(R111)</f>
        <v>12.910891089108912</v>
      </c>
      <c r="S200" s="116" t="s">
        <v>95</v>
      </c>
      <c r="T200" s="2"/>
    </row>
    <row r="201" spans="1:20" ht="15.6" x14ac:dyDescent="0.3">
      <c r="A201" s="112"/>
      <c r="B201" s="113" t="s">
        <v>186</v>
      </c>
      <c r="C201" s="113"/>
      <c r="D201" s="113"/>
      <c r="E201" s="113"/>
      <c r="F201" s="113"/>
      <c r="G201" s="113"/>
      <c r="H201" s="113"/>
      <c r="I201" s="113"/>
      <c r="J201" s="113"/>
      <c r="K201" s="113"/>
      <c r="L201" s="113"/>
      <c r="M201" s="113"/>
      <c r="N201" s="113"/>
      <c r="O201" s="113"/>
      <c r="P201" s="113"/>
      <c r="Q201" s="113"/>
      <c r="R201" s="241">
        <v>12.91</v>
      </c>
      <c r="S201" s="116" t="s">
        <v>95</v>
      </c>
      <c r="T201" s="2"/>
    </row>
    <row r="202" spans="1:20" ht="15.6" x14ac:dyDescent="0.3">
      <c r="A202" s="112"/>
      <c r="B202" s="113" t="s">
        <v>241</v>
      </c>
      <c r="C202" s="113"/>
      <c r="D202" s="113"/>
      <c r="E202" s="113"/>
      <c r="F202" s="113"/>
      <c r="G202" s="113"/>
      <c r="H202" s="113"/>
      <c r="I202" s="113"/>
      <c r="J202" s="113"/>
      <c r="K202" s="113"/>
      <c r="L202" s="113"/>
      <c r="M202" s="113"/>
      <c r="N202" s="113"/>
      <c r="O202" s="113"/>
      <c r="P202" s="113"/>
      <c r="Q202" s="113"/>
      <c r="R202" s="242">
        <f>(R102+R104+R105+R106+R107+R108+R109+R110+R111+R112+R113+R114+R115+R116)/-(R117)</f>
        <v>21.796296296296298</v>
      </c>
      <c r="S202" s="116" t="s">
        <v>95</v>
      </c>
      <c r="T202" s="2"/>
    </row>
    <row r="203" spans="1:20" ht="15.6" x14ac:dyDescent="0.3">
      <c r="A203" s="112"/>
      <c r="B203" s="113" t="s">
        <v>242</v>
      </c>
      <c r="C203" s="113"/>
      <c r="D203" s="113"/>
      <c r="E203" s="113"/>
      <c r="F203" s="113"/>
      <c r="G203" s="113"/>
      <c r="H203" s="113"/>
      <c r="I203" s="113"/>
      <c r="J203" s="113"/>
      <c r="K203" s="113"/>
      <c r="L203" s="113"/>
      <c r="M203" s="113"/>
      <c r="N203" s="113"/>
      <c r="O203" s="113"/>
      <c r="P203" s="113"/>
      <c r="Q203" s="113"/>
      <c r="R203" s="241">
        <v>21.8</v>
      </c>
      <c r="S203" s="116" t="s">
        <v>95</v>
      </c>
      <c r="T203" s="2"/>
    </row>
    <row r="204" spans="1:20" ht="15.6" x14ac:dyDescent="0.3">
      <c r="A204" s="112"/>
      <c r="B204" s="113"/>
      <c r="C204" s="113"/>
      <c r="D204" s="113"/>
      <c r="E204" s="113"/>
      <c r="F204" s="113"/>
      <c r="G204" s="113"/>
      <c r="H204" s="113"/>
      <c r="I204" s="113"/>
      <c r="J204" s="113"/>
      <c r="K204" s="113"/>
      <c r="L204" s="113"/>
      <c r="M204" s="113"/>
      <c r="N204" s="113"/>
      <c r="O204" s="113"/>
      <c r="P204" s="113"/>
      <c r="Q204" s="113"/>
      <c r="R204" s="113"/>
      <c r="S204" s="116"/>
      <c r="T204" s="2"/>
    </row>
    <row r="205" spans="1:20" ht="15.6" x14ac:dyDescent="0.3">
      <c r="A205" s="12"/>
      <c r="B205" s="163"/>
      <c r="C205" s="163"/>
      <c r="D205" s="163"/>
      <c r="E205" s="163"/>
      <c r="F205" s="163"/>
      <c r="G205" s="163"/>
      <c r="H205" s="163"/>
      <c r="I205" s="163"/>
      <c r="J205" s="163"/>
      <c r="K205" s="163"/>
      <c r="L205" s="163"/>
      <c r="M205" s="163"/>
      <c r="N205" s="163"/>
      <c r="O205" s="163"/>
      <c r="P205" s="163"/>
      <c r="Q205" s="163"/>
      <c r="R205" s="163"/>
      <c r="S205" s="218"/>
      <c r="T205" s="2"/>
    </row>
    <row r="206" spans="1:20" ht="15.6" x14ac:dyDescent="0.3">
      <c r="A206" s="12"/>
      <c r="B206" s="84"/>
      <c r="C206" s="84"/>
      <c r="D206" s="84"/>
      <c r="E206" s="84"/>
      <c r="F206" s="84"/>
      <c r="G206" s="84"/>
      <c r="H206" s="84"/>
      <c r="I206" s="84"/>
      <c r="J206" s="84"/>
      <c r="K206" s="84"/>
      <c r="L206" s="84"/>
      <c r="M206" s="84"/>
      <c r="N206" s="84"/>
      <c r="O206" s="84"/>
      <c r="P206" s="84"/>
      <c r="Q206" s="84"/>
      <c r="R206" s="84"/>
      <c r="S206" s="218"/>
      <c r="T206" s="2"/>
    </row>
    <row r="207" spans="1:20" ht="18" thickBot="1" x14ac:dyDescent="0.35">
      <c r="A207" s="28"/>
      <c r="B207" s="97" t="str">
        <f>B134</f>
        <v>PM23 INVESTOR REPORT QUARTER ENDING SEPTEMBER 2015</v>
      </c>
      <c r="C207" s="98"/>
      <c r="D207" s="98"/>
      <c r="E207" s="98"/>
      <c r="F207" s="98"/>
      <c r="G207" s="98"/>
      <c r="H207" s="98"/>
      <c r="I207" s="98"/>
      <c r="J207" s="98"/>
      <c r="K207" s="98"/>
      <c r="L207" s="98"/>
      <c r="M207" s="98"/>
      <c r="N207" s="98"/>
      <c r="O207" s="98"/>
      <c r="P207" s="98"/>
      <c r="Q207" s="98"/>
      <c r="R207" s="98"/>
      <c r="S207" s="99"/>
      <c r="T207" s="2"/>
    </row>
    <row r="208" spans="1:20" ht="15.6" x14ac:dyDescent="0.3">
      <c r="A208" s="65"/>
      <c r="B208" s="66" t="s">
        <v>55</v>
      </c>
      <c r="C208" s="69"/>
      <c r="D208" s="70"/>
      <c r="E208" s="70"/>
      <c r="F208" s="70"/>
      <c r="G208" s="70"/>
      <c r="H208" s="70"/>
      <c r="I208" s="70"/>
      <c r="J208" s="70"/>
      <c r="K208" s="70"/>
      <c r="L208" s="70"/>
      <c r="M208" s="70"/>
      <c r="N208" s="70"/>
      <c r="O208" s="70"/>
      <c r="P208" s="70">
        <v>42277</v>
      </c>
      <c r="Q208" s="67"/>
      <c r="R208" s="67"/>
      <c r="S208" s="223"/>
      <c r="T208" s="2"/>
    </row>
    <row r="209" spans="1:20" ht="15.6" x14ac:dyDescent="0.3">
      <c r="A209" s="48"/>
      <c r="B209" s="49"/>
      <c r="C209" s="50"/>
      <c r="D209" s="51"/>
      <c r="E209" s="51"/>
      <c r="F209" s="51"/>
      <c r="G209" s="51"/>
      <c r="H209" s="51"/>
      <c r="I209" s="51"/>
      <c r="J209" s="51"/>
      <c r="K209" s="51"/>
      <c r="L209" s="51"/>
      <c r="M209" s="51"/>
      <c r="N209" s="51"/>
      <c r="O209" s="51"/>
      <c r="P209" s="51"/>
      <c r="Q209" s="14"/>
      <c r="R209" s="14"/>
      <c r="S209" s="217"/>
      <c r="T209" s="2"/>
    </row>
    <row r="210" spans="1:20" ht="15.6" x14ac:dyDescent="0.3">
      <c r="A210" s="166"/>
      <c r="B210" s="113" t="s">
        <v>56</v>
      </c>
      <c r="C210" s="167"/>
      <c r="D210" s="148"/>
      <c r="E210" s="148"/>
      <c r="F210" s="148"/>
      <c r="G210" s="148"/>
      <c r="H210" s="148"/>
      <c r="I210" s="148"/>
      <c r="J210" s="148"/>
      <c r="K210" s="148"/>
      <c r="L210" s="148"/>
      <c r="M210" s="148"/>
      <c r="N210" s="148"/>
      <c r="O210" s="148"/>
      <c r="P210" s="142">
        <v>3.8339999999999999E-2</v>
      </c>
      <c r="Q210" s="113"/>
      <c r="R210" s="113"/>
      <c r="S210" s="116"/>
      <c r="T210" s="2"/>
    </row>
    <row r="211" spans="1:20" ht="15.6" x14ac:dyDescent="0.3">
      <c r="A211" s="166"/>
      <c r="B211" s="113" t="s">
        <v>158</v>
      </c>
      <c r="C211" s="167"/>
      <c r="D211" s="148"/>
      <c r="E211" s="148"/>
      <c r="F211" s="148"/>
      <c r="G211" s="148"/>
      <c r="H211" s="148"/>
      <c r="I211" s="148"/>
      <c r="J211" s="148"/>
      <c r="K211" s="148"/>
      <c r="L211" s="148"/>
      <c r="M211" s="148"/>
      <c r="N211" s="148"/>
      <c r="O211" s="148"/>
      <c r="P211" s="142">
        <f>+R40</f>
        <v>1.8334780428558572E-2</v>
      </c>
      <c r="Q211" s="113"/>
      <c r="R211" s="113"/>
      <c r="S211" s="116"/>
      <c r="T211" s="2"/>
    </row>
    <row r="212" spans="1:20" ht="15.6" x14ac:dyDescent="0.3">
      <c r="A212" s="166"/>
      <c r="B212" s="113" t="s">
        <v>57</v>
      </c>
      <c r="C212" s="167"/>
      <c r="D212" s="148"/>
      <c r="E212" s="148"/>
      <c r="F212" s="148"/>
      <c r="G212" s="148"/>
      <c r="H212" s="148"/>
      <c r="I212" s="148"/>
      <c r="J212" s="148"/>
      <c r="K212" s="148"/>
      <c r="L212" s="148"/>
      <c r="M212" s="148"/>
      <c r="N212" s="148"/>
      <c r="O212" s="148"/>
      <c r="P212" s="210">
        <f>P210-P211</f>
        <v>2.0005219571441427E-2</v>
      </c>
      <c r="Q212" s="113"/>
      <c r="R212" s="113"/>
      <c r="S212" s="116"/>
      <c r="T212" s="2"/>
    </row>
    <row r="213" spans="1:20" ht="15.6" x14ac:dyDescent="0.3">
      <c r="A213" s="166"/>
      <c r="B213" s="113" t="s">
        <v>161</v>
      </c>
      <c r="C213" s="167"/>
      <c r="D213" s="148"/>
      <c r="E213" s="148"/>
      <c r="F213" s="148"/>
      <c r="G213" s="148"/>
      <c r="H213" s="148"/>
      <c r="I213" s="148"/>
      <c r="J213" s="148"/>
      <c r="K213" s="148"/>
      <c r="L213" s="148"/>
      <c r="M213" s="148"/>
      <c r="N213" s="148"/>
      <c r="O213" s="148"/>
      <c r="P213" s="210">
        <v>4.5726799999999998E-2</v>
      </c>
      <c r="Q213" s="113"/>
      <c r="R213" s="113"/>
      <c r="S213" s="116"/>
      <c r="T213" s="2"/>
    </row>
    <row r="214" spans="1:20" ht="15.6" x14ac:dyDescent="0.3">
      <c r="A214" s="166"/>
      <c r="B214" s="113" t="s">
        <v>58</v>
      </c>
      <c r="C214" s="167"/>
      <c r="D214" s="148"/>
      <c r="E214" s="148"/>
      <c r="F214" s="148"/>
      <c r="G214" s="148"/>
      <c r="H214" s="148"/>
      <c r="I214" s="148"/>
      <c r="J214" s="148"/>
      <c r="K214" s="148"/>
      <c r="L214" s="148"/>
      <c r="M214" s="148"/>
      <c r="N214" s="148"/>
      <c r="O214" s="148"/>
      <c r="P214" s="208">
        <v>3.8219999999999997E-2</v>
      </c>
      <c r="Q214" s="113"/>
      <c r="R214" s="113"/>
      <c r="S214" s="116"/>
      <c r="T214" s="2"/>
    </row>
    <row r="215" spans="1:20" ht="15.6" x14ac:dyDescent="0.3">
      <c r="A215" s="166"/>
      <c r="B215" s="113" t="s">
        <v>159</v>
      </c>
      <c r="C215" s="167"/>
      <c r="D215" s="148"/>
      <c r="E215" s="148"/>
      <c r="F215" s="148"/>
      <c r="G215" s="148"/>
      <c r="H215" s="148"/>
      <c r="I215" s="148"/>
      <c r="J215" s="148"/>
      <c r="K215" s="148"/>
      <c r="L215" s="148"/>
      <c r="M215" s="148"/>
      <c r="N215" s="148"/>
      <c r="O215" s="148"/>
      <c r="P215" s="142">
        <f>R40</f>
        <v>1.8334780428558572E-2</v>
      </c>
      <c r="Q215" s="113"/>
      <c r="R215" s="113"/>
      <c r="S215" s="116"/>
      <c r="T215" s="2"/>
    </row>
    <row r="216" spans="1:20" ht="15.6" x14ac:dyDescent="0.3">
      <c r="A216" s="166"/>
      <c r="B216" s="113" t="s">
        <v>59</v>
      </c>
      <c r="C216" s="167"/>
      <c r="D216" s="148"/>
      <c r="E216" s="148"/>
      <c r="F216" s="148"/>
      <c r="G216" s="148"/>
      <c r="H216" s="148"/>
      <c r="I216" s="148"/>
      <c r="J216" s="148"/>
      <c r="K216" s="148"/>
      <c r="L216" s="148"/>
      <c r="M216" s="148"/>
      <c r="N216" s="148"/>
      <c r="O216" s="148"/>
      <c r="P216" s="142">
        <f>P214-P215</f>
        <v>1.9885219571441425E-2</v>
      </c>
      <c r="Q216" s="113"/>
      <c r="R216" s="113"/>
      <c r="S216" s="116"/>
      <c r="T216" s="2"/>
    </row>
    <row r="217" spans="1:20" ht="15.6" x14ac:dyDescent="0.3">
      <c r="A217" s="166"/>
      <c r="B217" s="113" t="s">
        <v>139</v>
      </c>
      <c r="C217" s="167"/>
      <c r="D217" s="148"/>
      <c r="E217" s="148"/>
      <c r="F217" s="148"/>
      <c r="G217" s="148"/>
      <c r="H217" s="148"/>
      <c r="I217" s="148"/>
      <c r="J217" s="148"/>
      <c r="K217" s="148"/>
      <c r="L217" s="148"/>
      <c r="M217" s="148"/>
      <c r="N217" s="148"/>
      <c r="O217" s="148"/>
      <c r="P217" s="142">
        <f>(+R102+R104)/H80</f>
        <v>9.1824456969159651E-3</v>
      </c>
      <c r="Q217" s="113"/>
      <c r="R217" s="113"/>
      <c r="S217" s="116"/>
      <c r="T217" s="2"/>
    </row>
    <row r="218" spans="1:20" ht="15.6" x14ac:dyDescent="0.3">
      <c r="A218" s="166"/>
      <c r="B218" s="113" t="s">
        <v>132</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187</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188</v>
      </c>
      <c r="C220" s="167"/>
      <c r="D220" s="148"/>
      <c r="E220" s="148"/>
      <c r="F220" s="148"/>
      <c r="G220" s="148"/>
      <c r="H220" s="148"/>
      <c r="I220" s="148"/>
      <c r="J220" s="148"/>
      <c r="K220" s="148"/>
      <c r="L220" s="148"/>
      <c r="M220" s="148"/>
      <c r="N220" s="148"/>
      <c r="O220" s="148"/>
      <c r="P220" s="168">
        <v>52246</v>
      </c>
      <c r="Q220" s="113"/>
      <c r="R220" s="113"/>
      <c r="S220" s="116"/>
      <c r="T220" s="2"/>
    </row>
    <row r="221" spans="1:20" ht="15.6" x14ac:dyDescent="0.3">
      <c r="A221" s="166"/>
      <c r="B221" s="113" t="s">
        <v>243</v>
      </c>
      <c r="C221" s="167"/>
      <c r="D221" s="148"/>
      <c r="E221" s="148"/>
      <c r="F221" s="148"/>
      <c r="G221" s="148"/>
      <c r="H221" s="148"/>
      <c r="I221" s="148"/>
      <c r="J221" s="148"/>
      <c r="K221" s="148"/>
      <c r="L221" s="148"/>
      <c r="M221" s="148"/>
      <c r="N221" s="148"/>
      <c r="O221" s="148"/>
      <c r="P221" s="168">
        <v>52246</v>
      </c>
      <c r="Q221" s="113"/>
      <c r="R221" s="113"/>
      <c r="S221" s="116"/>
      <c r="T221" s="2"/>
    </row>
    <row r="222" spans="1:20" ht="15.6" x14ac:dyDescent="0.3">
      <c r="A222" s="166"/>
      <c r="B222" s="113" t="s">
        <v>60</v>
      </c>
      <c r="C222" s="167"/>
      <c r="D222" s="148"/>
      <c r="E222" s="148"/>
      <c r="F222" s="148"/>
      <c r="G222" s="148"/>
      <c r="H222" s="148"/>
      <c r="I222" s="148"/>
      <c r="J222" s="148"/>
      <c r="K222" s="148"/>
      <c r="L222" s="148"/>
      <c r="M222" s="148"/>
      <c r="N222" s="148"/>
      <c r="O222" s="148"/>
      <c r="P222" s="146">
        <v>20.75</v>
      </c>
      <c r="Q222" s="113" t="s">
        <v>90</v>
      </c>
      <c r="R222" s="113"/>
      <c r="S222" s="116"/>
      <c r="T222" s="2"/>
    </row>
    <row r="223" spans="1:20" ht="15.6" x14ac:dyDescent="0.3">
      <c r="A223" s="166"/>
      <c r="B223" s="113" t="s">
        <v>61</v>
      </c>
      <c r="C223" s="167"/>
      <c r="D223" s="148"/>
      <c r="E223" s="148"/>
      <c r="F223" s="148"/>
      <c r="G223" s="148"/>
      <c r="H223" s="148"/>
      <c r="I223" s="148"/>
      <c r="J223" s="148"/>
      <c r="K223" s="148"/>
      <c r="L223" s="148"/>
      <c r="M223" s="148"/>
      <c r="N223" s="148"/>
      <c r="O223" s="148"/>
      <c r="P223" s="209">
        <v>20.67</v>
      </c>
      <c r="Q223" s="113" t="s">
        <v>90</v>
      </c>
      <c r="R223" s="113"/>
      <c r="S223" s="116"/>
      <c r="T223" s="2"/>
    </row>
    <row r="224" spans="1:20" ht="15.6" x14ac:dyDescent="0.3">
      <c r="A224" s="166"/>
      <c r="B224" s="113" t="s">
        <v>62</v>
      </c>
      <c r="C224" s="167"/>
      <c r="D224" s="148"/>
      <c r="E224" s="148"/>
      <c r="F224" s="148"/>
      <c r="G224" s="148"/>
      <c r="H224" s="148"/>
      <c r="I224" s="148"/>
      <c r="J224" s="148"/>
      <c r="K224" s="148"/>
      <c r="L224" s="148"/>
      <c r="M224" s="148"/>
      <c r="N224" s="148"/>
      <c r="O224" s="148"/>
      <c r="P224" s="142">
        <f>(+J64+L64)/(H64+H77)</f>
        <v>5.7414857518030072E-3</v>
      </c>
      <c r="Q224" s="113"/>
      <c r="R224" s="113"/>
      <c r="S224" s="116"/>
      <c r="T224" s="2"/>
    </row>
    <row r="225" spans="1:20" ht="15.6" x14ac:dyDescent="0.3">
      <c r="A225" s="166"/>
      <c r="B225" s="113" t="s">
        <v>63</v>
      </c>
      <c r="C225" s="167"/>
      <c r="D225" s="148"/>
      <c r="E225" s="148"/>
      <c r="F225" s="148"/>
      <c r="G225" s="148"/>
      <c r="H225" s="148"/>
      <c r="I225" s="148"/>
      <c r="J225" s="148"/>
      <c r="K225" s="148"/>
      <c r="L225" s="148"/>
      <c r="M225" s="148"/>
      <c r="N225" s="148"/>
      <c r="O225" s="148"/>
      <c r="P225" s="210">
        <v>2.4500000000000001E-2</v>
      </c>
      <c r="Q225" s="113"/>
      <c r="R225" s="113"/>
      <c r="S225" s="116"/>
      <c r="T225" s="2"/>
    </row>
    <row r="226" spans="1:20" ht="15.6" x14ac:dyDescent="0.3">
      <c r="A226" s="48"/>
      <c r="B226" s="164"/>
      <c r="C226" s="164"/>
      <c r="D226" s="43"/>
      <c r="E226" s="43"/>
      <c r="F226" s="43"/>
      <c r="G226" s="43"/>
      <c r="H226" s="43"/>
      <c r="I226" s="43"/>
      <c r="J226" s="43"/>
      <c r="K226" s="43"/>
      <c r="L226" s="43"/>
      <c r="M226" s="43"/>
      <c r="N226" s="43"/>
      <c r="O226" s="43"/>
      <c r="P226" s="162"/>
      <c r="Q226" s="43"/>
      <c r="R226" s="165"/>
      <c r="S226" s="217"/>
      <c r="T226" s="2"/>
    </row>
    <row r="227" spans="1:20" ht="15.6" x14ac:dyDescent="0.3">
      <c r="A227" s="71"/>
      <c r="B227" s="61" t="s">
        <v>64</v>
      </c>
      <c r="C227" s="62"/>
      <c r="D227" s="62"/>
      <c r="E227" s="62"/>
      <c r="F227" s="62"/>
      <c r="G227" s="62"/>
      <c r="H227" s="62"/>
      <c r="I227" s="62"/>
      <c r="J227" s="62"/>
      <c r="K227" s="62"/>
      <c r="L227" s="62"/>
      <c r="M227" s="62"/>
      <c r="N227" s="62"/>
      <c r="O227" s="62" t="s">
        <v>83</v>
      </c>
      <c r="P227" s="72" t="s">
        <v>88</v>
      </c>
      <c r="Q227" s="54"/>
      <c r="R227" s="54"/>
      <c r="S227" s="219"/>
      <c r="T227" s="2"/>
    </row>
    <row r="228" spans="1:20" ht="15.6" x14ac:dyDescent="0.3">
      <c r="A228" s="52"/>
      <c r="B228" s="79" t="s">
        <v>65</v>
      </c>
      <c r="C228" s="78"/>
      <c r="D228" s="95"/>
      <c r="E228" s="95"/>
      <c r="F228" s="95"/>
      <c r="G228" s="95"/>
      <c r="H228" s="95"/>
      <c r="I228" s="95"/>
      <c r="J228" s="95"/>
      <c r="K228" s="95"/>
      <c r="L228" s="95"/>
      <c r="M228" s="95"/>
      <c r="N228" s="95"/>
      <c r="O228" s="95">
        <v>0</v>
      </c>
      <c r="P228" s="96">
        <v>0</v>
      </c>
      <c r="Q228" s="79"/>
      <c r="R228" s="94"/>
      <c r="S228" s="225"/>
      <c r="T228" s="2"/>
    </row>
    <row r="229" spans="1:20" ht="15.6" x14ac:dyDescent="0.3">
      <c r="A229" s="172"/>
      <c r="B229" s="113" t="s">
        <v>113</v>
      </c>
      <c r="C229" s="155"/>
      <c r="D229" s="123"/>
      <c r="E229" s="123"/>
      <c r="F229" s="123"/>
      <c r="G229" s="123"/>
      <c r="H229" s="123"/>
      <c r="I229" s="123"/>
      <c r="J229" s="123"/>
      <c r="K229" s="123"/>
      <c r="L229" s="123"/>
      <c r="M229" s="123"/>
      <c r="N229" s="123"/>
      <c r="O229" s="173">
        <f>+N281</f>
        <v>0</v>
      </c>
      <c r="P229" s="174">
        <f>+P281</f>
        <v>0</v>
      </c>
      <c r="Q229" s="113"/>
      <c r="R229" s="175"/>
      <c r="S229" s="176"/>
      <c r="T229" s="2"/>
    </row>
    <row r="230" spans="1:20" ht="15.6" x14ac:dyDescent="0.3">
      <c r="A230" s="172"/>
      <c r="B230" s="113" t="s">
        <v>66</v>
      </c>
      <c r="C230" s="155"/>
      <c r="D230" s="123"/>
      <c r="E230" s="123"/>
      <c r="F230" s="123"/>
      <c r="G230" s="123"/>
      <c r="H230" s="123"/>
      <c r="I230" s="123"/>
      <c r="J230" s="123"/>
      <c r="K230" s="123"/>
      <c r="L230" s="123"/>
      <c r="M230" s="123"/>
      <c r="N230" s="123"/>
      <c r="O230" s="173">
        <f>+N293</f>
        <v>0</v>
      </c>
      <c r="P230" s="174">
        <f>+P293</f>
        <v>0</v>
      </c>
      <c r="Q230" s="113"/>
      <c r="R230" s="175"/>
      <c r="S230" s="176"/>
      <c r="T230" s="2"/>
    </row>
    <row r="231" spans="1:20" ht="15.6" x14ac:dyDescent="0.3">
      <c r="A231" s="172"/>
      <c r="B231" s="134" t="s">
        <v>281</v>
      </c>
      <c r="C231" s="177"/>
      <c r="D231" s="135"/>
      <c r="E231" s="135"/>
      <c r="F231" s="135"/>
      <c r="G231" s="135"/>
      <c r="H231" s="135"/>
      <c r="I231" s="135"/>
      <c r="J231" s="135"/>
      <c r="K231" s="135"/>
      <c r="L231" s="135"/>
      <c r="M231" s="135"/>
      <c r="N231" s="135"/>
      <c r="O231" s="113"/>
      <c r="P231" s="174">
        <v>0</v>
      </c>
      <c r="Q231" s="135"/>
      <c r="R231" s="178"/>
      <c r="S231" s="176"/>
      <c r="T231" s="2"/>
    </row>
    <row r="232" spans="1:20" ht="15.6" x14ac:dyDescent="0.3">
      <c r="A232" s="172"/>
      <c r="B232" s="134" t="s">
        <v>140</v>
      </c>
      <c r="C232" s="177"/>
      <c r="D232" s="135"/>
      <c r="E232" s="135"/>
      <c r="F232" s="135"/>
      <c r="G232" s="135"/>
      <c r="H232" s="135"/>
      <c r="I232" s="135"/>
      <c r="J232" s="135"/>
      <c r="K232" s="135"/>
      <c r="L232" s="135"/>
      <c r="M232" s="135"/>
      <c r="N232" s="135"/>
      <c r="O232" s="113"/>
      <c r="P232" s="174">
        <f>-J77</f>
        <v>17339</v>
      </c>
      <c r="Q232" s="135"/>
      <c r="R232" s="178"/>
      <c r="S232" s="176"/>
      <c r="T232" s="2"/>
    </row>
    <row r="233" spans="1:20" ht="15.6" x14ac:dyDescent="0.3">
      <c r="A233" s="179"/>
      <c r="B233" s="134" t="s">
        <v>67</v>
      </c>
      <c r="C233" s="180"/>
      <c r="D233" s="135"/>
      <c r="E233" s="135"/>
      <c r="F233" s="135"/>
      <c r="G233" s="135"/>
      <c r="H233" s="135"/>
      <c r="I233" s="135"/>
      <c r="J233" s="135"/>
      <c r="K233" s="135"/>
      <c r="L233" s="135"/>
      <c r="M233" s="135"/>
      <c r="N233" s="135"/>
      <c r="O233" s="113"/>
      <c r="P233" s="174"/>
      <c r="Q233" s="135"/>
      <c r="R233" s="178"/>
      <c r="S233" s="181"/>
      <c r="T233" s="2"/>
    </row>
    <row r="234" spans="1:20" ht="15.6" x14ac:dyDescent="0.3">
      <c r="A234" s="179"/>
      <c r="B234" s="118" t="s">
        <v>68</v>
      </c>
      <c r="C234" s="180"/>
      <c r="D234" s="135"/>
      <c r="E234" s="135"/>
      <c r="F234" s="135"/>
      <c r="G234" s="135"/>
      <c r="H234" s="135"/>
      <c r="I234" s="135"/>
      <c r="J234" s="135"/>
      <c r="K234" s="135"/>
      <c r="L234" s="135"/>
      <c r="M234" s="135"/>
      <c r="N234" s="135"/>
      <c r="O234" s="123"/>
      <c r="P234" s="174">
        <f>R164</f>
        <v>0</v>
      </c>
      <c r="Q234" s="135"/>
      <c r="R234" s="178"/>
      <c r="S234" s="181"/>
      <c r="T234" s="2"/>
    </row>
    <row r="235" spans="1:20" ht="15.6" x14ac:dyDescent="0.3">
      <c r="A235" s="172"/>
      <c r="B235" s="113" t="s">
        <v>69</v>
      </c>
      <c r="C235" s="177"/>
      <c r="D235" s="135"/>
      <c r="E235" s="135"/>
      <c r="F235" s="135"/>
      <c r="G235" s="135"/>
      <c r="H235" s="135"/>
      <c r="I235" s="135"/>
      <c r="J235" s="135"/>
      <c r="K235" s="135"/>
      <c r="L235" s="135"/>
      <c r="M235" s="135"/>
      <c r="N235" s="135"/>
      <c r="O235" s="123"/>
      <c r="P235" s="174">
        <f>+P234</f>
        <v>0</v>
      </c>
      <c r="Q235" s="135"/>
      <c r="R235" s="178"/>
      <c r="S235" s="181"/>
      <c r="T235" s="2"/>
    </row>
    <row r="236" spans="1:20" ht="15.6" x14ac:dyDescent="0.3">
      <c r="A236" s="179"/>
      <c r="B236" s="134" t="s">
        <v>151</v>
      </c>
      <c r="C236" s="180"/>
      <c r="D236" s="135"/>
      <c r="E236" s="135"/>
      <c r="F236" s="135"/>
      <c r="G236" s="135"/>
      <c r="H236" s="135"/>
      <c r="I236" s="135"/>
      <c r="J236" s="135"/>
      <c r="K236" s="135"/>
      <c r="L236" s="135"/>
      <c r="M236" s="135"/>
      <c r="N236" s="135"/>
      <c r="O236" s="123"/>
      <c r="P236" s="174"/>
      <c r="Q236" s="135"/>
      <c r="R236" s="178"/>
      <c r="S236" s="181"/>
      <c r="T236" s="2"/>
    </row>
    <row r="237" spans="1:20" ht="15.6" x14ac:dyDescent="0.3">
      <c r="A237" s="179"/>
      <c r="B237" s="113" t="s">
        <v>160</v>
      </c>
      <c r="C237" s="180"/>
      <c r="D237" s="135"/>
      <c r="E237" s="135"/>
      <c r="F237" s="135"/>
      <c r="G237" s="135"/>
      <c r="H237" s="135"/>
      <c r="I237" s="135"/>
      <c r="J237" s="135"/>
      <c r="K237" s="135"/>
      <c r="L237" s="135"/>
      <c r="M237" s="135"/>
      <c r="N237" s="135"/>
      <c r="O237" s="123">
        <v>0</v>
      </c>
      <c r="P237" s="174">
        <v>0</v>
      </c>
      <c r="Q237" s="135"/>
      <c r="R237" s="178"/>
      <c r="S237" s="181"/>
      <c r="T237" s="2"/>
    </row>
    <row r="238" spans="1:20" ht="15.6" x14ac:dyDescent="0.3">
      <c r="A238" s="172"/>
      <c r="B238" s="113" t="s">
        <v>70</v>
      </c>
      <c r="C238" s="182"/>
      <c r="D238" s="135"/>
      <c r="E238" s="135"/>
      <c r="F238" s="135"/>
      <c r="G238" s="135"/>
      <c r="H238" s="135"/>
      <c r="I238" s="135"/>
      <c r="J238" s="135"/>
      <c r="K238" s="135"/>
      <c r="L238" s="135"/>
      <c r="M238" s="135"/>
      <c r="N238" s="135"/>
      <c r="O238" s="113"/>
      <c r="P238" s="183">
        <v>0</v>
      </c>
      <c r="Q238" s="135"/>
      <c r="R238" s="178"/>
      <c r="S238" s="181"/>
      <c r="T238" s="2"/>
    </row>
    <row r="239" spans="1:20" ht="15.6" x14ac:dyDescent="0.3">
      <c r="A239" s="172"/>
      <c r="B239" s="113" t="s">
        <v>71</v>
      </c>
      <c r="C239" s="182"/>
      <c r="D239" s="135"/>
      <c r="E239" s="135"/>
      <c r="F239" s="135"/>
      <c r="G239" s="135"/>
      <c r="H239" s="135"/>
      <c r="I239" s="135"/>
      <c r="J239" s="135"/>
      <c r="K239" s="135"/>
      <c r="L239" s="135"/>
      <c r="M239" s="135"/>
      <c r="N239" s="135"/>
      <c r="O239" s="113"/>
      <c r="P239" s="183">
        <v>0</v>
      </c>
      <c r="Q239" s="135"/>
      <c r="R239" s="178"/>
      <c r="S239" s="181"/>
      <c r="T239" s="2"/>
    </row>
    <row r="240" spans="1:20" ht="15.6" x14ac:dyDescent="0.3">
      <c r="A240" s="172"/>
      <c r="B240" s="134" t="s">
        <v>136</v>
      </c>
      <c r="C240" s="182"/>
      <c r="D240" s="135"/>
      <c r="E240" s="135"/>
      <c r="F240" s="135"/>
      <c r="G240" s="135"/>
      <c r="H240" s="135"/>
      <c r="I240" s="135"/>
      <c r="J240" s="135"/>
      <c r="K240" s="135"/>
      <c r="L240" s="135"/>
      <c r="M240" s="135"/>
      <c r="N240" s="135"/>
      <c r="O240" s="113"/>
      <c r="P240" s="184"/>
      <c r="Q240" s="135"/>
      <c r="R240" s="178"/>
      <c r="S240" s="181"/>
      <c r="T240" s="2"/>
    </row>
    <row r="241" spans="1:20" ht="15.6" x14ac:dyDescent="0.3">
      <c r="A241" s="172"/>
      <c r="B241" s="113" t="s">
        <v>160</v>
      </c>
      <c r="C241" s="182"/>
      <c r="D241" s="135"/>
      <c r="E241" s="135"/>
      <c r="F241" s="135"/>
      <c r="G241" s="135"/>
      <c r="H241" s="135"/>
      <c r="I241" s="135"/>
      <c r="J241" s="135"/>
      <c r="K241" s="135"/>
      <c r="L241" s="135"/>
      <c r="M241" s="135"/>
      <c r="N241" s="135"/>
      <c r="O241" s="123">
        <v>0</v>
      </c>
      <c r="P241" s="174">
        <v>0</v>
      </c>
      <c r="Q241" s="135"/>
      <c r="R241" s="178"/>
      <c r="S241" s="181"/>
      <c r="T241" s="2"/>
    </row>
    <row r="242" spans="1:20" ht="15.6" x14ac:dyDescent="0.3">
      <c r="A242" s="172"/>
      <c r="B242" s="113" t="s">
        <v>137</v>
      </c>
      <c r="C242" s="182"/>
      <c r="D242" s="135"/>
      <c r="E242" s="135"/>
      <c r="F242" s="135"/>
      <c r="G242" s="135"/>
      <c r="H242" s="135"/>
      <c r="I242" s="135"/>
      <c r="J242" s="135"/>
      <c r="K242" s="135"/>
      <c r="L242" s="135"/>
      <c r="M242" s="135"/>
      <c r="N242" s="135"/>
      <c r="O242" s="113"/>
      <c r="P242" s="183">
        <v>0</v>
      </c>
      <c r="Q242" s="135"/>
      <c r="R242" s="178"/>
      <c r="S242" s="181"/>
      <c r="T242" s="2"/>
    </row>
    <row r="243" spans="1:20" ht="15.6" x14ac:dyDescent="0.3">
      <c r="A243" s="172"/>
      <c r="B243" s="180"/>
      <c r="C243" s="182"/>
      <c r="D243" s="135"/>
      <c r="E243" s="135"/>
      <c r="F243" s="135"/>
      <c r="G243" s="135"/>
      <c r="H243" s="135"/>
      <c r="I243" s="135"/>
      <c r="J243" s="135"/>
      <c r="K243" s="135"/>
      <c r="L243" s="135"/>
      <c r="M243" s="135"/>
      <c r="N243" s="135"/>
      <c r="O243" s="113"/>
      <c r="P243" s="184"/>
      <c r="Q243" s="135"/>
      <c r="R243" s="178"/>
      <c r="S243" s="181"/>
      <c r="T243" s="2"/>
    </row>
    <row r="244" spans="1:20" ht="15.6" x14ac:dyDescent="0.3">
      <c r="A244" s="172"/>
      <c r="B244" s="180"/>
      <c r="C244" s="182"/>
      <c r="D244" s="135"/>
      <c r="E244" s="135"/>
      <c r="F244" s="135"/>
      <c r="G244" s="135"/>
      <c r="H244" s="135"/>
      <c r="I244" s="135"/>
      <c r="J244" s="135"/>
      <c r="K244" s="135"/>
      <c r="L244" s="135"/>
      <c r="M244" s="135"/>
      <c r="N244" s="135"/>
      <c r="O244" s="135"/>
      <c r="P244" s="185"/>
      <c r="Q244" s="135"/>
      <c r="R244" s="178"/>
      <c r="S244" s="181"/>
      <c r="T244" s="2"/>
    </row>
    <row r="245" spans="1:20" ht="17.399999999999999" x14ac:dyDescent="0.3">
      <c r="A245" s="172"/>
      <c r="B245" s="186" t="s">
        <v>129</v>
      </c>
      <c r="C245" s="182"/>
      <c r="D245" s="135"/>
      <c r="E245" s="135"/>
      <c r="F245" s="135"/>
      <c r="G245" s="135"/>
      <c r="H245" s="135"/>
      <c r="I245" s="135"/>
      <c r="J245" s="135"/>
      <c r="K245" s="135"/>
      <c r="L245" s="187"/>
      <c r="M245" s="135"/>
      <c r="N245" s="187" t="s">
        <v>128</v>
      </c>
      <c r="O245" s="187"/>
      <c r="P245" s="185"/>
      <c r="Q245" s="135"/>
      <c r="R245" s="178"/>
      <c r="S245" s="181"/>
      <c r="T245" s="2"/>
    </row>
    <row r="246" spans="1:20" ht="17.399999999999999" x14ac:dyDescent="0.3">
      <c r="A246" s="169"/>
      <c r="B246" s="199"/>
      <c r="C246" s="170"/>
      <c r="D246" s="43"/>
      <c r="E246" s="43"/>
      <c r="F246" s="43"/>
      <c r="G246" s="43"/>
      <c r="H246" s="43"/>
      <c r="I246" s="43"/>
      <c r="J246" s="43"/>
      <c r="K246" s="43"/>
      <c r="L246" s="200"/>
      <c r="M246" s="43"/>
      <c r="N246" s="43"/>
      <c r="O246" s="43"/>
      <c r="P246" s="171"/>
      <c r="Q246" s="43"/>
      <c r="R246" s="165"/>
      <c r="S246" s="226"/>
      <c r="T246" s="2"/>
    </row>
    <row r="247" spans="1:20" ht="15.6" x14ac:dyDescent="0.3">
      <c r="A247" s="53"/>
      <c r="B247" s="61" t="s">
        <v>152</v>
      </c>
      <c r="C247" s="62"/>
      <c r="D247" s="62"/>
      <c r="E247" s="62"/>
      <c r="F247" s="62"/>
      <c r="G247" s="62"/>
      <c r="H247" s="62"/>
      <c r="I247" s="62"/>
      <c r="J247" s="62"/>
      <c r="K247" s="62"/>
      <c r="L247" s="62"/>
      <c r="M247" s="62"/>
      <c r="N247" s="72" t="s">
        <v>83</v>
      </c>
      <c r="O247" s="62" t="s">
        <v>84</v>
      </c>
      <c r="P247" s="72" t="s">
        <v>89</v>
      </c>
      <c r="Q247" s="62" t="s">
        <v>84</v>
      </c>
      <c r="R247" s="54"/>
      <c r="S247" s="227"/>
      <c r="T247" s="2"/>
    </row>
    <row r="248" spans="1:20" ht="15.6" x14ac:dyDescent="0.3">
      <c r="A248" s="24"/>
      <c r="B248" s="78" t="s">
        <v>72</v>
      </c>
      <c r="C248" s="93"/>
      <c r="D248" s="93"/>
      <c r="E248" s="93"/>
      <c r="F248" s="93"/>
      <c r="G248" s="93"/>
      <c r="H248" s="93"/>
      <c r="I248" s="93"/>
      <c r="J248" s="93"/>
      <c r="K248" s="93"/>
      <c r="L248" s="93"/>
      <c r="M248" s="93"/>
      <c r="N248" s="78">
        <f>+N260+N272+N284</f>
        <v>1874</v>
      </c>
      <c r="O248" s="81">
        <f>N248/$N$257</f>
        <v>1</v>
      </c>
      <c r="P248" s="82">
        <f>+P260+P272+P284</f>
        <v>297065</v>
      </c>
      <c r="Q248" s="81">
        <f t="shared" ref="Q248:Q255" si="5">P248/$P$257</f>
        <v>1</v>
      </c>
      <c r="R248" s="94"/>
      <c r="S248" s="228"/>
      <c r="T248" s="2"/>
    </row>
    <row r="249" spans="1:20" ht="15.6" x14ac:dyDescent="0.3">
      <c r="A249" s="112"/>
      <c r="B249" s="155" t="s">
        <v>73</v>
      </c>
      <c r="C249" s="191"/>
      <c r="D249" s="191"/>
      <c r="E249" s="191"/>
      <c r="F249" s="191"/>
      <c r="G249" s="191"/>
      <c r="H249" s="191"/>
      <c r="I249" s="191"/>
      <c r="J249" s="191"/>
      <c r="K249" s="191"/>
      <c r="L249" s="191"/>
      <c r="M249" s="191"/>
      <c r="N249" s="244">
        <f t="shared" ref="N249:N254" si="6">+N261+N273+N285</f>
        <v>0</v>
      </c>
      <c r="O249" s="246">
        <f t="shared" ref="O249:O255" si="7">N249/$N$257</f>
        <v>0</v>
      </c>
      <c r="P249" s="245">
        <f t="shared" ref="P249:P255" si="8">+P261+P273+P285</f>
        <v>0</v>
      </c>
      <c r="Q249" s="192">
        <f t="shared" si="5"/>
        <v>0</v>
      </c>
      <c r="R249" s="175"/>
      <c r="S249" s="193"/>
      <c r="T249" s="2"/>
    </row>
    <row r="250" spans="1:20" ht="15.6" x14ac:dyDescent="0.3">
      <c r="A250" s="112"/>
      <c r="B250" s="155" t="s">
        <v>74</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119</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120</v>
      </c>
      <c r="C252" s="191"/>
      <c r="D252" s="191"/>
      <c r="E252" s="191"/>
      <c r="F252" s="191"/>
      <c r="G252" s="191"/>
      <c r="H252" s="191"/>
      <c r="I252" s="191"/>
      <c r="J252" s="191"/>
      <c r="K252" s="191"/>
      <c r="L252" s="191"/>
      <c r="M252" s="191"/>
      <c r="N252" s="250">
        <f t="shared" si="6"/>
        <v>0</v>
      </c>
      <c r="O252" s="251">
        <f t="shared" si="7"/>
        <v>0</v>
      </c>
      <c r="P252" s="233">
        <f t="shared" si="8"/>
        <v>0</v>
      </c>
      <c r="Q252" s="192">
        <f t="shared" si="5"/>
        <v>0</v>
      </c>
      <c r="R252" s="175"/>
      <c r="S252" s="193"/>
      <c r="T252" s="2"/>
    </row>
    <row r="253" spans="1:20" ht="15.6" x14ac:dyDescent="0.3">
      <c r="A253" s="112"/>
      <c r="B253" s="155" t="s">
        <v>121</v>
      </c>
      <c r="C253" s="191"/>
      <c r="D253" s="191"/>
      <c r="E253" s="191"/>
      <c r="F253" s="191"/>
      <c r="G253" s="191"/>
      <c r="H253" s="191"/>
      <c r="I253" s="191"/>
      <c r="J253" s="191"/>
      <c r="K253" s="191"/>
      <c r="L253" s="191"/>
      <c r="M253" s="191"/>
      <c r="N253" s="250">
        <f t="shared" si="6"/>
        <v>0</v>
      </c>
      <c r="O253" s="251">
        <f t="shared" si="7"/>
        <v>0</v>
      </c>
      <c r="P253" s="233">
        <f t="shared" si="8"/>
        <v>0</v>
      </c>
      <c r="Q253" s="192">
        <f t="shared" si="5"/>
        <v>0</v>
      </c>
      <c r="R253" s="175"/>
      <c r="S253" s="193"/>
      <c r="T253" s="2"/>
    </row>
    <row r="254" spans="1:20" ht="15.6" x14ac:dyDescent="0.3">
      <c r="A254" s="112"/>
      <c r="B254" s="155" t="s">
        <v>122</v>
      </c>
      <c r="C254" s="191"/>
      <c r="D254" s="191"/>
      <c r="E254" s="191"/>
      <c r="F254" s="191"/>
      <c r="G254" s="191"/>
      <c r="H254" s="191"/>
      <c r="I254" s="191"/>
      <c r="J254" s="191"/>
      <c r="K254" s="191"/>
      <c r="L254" s="191"/>
      <c r="M254" s="191"/>
      <c r="N254" s="247">
        <f t="shared" si="6"/>
        <v>0</v>
      </c>
      <c r="O254" s="248">
        <f t="shared" si="7"/>
        <v>0</v>
      </c>
      <c r="P254" s="249">
        <f t="shared" si="8"/>
        <v>0</v>
      </c>
      <c r="Q254" s="192">
        <f t="shared" si="5"/>
        <v>0</v>
      </c>
      <c r="R254" s="175"/>
      <c r="S254" s="193"/>
      <c r="T254" s="2"/>
    </row>
    <row r="255" spans="1:20" ht="15.6" x14ac:dyDescent="0.3">
      <c r="A255" s="112"/>
      <c r="B255" s="155" t="s">
        <v>123</v>
      </c>
      <c r="C255" s="191"/>
      <c r="D255" s="191"/>
      <c r="E255" s="191"/>
      <c r="F255" s="191"/>
      <c r="G255" s="191"/>
      <c r="H255" s="191"/>
      <c r="I255" s="191"/>
      <c r="J255" s="191"/>
      <c r="K255" s="191"/>
      <c r="L255" s="191"/>
      <c r="M255" s="191"/>
      <c r="N255" s="243">
        <f>+N267+N279+N291</f>
        <v>0</v>
      </c>
      <c r="O255" s="192">
        <f t="shared" si="7"/>
        <v>0</v>
      </c>
      <c r="P255" s="195">
        <f t="shared" si="8"/>
        <v>0</v>
      </c>
      <c r="Q255" s="192">
        <f t="shared" si="5"/>
        <v>0</v>
      </c>
      <c r="R255" s="175"/>
      <c r="S255" s="193"/>
      <c r="T255" s="2"/>
    </row>
    <row r="256" spans="1:20" ht="15.6" x14ac:dyDescent="0.3">
      <c r="A256" s="112"/>
      <c r="B256" s="155"/>
      <c r="C256" s="191"/>
      <c r="D256" s="191"/>
      <c r="E256" s="191"/>
      <c r="F256" s="191"/>
      <c r="G256" s="191"/>
      <c r="H256" s="191"/>
      <c r="I256" s="191"/>
      <c r="J256" s="191"/>
      <c r="K256" s="191"/>
      <c r="L256" s="191"/>
      <c r="M256" s="191"/>
      <c r="N256" s="155"/>
      <c r="O256" s="192"/>
      <c r="P256" s="156"/>
      <c r="Q256" s="192"/>
      <c r="R256" s="175"/>
      <c r="S256" s="193"/>
      <c r="T256" s="2"/>
    </row>
    <row r="257" spans="1:21" ht="15.6" x14ac:dyDescent="0.3">
      <c r="A257" s="112"/>
      <c r="B257" s="113" t="s">
        <v>94</v>
      </c>
      <c r="C257" s="113"/>
      <c r="D257" s="194"/>
      <c r="E257" s="194"/>
      <c r="F257" s="194"/>
      <c r="G257" s="194"/>
      <c r="H257" s="194"/>
      <c r="I257" s="194"/>
      <c r="J257" s="194"/>
      <c r="K257" s="194"/>
      <c r="L257" s="194"/>
      <c r="M257" s="194"/>
      <c r="N257" s="155">
        <f>SUM(N248:N256)</f>
        <v>1874</v>
      </c>
      <c r="O257" s="192">
        <f>SUM(O248:O256)</f>
        <v>1</v>
      </c>
      <c r="P257" s="156">
        <f>SUM(P248:P256)</f>
        <v>297065</v>
      </c>
      <c r="Q257" s="192">
        <f>SUM(Q248:Q256)</f>
        <v>1</v>
      </c>
      <c r="R257" s="113"/>
      <c r="S257" s="116"/>
      <c r="T257" s="2"/>
    </row>
    <row r="258" spans="1:21" ht="15.6" x14ac:dyDescent="0.3">
      <c r="A258" s="12"/>
      <c r="B258" s="164"/>
      <c r="C258" s="170"/>
      <c r="D258" s="43"/>
      <c r="E258" s="43"/>
      <c r="F258" s="43"/>
      <c r="G258" s="43"/>
      <c r="H258" s="43"/>
      <c r="I258" s="43"/>
      <c r="J258" s="43"/>
      <c r="K258" s="43"/>
      <c r="L258" s="43"/>
      <c r="M258" s="43"/>
      <c r="N258" s="43"/>
      <c r="O258" s="43"/>
      <c r="P258" s="171"/>
      <c r="Q258" s="43"/>
      <c r="R258" s="43"/>
      <c r="S258" s="217"/>
      <c r="T258" s="2"/>
    </row>
    <row r="259" spans="1:21" ht="15.6" x14ac:dyDescent="0.3">
      <c r="A259" s="53"/>
      <c r="B259" s="61" t="s">
        <v>124</v>
      </c>
      <c r="C259" s="62"/>
      <c r="D259" s="62"/>
      <c r="E259" s="62"/>
      <c r="F259" s="62"/>
      <c r="G259" s="62"/>
      <c r="H259" s="62"/>
      <c r="I259" s="62"/>
      <c r="J259" s="62"/>
      <c r="K259" s="62"/>
      <c r="L259" s="62"/>
      <c r="M259" s="62"/>
      <c r="N259" s="72" t="s">
        <v>83</v>
      </c>
      <c r="O259" s="62" t="s">
        <v>84</v>
      </c>
      <c r="P259" s="72" t="s">
        <v>89</v>
      </c>
      <c r="Q259" s="62" t="s">
        <v>84</v>
      </c>
      <c r="R259" s="54"/>
      <c r="S259" s="227"/>
      <c r="T259" s="2"/>
    </row>
    <row r="260" spans="1:21" ht="15.6" x14ac:dyDescent="0.3">
      <c r="A260" s="24"/>
      <c r="B260" s="78" t="s">
        <v>72</v>
      </c>
      <c r="C260" s="93"/>
      <c r="D260" s="93"/>
      <c r="E260" s="93"/>
      <c r="F260" s="93"/>
      <c r="G260" s="93"/>
      <c r="H260" s="93"/>
      <c r="I260" s="93"/>
      <c r="J260" s="93"/>
      <c r="K260" s="93"/>
      <c r="L260" s="93"/>
      <c r="M260" s="93"/>
      <c r="N260" s="78">
        <v>1874</v>
      </c>
      <c r="O260" s="81">
        <f>N260/$N$269</f>
        <v>1</v>
      </c>
      <c r="P260" s="82">
        <v>297065</v>
      </c>
      <c r="Q260" s="81">
        <f>P260/$P$269</f>
        <v>1</v>
      </c>
      <c r="R260" s="94"/>
      <c r="S260" s="228"/>
      <c r="T260" s="2"/>
    </row>
    <row r="261" spans="1:21" ht="15.6" x14ac:dyDescent="0.3">
      <c r="A261" s="112"/>
      <c r="B261" s="155" t="s">
        <v>73</v>
      </c>
      <c r="C261" s="191"/>
      <c r="D261" s="191"/>
      <c r="E261" s="191"/>
      <c r="F261" s="191"/>
      <c r="G261" s="191"/>
      <c r="H261" s="191"/>
      <c r="I261" s="191"/>
      <c r="J261" s="191"/>
      <c r="K261" s="191"/>
      <c r="L261" s="191"/>
      <c r="M261" s="191"/>
      <c r="N261" s="155">
        <v>0</v>
      </c>
      <c r="O261" s="192">
        <f t="shared" ref="O261:O267" si="9">N261/$N$269</f>
        <v>0</v>
      </c>
      <c r="P261" s="156">
        <v>0</v>
      </c>
      <c r="Q261" s="192">
        <f t="shared" ref="Q261:Q267" si="10">P261/$P$269</f>
        <v>0</v>
      </c>
      <c r="R261" s="175"/>
      <c r="S261" s="193"/>
      <c r="T261" s="2"/>
      <c r="U261" s="4"/>
    </row>
    <row r="262" spans="1:21" ht="15.6" x14ac:dyDescent="0.3">
      <c r="A262" s="112"/>
      <c r="B262" s="155" t="s">
        <v>74</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119</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120</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121</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t="s">
        <v>122</v>
      </c>
      <c r="C266" s="191"/>
      <c r="D266" s="191"/>
      <c r="E266" s="191"/>
      <c r="F266" s="191"/>
      <c r="G266" s="191"/>
      <c r="H266" s="191"/>
      <c r="I266" s="191"/>
      <c r="J266" s="191"/>
      <c r="K266" s="191"/>
      <c r="L266" s="191"/>
      <c r="M266" s="191"/>
      <c r="N266" s="155">
        <v>0</v>
      </c>
      <c r="O266" s="192">
        <f t="shared" si="9"/>
        <v>0</v>
      </c>
      <c r="P266" s="156">
        <v>0</v>
      </c>
      <c r="Q266" s="192">
        <f t="shared" si="10"/>
        <v>0</v>
      </c>
      <c r="R266" s="175"/>
      <c r="S266" s="193"/>
      <c r="T266" s="2"/>
    </row>
    <row r="267" spans="1:21" ht="15.6" x14ac:dyDescent="0.3">
      <c r="A267" s="112"/>
      <c r="B267" s="155" t="s">
        <v>123</v>
      </c>
      <c r="C267" s="191"/>
      <c r="D267" s="191"/>
      <c r="E267" s="191"/>
      <c r="F267" s="191"/>
      <c r="G267" s="191"/>
      <c r="H267" s="191"/>
      <c r="I267" s="191"/>
      <c r="J267" s="191"/>
      <c r="K267" s="191"/>
      <c r="L267" s="191"/>
      <c r="M267" s="191"/>
      <c r="N267" s="155">
        <v>0</v>
      </c>
      <c r="O267" s="192">
        <f t="shared" si="9"/>
        <v>0</v>
      </c>
      <c r="P267" s="156">
        <v>0</v>
      </c>
      <c r="Q267" s="192">
        <f t="shared" si="10"/>
        <v>0</v>
      </c>
      <c r="R267" s="175"/>
      <c r="S267" s="193"/>
      <c r="T267" s="2"/>
      <c r="U267" s="4"/>
    </row>
    <row r="268" spans="1:21" ht="15.6" x14ac:dyDescent="0.3">
      <c r="A268" s="112"/>
      <c r="B268" s="155"/>
      <c r="C268" s="191"/>
      <c r="D268" s="191"/>
      <c r="E268" s="191"/>
      <c r="F268" s="191"/>
      <c r="G268" s="191"/>
      <c r="H268" s="191"/>
      <c r="I268" s="191"/>
      <c r="J268" s="191"/>
      <c r="K268" s="191"/>
      <c r="L268" s="191"/>
      <c r="M268" s="191"/>
      <c r="N268" s="155"/>
      <c r="O268" s="192"/>
      <c r="P268" s="156"/>
      <c r="Q268" s="192"/>
      <c r="R268" s="175"/>
      <c r="S268" s="193"/>
      <c r="T268" s="2"/>
    </row>
    <row r="269" spans="1:21" ht="15.6" x14ac:dyDescent="0.3">
      <c r="A269" s="112"/>
      <c r="B269" s="113" t="s">
        <v>94</v>
      </c>
      <c r="C269" s="113"/>
      <c r="D269" s="194"/>
      <c r="E269" s="194"/>
      <c r="F269" s="194"/>
      <c r="G269" s="194"/>
      <c r="H269" s="194"/>
      <c r="I269" s="194"/>
      <c r="J269" s="194"/>
      <c r="K269" s="194"/>
      <c r="L269" s="194"/>
      <c r="M269" s="194"/>
      <c r="N269" s="155">
        <f>SUM(N260:N268)</f>
        <v>1874</v>
      </c>
      <c r="O269" s="192">
        <f>SUM(O260:O268)</f>
        <v>1</v>
      </c>
      <c r="P269" s="156">
        <f>SUM(P260:P268)</f>
        <v>297065</v>
      </c>
      <c r="Q269" s="192">
        <f>SUM(Q260:Q268)</f>
        <v>1</v>
      </c>
      <c r="R269" s="113"/>
      <c r="S269" s="116"/>
      <c r="T269" s="2"/>
    </row>
    <row r="270" spans="1:21" ht="15.6" x14ac:dyDescent="0.3">
      <c r="A270" s="12"/>
      <c r="B270" s="43"/>
      <c r="C270" s="43"/>
      <c r="D270" s="188"/>
      <c r="E270" s="188"/>
      <c r="F270" s="188"/>
      <c r="G270" s="188"/>
      <c r="H270" s="188"/>
      <c r="I270" s="188"/>
      <c r="J270" s="188"/>
      <c r="K270" s="188"/>
      <c r="L270" s="188"/>
      <c r="M270" s="188"/>
      <c r="N270" s="153"/>
      <c r="O270" s="189"/>
      <c r="P270" s="190"/>
      <c r="Q270" s="189"/>
      <c r="R270" s="43"/>
      <c r="S270" s="217"/>
      <c r="T270" s="2"/>
    </row>
    <row r="271" spans="1:21" ht="15.6" x14ac:dyDescent="0.3">
      <c r="A271" s="73"/>
      <c r="B271" s="61" t="s">
        <v>146</v>
      </c>
      <c r="C271" s="62"/>
      <c r="D271" s="62"/>
      <c r="E271" s="62"/>
      <c r="F271" s="62"/>
      <c r="G271" s="62"/>
      <c r="H271" s="62"/>
      <c r="I271" s="62"/>
      <c r="J271" s="62"/>
      <c r="K271" s="62"/>
      <c r="L271" s="62"/>
      <c r="M271" s="62"/>
      <c r="N271" s="72" t="s">
        <v>83</v>
      </c>
      <c r="O271" s="62" t="s">
        <v>84</v>
      </c>
      <c r="P271" s="72" t="s">
        <v>89</v>
      </c>
      <c r="Q271" s="62" t="s">
        <v>84</v>
      </c>
      <c r="R271" s="74"/>
      <c r="S271" s="75"/>
      <c r="T271" s="2"/>
    </row>
    <row r="272" spans="1:21" ht="15.6" x14ac:dyDescent="0.3">
      <c r="A272" s="24"/>
      <c r="B272" s="78" t="s">
        <v>72</v>
      </c>
      <c r="C272" s="93"/>
      <c r="D272" s="93"/>
      <c r="E272" s="93"/>
      <c r="F272" s="93"/>
      <c r="G272" s="93"/>
      <c r="H272" s="93"/>
      <c r="I272" s="93"/>
      <c r="J272" s="93"/>
      <c r="K272" s="93"/>
      <c r="L272" s="93"/>
      <c r="M272" s="93"/>
      <c r="N272" s="78">
        <v>0</v>
      </c>
      <c r="O272" s="81">
        <v>0</v>
      </c>
      <c r="P272" s="82">
        <v>0</v>
      </c>
      <c r="Q272" s="81">
        <v>0</v>
      </c>
      <c r="R272" s="79"/>
      <c r="S272" s="220"/>
      <c r="T272" s="2"/>
    </row>
    <row r="273" spans="1:20" ht="15.6" x14ac:dyDescent="0.3">
      <c r="A273" s="112"/>
      <c r="B273" s="155" t="s">
        <v>73</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74</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119</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120</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121</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t="s">
        <v>122</v>
      </c>
      <c r="C278" s="191"/>
      <c r="D278" s="191"/>
      <c r="E278" s="191"/>
      <c r="F278" s="191"/>
      <c r="G278" s="191"/>
      <c r="H278" s="191"/>
      <c r="I278" s="191"/>
      <c r="J278" s="191"/>
      <c r="K278" s="191"/>
      <c r="L278" s="191"/>
      <c r="M278" s="191"/>
      <c r="N278" s="155">
        <v>0</v>
      </c>
      <c r="O278" s="192">
        <v>0</v>
      </c>
      <c r="P278" s="156">
        <v>0</v>
      </c>
      <c r="Q278" s="192">
        <v>0</v>
      </c>
      <c r="R278" s="113"/>
      <c r="S278" s="116"/>
      <c r="T278" s="2"/>
    </row>
    <row r="279" spans="1:20" ht="15.6" x14ac:dyDescent="0.3">
      <c r="A279" s="112"/>
      <c r="B279" s="155" t="s">
        <v>123</v>
      </c>
      <c r="C279" s="191"/>
      <c r="D279" s="191"/>
      <c r="E279" s="191"/>
      <c r="F279" s="191"/>
      <c r="G279" s="191"/>
      <c r="H279" s="191"/>
      <c r="I279" s="191"/>
      <c r="J279" s="191"/>
      <c r="K279" s="191"/>
      <c r="L279" s="191"/>
      <c r="M279" s="191"/>
      <c r="N279" s="155">
        <v>0</v>
      </c>
      <c r="O279" s="192">
        <v>0</v>
      </c>
      <c r="P279" s="156">
        <v>0</v>
      </c>
      <c r="Q279" s="192">
        <v>0</v>
      </c>
      <c r="R279" s="113"/>
      <c r="S279" s="116"/>
      <c r="T279" s="2"/>
    </row>
    <row r="280" spans="1:20" ht="15.6" x14ac:dyDescent="0.3">
      <c r="A280" s="112"/>
      <c r="B280" s="155"/>
      <c r="C280" s="191"/>
      <c r="D280" s="191"/>
      <c r="E280" s="191"/>
      <c r="F280" s="191"/>
      <c r="G280" s="191"/>
      <c r="H280" s="191"/>
      <c r="I280" s="191"/>
      <c r="J280" s="191"/>
      <c r="K280" s="191"/>
      <c r="L280" s="191"/>
      <c r="M280" s="191"/>
      <c r="N280" s="155"/>
      <c r="O280" s="192"/>
      <c r="P280" s="156"/>
      <c r="Q280" s="192"/>
      <c r="R280" s="113"/>
      <c r="S280" s="116"/>
      <c r="T280" s="2"/>
    </row>
    <row r="281" spans="1:20" ht="15.6" x14ac:dyDescent="0.3">
      <c r="A281" s="112"/>
      <c r="B281" s="113" t="s">
        <v>94</v>
      </c>
      <c r="C281" s="113"/>
      <c r="D281" s="194"/>
      <c r="E281" s="194"/>
      <c r="F281" s="194"/>
      <c r="G281" s="194"/>
      <c r="H281" s="194"/>
      <c r="I281" s="194"/>
      <c r="J281" s="194"/>
      <c r="K281" s="194"/>
      <c r="L281" s="194"/>
      <c r="M281" s="194"/>
      <c r="N281" s="155">
        <f>SUM(N272:N280)</f>
        <v>0</v>
      </c>
      <c r="O281" s="192">
        <f>SUM(O272:O280)</f>
        <v>0</v>
      </c>
      <c r="P281" s="156">
        <f>SUM(P272:P280)</f>
        <v>0</v>
      </c>
      <c r="Q281" s="192">
        <f>SUM(Q272:Q280)</f>
        <v>0</v>
      </c>
      <c r="R281" s="113"/>
      <c r="S281" s="116"/>
      <c r="T281" s="2"/>
    </row>
    <row r="282" spans="1:20" ht="15.6" x14ac:dyDescent="0.3">
      <c r="A282" s="12"/>
      <c r="B282" s="43"/>
      <c r="C282" s="43"/>
      <c r="D282" s="188"/>
      <c r="E282" s="188"/>
      <c r="F282" s="188"/>
      <c r="G282" s="188"/>
      <c r="H282" s="188"/>
      <c r="I282" s="188"/>
      <c r="J282" s="188"/>
      <c r="K282" s="188"/>
      <c r="L282" s="188"/>
      <c r="M282" s="188"/>
      <c r="N282" s="153"/>
      <c r="O282" s="189"/>
      <c r="P282" s="190"/>
      <c r="Q282" s="189"/>
      <c r="R282" s="43"/>
      <c r="S282" s="217"/>
      <c r="T282" s="2"/>
    </row>
    <row r="283" spans="1:20" ht="15.6" x14ac:dyDescent="0.3">
      <c r="A283" s="73"/>
      <c r="B283" s="61" t="s">
        <v>125</v>
      </c>
      <c r="C283" s="74"/>
      <c r="D283" s="76"/>
      <c r="E283" s="76"/>
      <c r="F283" s="76"/>
      <c r="G283" s="76"/>
      <c r="H283" s="76"/>
      <c r="I283" s="76"/>
      <c r="J283" s="76"/>
      <c r="K283" s="76"/>
      <c r="L283" s="76"/>
      <c r="M283" s="76"/>
      <c r="N283" s="72" t="s">
        <v>83</v>
      </c>
      <c r="O283" s="62" t="s">
        <v>84</v>
      </c>
      <c r="P283" s="72" t="s">
        <v>89</v>
      </c>
      <c r="Q283" s="62" t="s">
        <v>84</v>
      </c>
      <c r="R283" s="74"/>
      <c r="S283" s="75"/>
      <c r="T283" s="2"/>
    </row>
    <row r="284" spans="1:20" ht="15.6" x14ac:dyDescent="0.3">
      <c r="A284" s="77"/>
      <c r="B284" s="78" t="s">
        <v>72</v>
      </c>
      <c r="C284" s="79"/>
      <c r="D284" s="80"/>
      <c r="E284" s="80"/>
      <c r="F284" s="80"/>
      <c r="G284" s="80"/>
      <c r="H284" s="80"/>
      <c r="I284" s="80"/>
      <c r="J284" s="80"/>
      <c r="K284" s="80"/>
      <c r="L284" s="80"/>
      <c r="M284" s="80"/>
      <c r="N284" s="78">
        <v>0</v>
      </c>
      <c r="O284" s="81">
        <v>0</v>
      </c>
      <c r="P284" s="82">
        <v>0</v>
      </c>
      <c r="Q284" s="81">
        <v>0</v>
      </c>
      <c r="R284" s="79"/>
      <c r="S284" s="220"/>
      <c r="T284" s="2"/>
    </row>
    <row r="285" spans="1:20" ht="15.6" x14ac:dyDescent="0.3">
      <c r="A285" s="122"/>
      <c r="B285" s="155" t="s">
        <v>73</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74</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119</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120</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121</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t="s">
        <v>122</v>
      </c>
      <c r="C290" s="113"/>
      <c r="D290" s="194"/>
      <c r="E290" s="194"/>
      <c r="F290" s="194"/>
      <c r="G290" s="194"/>
      <c r="H290" s="194"/>
      <c r="I290" s="194"/>
      <c r="J290" s="194"/>
      <c r="K290" s="194"/>
      <c r="L290" s="194"/>
      <c r="M290" s="194"/>
      <c r="N290" s="155">
        <v>0</v>
      </c>
      <c r="O290" s="192">
        <v>0</v>
      </c>
      <c r="P290" s="156">
        <v>0</v>
      </c>
      <c r="Q290" s="192">
        <v>0</v>
      </c>
      <c r="R290" s="113"/>
      <c r="S290" s="116"/>
      <c r="T290" s="2"/>
    </row>
    <row r="291" spans="1:20" ht="15.6" x14ac:dyDescent="0.3">
      <c r="A291" s="122"/>
      <c r="B291" s="155" t="s">
        <v>123</v>
      </c>
      <c r="C291" s="113"/>
      <c r="D291" s="194"/>
      <c r="E291" s="194"/>
      <c r="F291" s="194"/>
      <c r="G291" s="194"/>
      <c r="H291" s="194"/>
      <c r="I291" s="194"/>
      <c r="J291" s="194"/>
      <c r="K291" s="194"/>
      <c r="L291" s="194"/>
      <c r="M291" s="194"/>
      <c r="N291" s="155">
        <v>0</v>
      </c>
      <c r="O291" s="192">
        <v>0</v>
      </c>
      <c r="P291" s="156">
        <v>0</v>
      </c>
      <c r="Q291" s="192">
        <v>0</v>
      </c>
      <c r="R291" s="113"/>
      <c r="S291" s="116"/>
      <c r="T291" s="2"/>
    </row>
    <row r="292" spans="1:20" ht="15.6" x14ac:dyDescent="0.3">
      <c r="A292" s="122"/>
      <c r="B292" s="155"/>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13" t="s">
        <v>94</v>
      </c>
      <c r="C293" s="113"/>
      <c r="D293" s="194"/>
      <c r="E293" s="194"/>
      <c r="F293" s="194"/>
      <c r="G293" s="194"/>
      <c r="H293" s="194"/>
      <c r="I293" s="194"/>
      <c r="J293" s="194"/>
      <c r="K293" s="194"/>
      <c r="L293" s="194"/>
      <c r="M293" s="194"/>
      <c r="N293" s="155">
        <f>SUM(N284:N291)</f>
        <v>0</v>
      </c>
      <c r="O293" s="192">
        <f>SUM(O284:O291)</f>
        <v>0</v>
      </c>
      <c r="P293" s="156">
        <f>SUM(P284:P291)</f>
        <v>0</v>
      </c>
      <c r="Q293" s="192">
        <f>SUM(Q284:Q291)</f>
        <v>0</v>
      </c>
      <c r="R293" s="113"/>
      <c r="S293" s="116"/>
      <c r="T293" s="2"/>
    </row>
    <row r="294" spans="1:20" ht="15.6" x14ac:dyDescent="0.3">
      <c r="A294" s="122"/>
      <c r="B294" s="113"/>
      <c r="C294" s="113"/>
      <c r="D294" s="194"/>
      <c r="E294" s="194"/>
      <c r="F294" s="194"/>
      <c r="G294" s="194"/>
      <c r="H294" s="194"/>
      <c r="I294" s="194"/>
      <c r="J294" s="194"/>
      <c r="K294" s="194"/>
      <c r="L294" s="194"/>
      <c r="M294" s="194"/>
      <c r="N294" s="155"/>
      <c r="O294" s="192"/>
      <c r="P294" s="156"/>
      <c r="Q294" s="192"/>
      <c r="R294" s="113"/>
      <c r="S294" s="116"/>
      <c r="T294" s="2"/>
    </row>
    <row r="295" spans="1:20" ht="15.6" x14ac:dyDescent="0.3">
      <c r="A295" s="122"/>
      <c r="B295" s="124" t="s">
        <v>177</v>
      </c>
      <c r="C295" s="113"/>
      <c r="D295" s="194"/>
      <c r="E295" s="194"/>
      <c r="F295" s="194"/>
      <c r="G295" s="194"/>
      <c r="H295" s="194"/>
      <c r="I295" s="194"/>
      <c r="J295" s="194"/>
      <c r="K295" s="194"/>
      <c r="L295" s="194"/>
      <c r="M295" s="194"/>
      <c r="N295" s="196">
        <f>N293+N281+N269</f>
        <v>1874</v>
      </c>
      <c r="O295" s="192"/>
      <c r="P295" s="197">
        <f>+P293+P281+P269</f>
        <v>297065</v>
      </c>
      <c r="Q295" s="192"/>
      <c r="R295" s="113"/>
      <c r="S295" s="116"/>
      <c r="T295" s="2"/>
    </row>
    <row r="296" spans="1:20" ht="15.6" x14ac:dyDescent="0.3">
      <c r="A296" s="122"/>
      <c r="B296" s="124" t="s">
        <v>218</v>
      </c>
      <c r="C296" s="124"/>
      <c r="D296" s="205"/>
      <c r="E296" s="205"/>
      <c r="F296" s="205"/>
      <c r="G296" s="205"/>
      <c r="H296" s="205"/>
      <c r="I296" s="205"/>
      <c r="J296" s="205"/>
      <c r="K296" s="205"/>
      <c r="L296" s="205"/>
      <c r="M296" s="205"/>
      <c r="N296" s="196"/>
      <c r="O296" s="206"/>
      <c r="P296" s="207">
        <f>+R182</f>
        <v>1500</v>
      </c>
      <c r="Q296" s="192"/>
      <c r="R296" s="113"/>
      <c r="S296" s="116"/>
      <c r="T296" s="2"/>
    </row>
    <row r="297" spans="1:20" ht="15.6" x14ac:dyDescent="0.3">
      <c r="A297" s="122"/>
      <c r="B297" s="124" t="s">
        <v>126</v>
      </c>
      <c r="C297" s="124"/>
      <c r="D297" s="205"/>
      <c r="E297" s="205"/>
      <c r="F297" s="205"/>
      <c r="G297" s="205"/>
      <c r="H297" s="205"/>
      <c r="I297" s="205"/>
      <c r="J297" s="205"/>
      <c r="K297" s="205"/>
      <c r="L297" s="205"/>
      <c r="M297" s="205"/>
      <c r="N297" s="196"/>
      <c r="O297" s="206"/>
      <c r="P297" s="207">
        <f>+P295+P296</f>
        <v>298565</v>
      </c>
      <c r="Q297" s="192"/>
      <c r="R297" s="113"/>
      <c r="S297" s="116"/>
      <c r="T297" s="2"/>
    </row>
    <row r="298" spans="1:20" ht="15.6" x14ac:dyDescent="0.3">
      <c r="A298" s="122"/>
      <c r="B298" s="124" t="s">
        <v>176</v>
      </c>
      <c r="C298" s="113"/>
      <c r="D298" s="194"/>
      <c r="E298" s="194"/>
      <c r="F298" s="194"/>
      <c r="G298" s="194"/>
      <c r="H298" s="194"/>
      <c r="I298" s="194"/>
      <c r="J298" s="194"/>
      <c r="K298" s="194"/>
      <c r="L298" s="194"/>
      <c r="M298" s="194"/>
      <c r="N298" s="196"/>
      <c r="O298" s="192"/>
      <c r="P298" s="197">
        <f>+R80</f>
        <v>298565</v>
      </c>
      <c r="Q298" s="192"/>
      <c r="R298" s="113"/>
      <c r="S298" s="116"/>
      <c r="T298" s="2"/>
    </row>
    <row r="299" spans="1:20" ht="15.6" x14ac:dyDescent="0.3">
      <c r="A299" s="122"/>
      <c r="B299" s="124"/>
      <c r="C299" s="113"/>
      <c r="D299" s="194"/>
      <c r="E299" s="194"/>
      <c r="F299" s="194"/>
      <c r="G299" s="194"/>
      <c r="H299" s="194"/>
      <c r="I299" s="194"/>
      <c r="J299" s="194"/>
      <c r="K299" s="194"/>
      <c r="L299" s="194"/>
      <c r="M299" s="194"/>
      <c r="N299" s="196"/>
      <c r="O299" s="192"/>
      <c r="P299" s="197"/>
      <c r="Q299" s="192"/>
      <c r="R299" s="113"/>
      <c r="S299" s="116"/>
      <c r="T299" s="2"/>
    </row>
    <row r="300" spans="1:20" ht="15.6" x14ac:dyDescent="0.3">
      <c r="A300" s="122"/>
      <c r="B300" s="124" t="s">
        <v>202</v>
      </c>
      <c r="C300" s="113"/>
      <c r="D300" s="194"/>
      <c r="E300" s="194"/>
      <c r="F300" s="194"/>
      <c r="G300" s="194"/>
      <c r="H300" s="194"/>
      <c r="I300" s="194"/>
      <c r="J300" s="194"/>
      <c r="K300" s="194"/>
      <c r="L300" s="194"/>
      <c r="M300" s="194"/>
      <c r="N300" s="196"/>
      <c r="O300" s="192"/>
      <c r="P300" s="214">
        <f>(L33+R149)/R33</f>
        <v>5.0260398742113965E-2</v>
      </c>
      <c r="Q300" s="192"/>
      <c r="R300" s="113"/>
      <c r="S300" s="116"/>
      <c r="T300" s="2"/>
    </row>
    <row r="301" spans="1:20" ht="15.6" x14ac:dyDescent="0.3">
      <c r="A301" s="83"/>
      <c r="B301" s="84"/>
      <c r="C301" s="84"/>
      <c r="D301" s="85"/>
      <c r="E301" s="85"/>
      <c r="F301" s="85"/>
      <c r="G301" s="85"/>
      <c r="H301" s="85"/>
      <c r="I301" s="85"/>
      <c r="J301" s="85"/>
      <c r="K301" s="85"/>
      <c r="L301" s="85"/>
      <c r="M301" s="85"/>
      <c r="N301" s="85"/>
      <c r="O301" s="85"/>
      <c r="P301" s="86"/>
      <c r="Q301" s="85"/>
      <c r="R301" s="84"/>
      <c r="S301" s="218"/>
      <c r="T301" s="2"/>
    </row>
    <row r="302" spans="1:20" ht="15.6" x14ac:dyDescent="0.3">
      <c r="A302" s="87"/>
      <c r="B302" s="88" t="s">
        <v>75</v>
      </c>
      <c r="C302" s="84"/>
      <c r="D302" s="89" t="s">
        <v>79</v>
      </c>
      <c r="E302" s="88"/>
      <c r="F302" s="88" t="s">
        <v>80</v>
      </c>
      <c r="G302" s="84"/>
      <c r="H302" s="88"/>
      <c r="I302" s="90"/>
      <c r="J302" s="90"/>
      <c r="K302" s="90"/>
      <c r="L302" s="90"/>
      <c r="M302" s="90"/>
      <c r="N302" s="90"/>
      <c r="O302" s="90"/>
      <c r="P302" s="90"/>
      <c r="Q302" s="90"/>
      <c r="R302" s="90"/>
      <c r="S302" s="229"/>
      <c r="T302" s="2"/>
    </row>
    <row r="303" spans="1:20" ht="15.6" x14ac:dyDescent="0.3">
      <c r="A303" s="87"/>
      <c r="B303" s="90"/>
      <c r="C303" s="84"/>
      <c r="D303" s="84"/>
      <c r="E303" s="84"/>
      <c r="F303" s="84"/>
      <c r="G303" s="84"/>
      <c r="H303" s="84"/>
      <c r="I303" s="90"/>
      <c r="J303" s="90"/>
      <c r="K303" s="90"/>
      <c r="L303" s="90"/>
      <c r="M303" s="90"/>
      <c r="N303" s="90"/>
      <c r="O303" s="90"/>
      <c r="P303" s="90"/>
      <c r="Q303" s="90"/>
      <c r="R303" s="90"/>
      <c r="S303" s="229"/>
      <c r="T303" s="2"/>
    </row>
    <row r="304" spans="1:20" ht="15.6" x14ac:dyDescent="0.3">
      <c r="A304" s="87"/>
      <c r="B304" s="213" t="s">
        <v>192</v>
      </c>
      <c r="C304" s="88"/>
      <c r="D304" s="91" t="s">
        <v>115</v>
      </c>
      <c r="E304" s="88"/>
      <c r="F304" s="88" t="s">
        <v>116</v>
      </c>
      <c r="G304" s="88"/>
      <c r="H304" s="88"/>
      <c r="I304" s="90"/>
      <c r="J304" s="90"/>
      <c r="K304" s="90"/>
      <c r="L304" s="90"/>
      <c r="M304" s="90"/>
      <c r="N304" s="90"/>
      <c r="O304" s="90"/>
      <c r="P304" s="90"/>
      <c r="Q304" s="90"/>
      <c r="R304" s="90"/>
      <c r="S304" s="229"/>
      <c r="T304" s="2"/>
    </row>
    <row r="305" spans="1:20" ht="15.6" x14ac:dyDescent="0.3">
      <c r="A305" s="87"/>
      <c r="B305" s="213" t="s">
        <v>193</v>
      </c>
      <c r="C305" s="88"/>
      <c r="D305" s="91" t="s">
        <v>147</v>
      </c>
      <c r="E305" s="88"/>
      <c r="F305" s="88" t="s">
        <v>148</v>
      </c>
      <c r="G305" s="88"/>
      <c r="H305" s="88"/>
      <c r="I305" s="90"/>
      <c r="J305" s="90"/>
      <c r="K305" s="90"/>
      <c r="L305" s="90"/>
      <c r="M305" s="90"/>
      <c r="N305" s="90"/>
      <c r="O305" s="90"/>
      <c r="P305" s="90"/>
      <c r="Q305" s="90"/>
      <c r="R305" s="90"/>
      <c r="S305" s="229"/>
      <c r="T305" s="2"/>
    </row>
    <row r="306" spans="1:20" ht="15.6" x14ac:dyDescent="0.3">
      <c r="A306" s="87"/>
      <c r="B306" s="213" t="s">
        <v>194</v>
      </c>
      <c r="C306" s="88"/>
      <c r="D306" s="91" t="s">
        <v>114</v>
      </c>
      <c r="E306" s="88"/>
      <c r="F306" s="88" t="s">
        <v>117</v>
      </c>
      <c r="G306" s="88"/>
      <c r="H306" s="88"/>
      <c r="I306" s="90"/>
      <c r="J306" s="90"/>
      <c r="K306" s="90"/>
      <c r="L306" s="90"/>
      <c r="M306" s="90"/>
      <c r="N306" s="90"/>
      <c r="O306" s="90"/>
      <c r="P306" s="90"/>
      <c r="Q306" s="90"/>
      <c r="R306" s="90"/>
      <c r="S306" s="229"/>
      <c r="T306" s="2"/>
    </row>
    <row r="307" spans="1:20" ht="15.6" x14ac:dyDescent="0.3">
      <c r="A307" s="87"/>
      <c r="B307" s="88"/>
      <c r="C307" s="88"/>
      <c r="D307" s="90"/>
      <c r="E307" s="90"/>
      <c r="F307" s="90"/>
      <c r="G307" s="90"/>
      <c r="H307" s="90"/>
      <c r="I307" s="90"/>
      <c r="J307" s="90"/>
      <c r="K307" s="90"/>
      <c r="L307" s="90"/>
      <c r="M307" s="90"/>
      <c r="N307" s="90"/>
      <c r="O307" s="90"/>
      <c r="P307" s="90"/>
      <c r="Q307" s="90"/>
      <c r="R307" s="90"/>
      <c r="S307" s="229"/>
      <c r="T307" s="2"/>
    </row>
    <row r="308" spans="1:20" ht="15.6" x14ac:dyDescent="0.3">
      <c r="A308" s="87"/>
      <c r="B308" s="88"/>
      <c r="C308" s="88"/>
      <c r="D308" s="90"/>
      <c r="E308" s="90"/>
      <c r="F308" s="90"/>
      <c r="G308" s="90"/>
      <c r="H308" s="90"/>
      <c r="I308" s="90"/>
      <c r="J308" s="90"/>
      <c r="K308" s="90"/>
      <c r="L308" s="90"/>
      <c r="M308" s="90"/>
      <c r="N308" s="90"/>
      <c r="O308" s="90"/>
      <c r="P308" s="90"/>
      <c r="Q308" s="90"/>
      <c r="R308" s="90"/>
      <c r="S308" s="229"/>
      <c r="T308" s="2"/>
    </row>
    <row r="309" spans="1:20" ht="18" thickBot="1" x14ac:dyDescent="0.35">
      <c r="A309" s="87"/>
      <c r="B309" s="92" t="str">
        <f>B207</f>
        <v>PM23 INVESTOR REPORT QUARTER ENDING SEPTEMBER 2015</v>
      </c>
      <c r="C309" s="88"/>
      <c r="D309" s="90"/>
      <c r="E309" s="90"/>
      <c r="F309" s="90"/>
      <c r="G309" s="90"/>
      <c r="H309" s="90"/>
      <c r="I309" s="90"/>
      <c r="J309" s="90"/>
      <c r="K309" s="90"/>
      <c r="L309" s="90"/>
      <c r="M309" s="90"/>
      <c r="N309" s="90"/>
      <c r="O309" s="90"/>
      <c r="P309" s="90"/>
      <c r="Q309" s="90"/>
      <c r="R309" s="90"/>
      <c r="S309" s="99"/>
      <c r="T309" s="2"/>
    </row>
    <row r="310" spans="1:20" x14ac:dyDescent="0.25">
      <c r="A310" s="3"/>
      <c r="B310" s="3"/>
      <c r="C310" s="3"/>
      <c r="D310" s="3"/>
      <c r="E310" s="3"/>
      <c r="F310" s="3"/>
      <c r="G310" s="3"/>
      <c r="H310" s="3"/>
      <c r="I310" s="3"/>
      <c r="J310" s="3"/>
      <c r="K310" s="3"/>
      <c r="L310" s="3"/>
      <c r="M310" s="3"/>
      <c r="N310" s="3"/>
      <c r="O310" s="3"/>
      <c r="P310" s="3"/>
      <c r="Q310" s="3"/>
      <c r="R310" s="3"/>
      <c r="S310" s="3"/>
    </row>
  </sheetData>
  <phoneticPr fontId="0" type="noConversion"/>
  <hyperlinks>
    <hyperlink ref="N245" r:id="rId1" xr:uid="{00000000-0004-0000-0000-000000000000}"/>
    <hyperlink ref="K9" r:id="rId2" xr:uid="{00000000-0004-0000-00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4" max="18" man="1"/>
    <brk id="207"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43123</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178</v>
      </c>
      <c r="I25" s="295"/>
      <c r="J25" s="295" t="s">
        <v>235</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200</v>
      </c>
      <c r="I26" s="295"/>
      <c r="J26" s="295" t="s">
        <v>201</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32733.949500000002</v>
      </c>
      <c r="E29" s="308"/>
      <c r="F29" s="309">
        <f>F28*F35</f>
        <v>58796.408340000002</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23975.248500000002</v>
      </c>
      <c r="E30" s="313"/>
      <c r="F30" s="313">
        <f t="shared" ref="F30" si="0">F28*F34</f>
        <v>43064.113019999997</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22858.896315600003</v>
      </c>
      <c r="E32" s="309"/>
      <c r="F32" s="309">
        <f>F31*F35</f>
        <v>58796.408340000002</v>
      </c>
      <c r="G32" s="309"/>
      <c r="H32" s="309">
        <f>H31</f>
        <v>14800</v>
      </c>
      <c r="I32" s="309"/>
      <c r="J32" s="309">
        <f>J31</f>
        <v>15800</v>
      </c>
      <c r="K32" s="309"/>
      <c r="L32" s="309">
        <f>L31</f>
        <v>7505</v>
      </c>
      <c r="M32" s="304"/>
      <c r="N32" s="314"/>
      <c r="O32" s="304"/>
      <c r="P32" s="304"/>
      <c r="Q32" s="303"/>
      <c r="R32" s="304">
        <f>SUM(D32:L32)</f>
        <v>119760.3046556</v>
      </c>
      <c r="S32" s="305"/>
      <c r="T32" s="274"/>
    </row>
    <row r="33" spans="1:20" s="275" customFormat="1" x14ac:dyDescent="0.3">
      <c r="A33" s="301"/>
      <c r="B33" s="298" t="s">
        <v>226</v>
      </c>
      <c r="C33" s="303"/>
      <c r="D33" s="313">
        <f>D31*D34</f>
        <v>16742.486866800002</v>
      </c>
      <c r="E33" s="313"/>
      <c r="F33" s="313">
        <f t="shared" ref="F33:L33" si="4">F31*F34</f>
        <v>43064.113019999997</v>
      </c>
      <c r="G33" s="313"/>
      <c r="H33" s="313">
        <f t="shared" si="4"/>
        <v>14800</v>
      </c>
      <c r="I33" s="313"/>
      <c r="J33" s="313">
        <f t="shared" si="4"/>
        <v>15800</v>
      </c>
      <c r="K33" s="313"/>
      <c r="L33" s="313">
        <f t="shared" si="4"/>
        <v>7505</v>
      </c>
      <c r="M33" s="311"/>
      <c r="N33" s="314"/>
      <c r="O33" s="304"/>
      <c r="P33" s="304"/>
      <c r="Q33" s="303"/>
      <c r="R33" s="311">
        <f>SUM(D33:L33)</f>
        <v>97911.599886800002</v>
      </c>
      <c r="S33" s="305"/>
      <c r="T33" s="274"/>
    </row>
    <row r="34" spans="1:20" s="325" customFormat="1" x14ac:dyDescent="0.3">
      <c r="A34" s="315"/>
      <c r="B34" s="316" t="s">
        <v>103</v>
      </c>
      <c r="C34" s="317"/>
      <c r="D34" s="318">
        <v>0.2283357</v>
      </c>
      <c r="E34" s="318"/>
      <c r="F34" s="318">
        <v>0.2283357</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0.31175190000000003</v>
      </c>
      <c r="E35" s="326"/>
      <c r="F35" s="326">
        <v>0.31175190000000003</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3.7100000000000002E-3</v>
      </c>
      <c r="E37" s="330"/>
      <c r="F37" s="330">
        <v>1.47875E-2</v>
      </c>
      <c r="G37" s="330"/>
      <c r="H37" s="330">
        <v>2.02875E-2</v>
      </c>
      <c r="I37" s="330"/>
      <c r="J37" s="330">
        <v>2.5787500000000001E-2</v>
      </c>
      <c r="K37" s="330"/>
      <c r="L37" s="330">
        <v>2.9287500000000001E-2</v>
      </c>
      <c r="M37" s="329"/>
      <c r="N37" s="330"/>
      <c r="O37" s="302"/>
      <c r="P37" s="302"/>
      <c r="Q37" s="294"/>
      <c r="R37" s="329"/>
      <c r="S37" s="297"/>
      <c r="T37" s="274"/>
    </row>
    <row r="38" spans="1:20" s="275" customFormat="1" x14ac:dyDescent="0.3">
      <c r="A38" s="301"/>
      <c r="B38" s="294" t="s">
        <v>10</v>
      </c>
      <c r="C38" s="331"/>
      <c r="D38" s="330">
        <v>3.6900000000000001E-3</v>
      </c>
      <c r="E38" s="330"/>
      <c r="F38" s="330">
        <v>1.39469E-2</v>
      </c>
      <c r="G38" s="330"/>
      <c r="H38" s="330">
        <v>1.94469E-2</v>
      </c>
      <c r="I38" s="330"/>
      <c r="J38" s="330">
        <v>2.4946900000000001E-2</v>
      </c>
      <c r="K38" s="330"/>
      <c r="L38" s="330">
        <v>2.8446900000000001E-2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1.64025E-2</v>
      </c>
      <c r="E40" s="330"/>
      <c r="F40" s="330">
        <f>+F37</f>
        <v>1.47875E-2</v>
      </c>
      <c r="G40" s="330"/>
      <c r="H40" s="330">
        <f>+H37</f>
        <v>2.02875E-2</v>
      </c>
      <c r="I40" s="330"/>
      <c r="J40" s="330">
        <f>+J37</f>
        <v>2.5787500000000001E-2</v>
      </c>
      <c r="K40" s="330"/>
      <c r="L40" s="330">
        <f>+L37</f>
        <v>2.9287500000000001E-2</v>
      </c>
      <c r="M40" s="329"/>
      <c r="N40" s="330"/>
      <c r="O40" s="302"/>
      <c r="P40" s="302"/>
      <c r="Q40" s="294"/>
      <c r="R40" s="329">
        <f>SUMPRODUCT(D40:L40,D32:L32)/R32</f>
        <v>1.8135350681431496E-2</v>
      </c>
      <c r="S40" s="297"/>
      <c r="T40" s="274"/>
    </row>
    <row r="41" spans="1:20" s="275" customFormat="1" x14ac:dyDescent="0.3">
      <c r="A41" s="301"/>
      <c r="B41" s="294" t="s">
        <v>232</v>
      </c>
      <c r="C41" s="331"/>
      <c r="D41" s="330">
        <v>1.55619E-2</v>
      </c>
      <c r="E41" s="330"/>
      <c r="F41" s="330">
        <f>+F38</f>
        <v>1.39469E-2</v>
      </c>
      <c r="G41" s="330"/>
      <c r="H41" s="330">
        <f>+H38</f>
        <v>1.94469E-2</v>
      </c>
      <c r="I41" s="330"/>
      <c r="J41" s="330">
        <f>+J38</f>
        <v>2.4946900000000001E-2</v>
      </c>
      <c r="K41" s="330"/>
      <c r="L41" s="330">
        <f>+L38</f>
        <v>2.8446900000000001E-2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0.63713703959302004</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43115</v>
      </c>
      <c r="S52" s="297"/>
      <c r="T52" s="274"/>
    </row>
    <row r="53" spans="1:21" s="275" customFormat="1" x14ac:dyDescent="0.3">
      <c r="A53" s="301"/>
      <c r="B53" s="294" t="s">
        <v>99</v>
      </c>
      <c r="C53" s="294"/>
      <c r="D53" s="339"/>
      <c r="E53" s="339"/>
      <c r="F53" s="339"/>
      <c r="G53" s="339"/>
      <c r="H53" s="339"/>
      <c r="I53" s="339"/>
      <c r="J53" s="339"/>
      <c r="K53" s="339"/>
      <c r="L53" s="339"/>
      <c r="M53" s="339"/>
      <c r="N53" s="294">
        <f>+R53-P53+1</f>
        <v>91</v>
      </c>
      <c r="O53" s="294"/>
      <c r="P53" s="340">
        <v>42933</v>
      </c>
      <c r="Q53" s="341"/>
      <c r="R53" s="340">
        <v>43023</v>
      </c>
      <c r="S53" s="297"/>
      <c r="T53" s="274"/>
    </row>
    <row r="54" spans="1:21" s="275" customFormat="1" x14ac:dyDescent="0.3">
      <c r="A54" s="301"/>
      <c r="B54" s="294" t="s">
        <v>100</v>
      </c>
      <c r="C54" s="294"/>
      <c r="D54" s="294"/>
      <c r="E54" s="294"/>
      <c r="F54" s="294"/>
      <c r="G54" s="294"/>
      <c r="H54" s="294"/>
      <c r="I54" s="294"/>
      <c r="J54" s="294"/>
      <c r="K54" s="294"/>
      <c r="L54" s="294"/>
      <c r="M54" s="294"/>
      <c r="N54" s="294">
        <f>+R54-P54+1</f>
        <v>91</v>
      </c>
      <c r="O54" s="294"/>
      <c r="P54" s="340">
        <v>43024</v>
      </c>
      <c r="Q54" s="341"/>
      <c r="R54" s="340">
        <v>43114</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43102</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292</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119760</v>
      </c>
      <c r="I64" s="362"/>
      <c r="J64" s="363">
        <v>84</v>
      </c>
      <c r="K64" s="362"/>
      <c r="L64" s="362">
        <v>15917</v>
      </c>
      <c r="M64" s="362"/>
      <c r="N64" s="362">
        <v>0</v>
      </c>
      <c r="O64" s="362"/>
      <c r="P64" s="362">
        <f>611+1482+3754</f>
        <v>5847</v>
      </c>
      <c r="Q64" s="362"/>
      <c r="R64" s="363">
        <f>H64-J64-L64+N64-P64</f>
        <v>97912</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119760</v>
      </c>
      <c r="I67" s="362"/>
      <c r="J67" s="362">
        <f>J64+J65</f>
        <v>84</v>
      </c>
      <c r="K67" s="362"/>
      <c r="L67" s="362">
        <f>SUM(L64:L66)</f>
        <v>15917</v>
      </c>
      <c r="M67" s="362"/>
      <c r="N67" s="362">
        <f>SUM(N64:N66)</f>
        <v>0</v>
      </c>
      <c r="O67" s="362"/>
      <c r="P67" s="362">
        <f>SUM(P64:P66)</f>
        <v>5847</v>
      </c>
      <c r="Q67" s="362"/>
      <c r="R67" s="362">
        <f>SUM(R64:R66)</f>
        <v>97912</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119760</v>
      </c>
      <c r="I80" s="362"/>
      <c r="J80" s="362"/>
      <c r="K80" s="362"/>
      <c r="L80" s="362"/>
      <c r="M80" s="362"/>
      <c r="N80" s="362"/>
      <c r="O80" s="362"/>
      <c r="P80" s="362"/>
      <c r="Q80" s="362"/>
      <c r="R80" s="362">
        <f>SUM(R67:R79)</f>
        <v>97912</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43098</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21848</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1524-299-3</f>
        <v>1222</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60</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27</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117</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21848</v>
      </c>
      <c r="Q97" s="294"/>
      <c r="R97" s="362">
        <f>SUM(R84:R96)</f>
        <v>1426</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21848</v>
      </c>
      <c r="Q100" s="294"/>
      <c r="R100" s="362">
        <f>R97+R98+R99</f>
        <v>1426</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-45-19-2</f>
        <v>-66</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-62</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-93</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f>-217</f>
        <v>-217</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-75</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-102</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-55</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-45</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-15-159</f>
        <v>-174</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-514</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-6116</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-15732</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-21848</v>
      </c>
      <c r="Q128" s="362"/>
      <c r="R128" s="362">
        <f>SUM(R101:R127)</f>
        <v>-1426</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DECEMBER 2017</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5240.8350028299992</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2260.1649971700003</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'Sept 17'!R173</f>
        <v>1044</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117</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927</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97912</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97912</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97912</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+'Sept 17'!O189</f>
        <v>1034</v>
      </c>
      <c r="P187" s="363">
        <f>+'Sept 17'!P189</f>
        <v>557</v>
      </c>
      <c r="Q187" s="294"/>
      <c r="R187" s="363">
        <f>O187+P187</f>
        <v>1591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1034</v>
      </c>
      <c r="P189" s="363">
        <f>P188+P187</f>
        <v>557</v>
      </c>
      <c r="Q189" s="294"/>
      <c r="R189" s="363">
        <f>O189+P189</f>
        <v>1591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22411.32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4.17741935483871</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2.95</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13.133333333333333</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22.61</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8.9215686274509807</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16.079999999999998</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14.327272727272728</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27.77</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DECEMBER 2017</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43098</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4.37875E-2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4.6190000000000002E-2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1.8135350681431496E-2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2.8054649318568506E-2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1.1907147628590515E-2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18.14</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0.1824315297261189</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0.36349999999999999</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1</v>
      </c>
      <c r="P227" s="441">
        <f>+P279</f>
        <v>110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5847</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'Sept 17'!P233+P232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650</v>
      </c>
      <c r="O246" s="471">
        <f>N246/$N$255</f>
        <v>0.99693251533742333</v>
      </c>
      <c r="P246" s="374">
        <f>+P258+P270+P282</f>
        <v>97742</v>
      </c>
      <c r="Q246" s="471">
        <f t="shared" ref="Q246:Q253" si="5">P246/$P$255</f>
        <v>0.99826374703815668</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1</v>
      </c>
      <c r="O247" s="475">
        <f t="shared" ref="O247:O253" si="7">N247/$N$255</f>
        <v>1.5337423312883436E-3</v>
      </c>
      <c r="P247" s="476">
        <f t="shared" ref="P247:P253" si="8">+P259+P271+P283</f>
        <v>60</v>
      </c>
      <c r="Q247" s="477">
        <f t="shared" si="5"/>
        <v>6.1279516300351332E-4</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0</v>
      </c>
      <c r="O248" s="479">
        <f t="shared" si="7"/>
        <v>0</v>
      </c>
      <c r="P248" s="401">
        <f t="shared" si="8"/>
        <v>0</v>
      </c>
      <c r="Q248" s="477">
        <f t="shared" si="5"/>
        <v>0</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1</v>
      </c>
      <c r="O251" s="479">
        <f t="shared" si="7"/>
        <v>1.5337423312883436E-3</v>
      </c>
      <c r="P251" s="401">
        <f t="shared" si="8"/>
        <v>110</v>
      </c>
      <c r="Q251" s="477">
        <f t="shared" si="5"/>
        <v>1.1234577988397745E-3</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0</v>
      </c>
      <c r="O252" s="481">
        <f t="shared" si="7"/>
        <v>0</v>
      </c>
      <c r="P252" s="482">
        <f t="shared" si="8"/>
        <v>0</v>
      </c>
      <c r="Q252" s="477">
        <f t="shared" si="5"/>
        <v>0</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652</v>
      </c>
      <c r="O255" s="477">
        <f>SUM(O246:O254)</f>
        <v>1</v>
      </c>
      <c r="P255" s="363">
        <f>SUM(P246:P254)</f>
        <v>97912</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650</v>
      </c>
      <c r="O258" s="471">
        <f>N258/$N$267</f>
        <v>0.99846390168970811</v>
      </c>
      <c r="P258" s="374">
        <v>97742</v>
      </c>
      <c r="Q258" s="471">
        <f>P258/$P$267</f>
        <v>0.9993865156131776</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1</v>
      </c>
      <c r="O259" s="477">
        <f t="shared" ref="O259:O265" si="9">N259/$N$267</f>
        <v>1.5360983102918587E-3</v>
      </c>
      <c r="P259" s="363">
        <v>60</v>
      </c>
      <c r="Q259" s="477">
        <f t="shared" ref="Q259:Q265" si="10">P259/$P$267</f>
        <v>6.1348438682235537E-4</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0</v>
      </c>
      <c r="O260" s="477">
        <f t="shared" si="9"/>
        <v>0</v>
      </c>
      <c r="P260" s="363">
        <v>0</v>
      </c>
      <c r="Q260" s="477">
        <f t="shared" si="10"/>
        <v>0</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651</v>
      </c>
      <c r="O267" s="477">
        <f>SUM(O258:O266)</f>
        <v>1</v>
      </c>
      <c r="P267" s="363">
        <f>SUM(P258:P266)</f>
        <v>97802</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1</v>
      </c>
      <c r="O275" s="477">
        <v>1</v>
      </c>
      <c r="P275" s="363">
        <v>110</v>
      </c>
      <c r="Q275" s="477">
        <v>1</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1</v>
      </c>
      <c r="O279" s="477">
        <f>SUM(O270:O278)</f>
        <v>1</v>
      </c>
      <c r="P279" s="363">
        <f>SUM(P270:P278)</f>
        <v>110</v>
      </c>
      <c r="Q279" s="477">
        <f>SUM(Q270:Q278)</f>
        <v>1</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652</v>
      </c>
      <c r="O293" s="477"/>
      <c r="P293" s="490">
        <f>+P291+P279+P267</f>
        <v>97912</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97912</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97912</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0.15326069656045974</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DECEMBER 2017</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900-000000000000}"/>
    <hyperlink ref="K9" r:id="rId2" display="http://www.paragon-group.co.uk" xr:uid="{00000000-0004-0000-09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43210</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178</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294</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23975.248500000002</v>
      </c>
      <c r="E29" s="308"/>
      <c r="F29" s="309">
        <f>F28*F35</f>
        <v>43064.113019999997</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19033.192500000001</v>
      </c>
      <c r="E30" s="313"/>
      <c r="F30" s="313">
        <f t="shared" ref="F30" si="0">F28*F34</f>
        <v>34187.239099999999</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16742.486866800002</v>
      </c>
      <c r="E32" s="309"/>
      <c r="F32" s="309">
        <f>F31*F35</f>
        <v>43064.113019999997</v>
      </c>
      <c r="G32" s="309"/>
      <c r="H32" s="309">
        <f>H31</f>
        <v>14800</v>
      </c>
      <c r="I32" s="309"/>
      <c r="J32" s="309">
        <f>J31</f>
        <v>15800</v>
      </c>
      <c r="K32" s="309"/>
      <c r="L32" s="309">
        <f>L31</f>
        <v>7505</v>
      </c>
      <c r="M32" s="304"/>
      <c r="N32" s="314"/>
      <c r="O32" s="304"/>
      <c r="P32" s="304"/>
      <c r="Q32" s="303"/>
      <c r="R32" s="304">
        <f>SUM(D32:L32)</f>
        <v>97911.599886800002</v>
      </c>
      <c r="S32" s="305"/>
      <c r="T32" s="274"/>
    </row>
    <row r="33" spans="1:20" s="275" customFormat="1" x14ac:dyDescent="0.3">
      <c r="A33" s="301"/>
      <c r="B33" s="298" t="s">
        <v>226</v>
      </c>
      <c r="C33" s="303"/>
      <c r="D33" s="313">
        <f>D31*D34</f>
        <v>13291.331494</v>
      </c>
      <c r="E33" s="313"/>
      <c r="F33" s="313">
        <f t="shared" ref="F33:L33" si="4">F31*F34</f>
        <v>34187.239099999999</v>
      </c>
      <c r="G33" s="313"/>
      <c r="H33" s="313">
        <f t="shared" si="4"/>
        <v>14800</v>
      </c>
      <c r="I33" s="313"/>
      <c r="J33" s="313">
        <f t="shared" si="4"/>
        <v>15800</v>
      </c>
      <c r="K33" s="313"/>
      <c r="L33" s="313">
        <f t="shared" si="4"/>
        <v>7505</v>
      </c>
      <c r="M33" s="311"/>
      <c r="N33" s="314"/>
      <c r="O33" s="304"/>
      <c r="P33" s="304"/>
      <c r="Q33" s="303"/>
      <c r="R33" s="311">
        <f>SUM(D33:L33)</f>
        <v>85583.57059399999</v>
      </c>
      <c r="S33" s="305"/>
      <c r="T33" s="274"/>
    </row>
    <row r="34" spans="1:20" s="325" customFormat="1" x14ac:dyDescent="0.3">
      <c r="A34" s="315"/>
      <c r="B34" s="316" t="s">
        <v>103</v>
      </c>
      <c r="C34" s="317"/>
      <c r="D34" s="318">
        <v>0.1812685</v>
      </c>
      <c r="E34" s="318"/>
      <c r="F34" s="318">
        <v>0.1812685</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0.2283357</v>
      </c>
      <c r="E35" s="326"/>
      <c r="F35" s="326">
        <v>0.2283357</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3.7100000000000002E-3</v>
      </c>
      <c r="E37" s="330"/>
      <c r="F37" s="330">
        <v>1.6212500000000001E-2</v>
      </c>
      <c r="G37" s="330"/>
      <c r="H37" s="330">
        <v>2.1712499999999999E-2</v>
      </c>
      <c r="I37" s="330"/>
      <c r="J37" s="330">
        <v>2.7212500000000001E-2</v>
      </c>
      <c r="K37" s="330"/>
      <c r="L37" s="330">
        <v>3.07125E-2</v>
      </c>
      <c r="M37" s="329"/>
      <c r="N37" s="330"/>
      <c r="O37" s="302"/>
      <c r="P37" s="302"/>
      <c r="Q37" s="294"/>
      <c r="R37" s="329"/>
      <c r="S37" s="297"/>
      <c r="T37" s="274"/>
    </row>
    <row r="38" spans="1:20" s="275" customFormat="1" x14ac:dyDescent="0.3">
      <c r="A38" s="301"/>
      <c r="B38" s="294" t="s">
        <v>10</v>
      </c>
      <c r="C38" s="331"/>
      <c r="D38" s="330">
        <v>3.7100000000000002E-3</v>
      </c>
      <c r="E38" s="330"/>
      <c r="F38" s="330">
        <v>1.47875E-2</v>
      </c>
      <c r="G38" s="330"/>
      <c r="H38" s="330">
        <v>2.02875E-2</v>
      </c>
      <c r="I38" s="330"/>
      <c r="J38" s="330">
        <v>2.5787500000000001E-2</v>
      </c>
      <c r="K38" s="330"/>
      <c r="L38" s="330">
        <v>2.9287500000000001E-2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1.78275E-2</v>
      </c>
      <c r="E40" s="330"/>
      <c r="F40" s="330">
        <f>+F37</f>
        <v>1.6212500000000001E-2</v>
      </c>
      <c r="G40" s="330"/>
      <c r="H40" s="330">
        <f>+H37</f>
        <v>2.1712499999999999E-2</v>
      </c>
      <c r="I40" s="330"/>
      <c r="J40" s="330">
        <f>+J37</f>
        <v>2.7212500000000001E-2</v>
      </c>
      <c r="K40" s="330"/>
      <c r="L40" s="330">
        <f>+L37</f>
        <v>3.07125E-2</v>
      </c>
      <c r="M40" s="329"/>
      <c r="N40" s="330"/>
      <c r="O40" s="302"/>
      <c r="P40" s="302"/>
      <c r="Q40" s="294"/>
      <c r="R40" s="329">
        <f>SUMPRODUCT(D40:L40,D32:L32)/R32</f>
        <v>2.0206527436401875E-2</v>
      </c>
      <c r="S40" s="297"/>
      <c r="T40" s="274"/>
    </row>
    <row r="41" spans="1:20" s="275" customFormat="1" x14ac:dyDescent="0.3">
      <c r="A41" s="301"/>
      <c r="B41" s="294" t="s">
        <v>232</v>
      </c>
      <c r="C41" s="331"/>
      <c r="D41" s="330">
        <v>1.64025E-2</v>
      </c>
      <c r="E41" s="330"/>
      <c r="F41" s="330">
        <f>+F38</f>
        <v>1.47875E-2</v>
      </c>
      <c r="G41" s="330"/>
      <c r="H41" s="330">
        <f>+H38</f>
        <v>2.02875E-2</v>
      </c>
      <c r="I41" s="330"/>
      <c r="J41" s="330">
        <f>+J38</f>
        <v>2.5787500000000001E-2</v>
      </c>
      <c r="K41" s="330"/>
      <c r="L41" s="330">
        <f>+L38</f>
        <v>2.9287500000000001E-2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0.80257260324546165</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43206</v>
      </c>
      <c r="S52" s="297"/>
      <c r="T52" s="274"/>
    </row>
    <row r="53" spans="1:21" s="275" customFormat="1" x14ac:dyDescent="0.3">
      <c r="A53" s="301"/>
      <c r="B53" s="294" t="s">
        <v>99</v>
      </c>
      <c r="C53" s="294"/>
      <c r="D53" s="339"/>
      <c r="E53" s="339"/>
      <c r="F53" s="339"/>
      <c r="G53" s="339"/>
      <c r="H53" s="339"/>
      <c r="I53" s="339"/>
      <c r="J53" s="339"/>
      <c r="K53" s="339"/>
      <c r="L53" s="339"/>
      <c r="M53" s="339"/>
      <c r="N53" s="294">
        <f>+R53-P53+1</f>
        <v>91</v>
      </c>
      <c r="O53" s="294"/>
      <c r="P53" s="340">
        <v>43024</v>
      </c>
      <c r="Q53" s="341"/>
      <c r="R53" s="340">
        <v>43114</v>
      </c>
      <c r="S53" s="297"/>
      <c r="T53" s="274"/>
    </row>
    <row r="54" spans="1:21" s="275" customFormat="1" x14ac:dyDescent="0.3">
      <c r="A54" s="301"/>
      <c r="B54" s="294" t="s">
        <v>100</v>
      </c>
      <c r="C54" s="294"/>
      <c r="D54" s="294"/>
      <c r="E54" s="294"/>
      <c r="F54" s="294"/>
      <c r="G54" s="294"/>
      <c r="H54" s="294"/>
      <c r="I54" s="294"/>
      <c r="J54" s="294"/>
      <c r="K54" s="294"/>
      <c r="L54" s="294"/>
      <c r="M54" s="294"/>
      <c r="N54" s="294">
        <f>+R54-P54+1</f>
        <v>91</v>
      </c>
      <c r="O54" s="294"/>
      <c r="P54" s="340">
        <v>43115</v>
      </c>
      <c r="Q54" s="341"/>
      <c r="R54" s="340">
        <v>43205</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43193</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293</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97912</v>
      </c>
      <c r="I64" s="362"/>
      <c r="J64" s="363">
        <v>72</v>
      </c>
      <c r="K64" s="362"/>
      <c r="L64" s="362">
        <v>10041</v>
      </c>
      <c r="M64" s="362"/>
      <c r="N64" s="362">
        <v>0</v>
      </c>
      <c r="O64" s="362"/>
      <c r="P64" s="362">
        <f>1776+439</f>
        <v>2215</v>
      </c>
      <c r="Q64" s="362"/>
      <c r="R64" s="363">
        <f>H64-J64-L64+N64-P64</f>
        <v>85584</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97912</v>
      </c>
      <c r="I67" s="362"/>
      <c r="J67" s="362">
        <f>J64+J65</f>
        <v>72</v>
      </c>
      <c r="K67" s="362"/>
      <c r="L67" s="362">
        <f>SUM(L64:L66)</f>
        <v>10041</v>
      </c>
      <c r="M67" s="362"/>
      <c r="N67" s="362">
        <f>SUM(N64:N66)</f>
        <v>0</v>
      </c>
      <c r="O67" s="362"/>
      <c r="P67" s="362">
        <f>SUM(P64:P66)</f>
        <v>2215</v>
      </c>
      <c r="Q67" s="362"/>
      <c r="R67" s="362">
        <f>SUM(R64:R66)</f>
        <v>85584</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97912</v>
      </c>
      <c r="I80" s="362"/>
      <c r="J80" s="362"/>
      <c r="K80" s="362"/>
      <c r="L80" s="362"/>
      <c r="M80" s="362"/>
      <c r="N80" s="362"/>
      <c r="O80" s="362"/>
      <c r="P80" s="362"/>
      <c r="Q80" s="362"/>
      <c r="R80" s="362">
        <f>SUM(R67:R79)</f>
        <v>85584</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43188</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12328</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1137-91</f>
        <v>1046</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51</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20</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116</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12328</v>
      </c>
      <c r="Q97" s="294"/>
      <c r="R97" s="362">
        <f>SUM(R84:R96)</f>
        <v>1233</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12328</v>
      </c>
      <c r="Q100" s="294"/>
      <c r="R100" s="362">
        <f>R97+R98+R99</f>
        <v>1233</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-36-9-2</f>
        <v>-47</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-45</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-74</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-174</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-80</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-107</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-57</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-36</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-14-159</f>
        <v>-173</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-417</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-3451</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-8877</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-12328</v>
      </c>
      <c r="Q128" s="362"/>
      <c r="R128" s="362">
        <f>SUM(R101:R127)</f>
        <v>-1233</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MARCH 2018</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5549.0357351500006</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1951.9642648499998</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'Dec 17'!R173</f>
        <v>927</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116</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811</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85584</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85584</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85584</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+'Dec 17'!O189</f>
        <v>1034</v>
      </c>
      <c r="P187" s="363">
        <f>+'Dec 17'!P189</f>
        <v>557</v>
      </c>
      <c r="Q187" s="294"/>
      <c r="R187" s="363">
        <f>O187+P187</f>
        <v>1591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1034</v>
      </c>
      <c r="P189" s="363">
        <f>P188+P187</f>
        <v>557</v>
      </c>
      <c r="Q189" s="294"/>
      <c r="R189" s="363">
        <f>O189+P189</f>
        <v>1591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22411.32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4.588709677419355</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2.99</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11.125</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21.54</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7.5700934579439254</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15.29</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11.982456140350877</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26.32</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MARCH 2018</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43188</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4.5212500000000003E-2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4.657E-2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2.0206527436401875E-2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2.6363472563598125E-2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1.2592940599722199E-2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17.760000000000002</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0.12590897949178856</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0.36849999999999999</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1</v>
      </c>
      <c r="P227" s="441">
        <f>+P279</f>
        <v>110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2215</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'Dec 17'!P233+P232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571</v>
      </c>
      <c r="O246" s="471">
        <f>N246/$N$255</f>
        <v>0.99825174825174823</v>
      </c>
      <c r="P246" s="374">
        <f>+P258+P270+P282</f>
        <v>85474</v>
      </c>
      <c r="Q246" s="471">
        <f t="shared" ref="Q246:Q253" si="5">P246/$P$255</f>
        <v>0.99871471303047299</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0</v>
      </c>
      <c r="O247" s="475">
        <f t="shared" ref="O247:O253" si="7">N247/$N$255</f>
        <v>0</v>
      </c>
      <c r="P247" s="476">
        <f t="shared" ref="P247:P253" si="8">+P259+P271+P283</f>
        <v>0</v>
      </c>
      <c r="Q247" s="477">
        <f t="shared" si="5"/>
        <v>0</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0</v>
      </c>
      <c r="O248" s="479">
        <f t="shared" si="7"/>
        <v>0</v>
      </c>
      <c r="P248" s="401">
        <f t="shared" si="8"/>
        <v>0</v>
      </c>
      <c r="Q248" s="477">
        <f t="shared" si="5"/>
        <v>0</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0</v>
      </c>
      <c r="O251" s="479">
        <f t="shared" si="7"/>
        <v>0</v>
      </c>
      <c r="P251" s="401">
        <f t="shared" si="8"/>
        <v>0</v>
      </c>
      <c r="Q251" s="477">
        <f t="shared" si="5"/>
        <v>0</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1</v>
      </c>
      <c r="O252" s="481">
        <f t="shared" si="7"/>
        <v>1.7482517482517483E-3</v>
      </c>
      <c r="P252" s="482">
        <f t="shared" si="8"/>
        <v>110</v>
      </c>
      <c r="Q252" s="477">
        <f t="shared" si="5"/>
        <v>1.2852869695270143E-3</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572</v>
      </c>
      <c r="O255" s="477">
        <f>SUM(O246:O254)</f>
        <v>1</v>
      </c>
      <c r="P255" s="363">
        <f>SUM(P246:P254)</f>
        <v>85584</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571</v>
      </c>
      <c r="O258" s="471">
        <f>N258/$N$267</f>
        <v>1</v>
      </c>
      <c r="P258" s="374">
        <v>85474</v>
      </c>
      <c r="Q258" s="471">
        <f>P258/$P$267</f>
        <v>1</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0</v>
      </c>
      <c r="O259" s="477">
        <f t="shared" ref="O259:O265" si="9">N259/$N$267</f>
        <v>0</v>
      </c>
      <c r="P259" s="363">
        <v>0</v>
      </c>
      <c r="Q259" s="477">
        <f t="shared" ref="Q259:Q265" si="10">P259/$P$267</f>
        <v>0</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0</v>
      </c>
      <c r="O260" s="477">
        <f t="shared" si="9"/>
        <v>0</v>
      </c>
      <c r="P260" s="363">
        <v>0</v>
      </c>
      <c r="Q260" s="477">
        <f t="shared" si="10"/>
        <v>0</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571</v>
      </c>
      <c r="O267" s="477">
        <f>SUM(O258:O266)</f>
        <v>1</v>
      </c>
      <c r="P267" s="363">
        <f>SUM(P258:P266)</f>
        <v>85474</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1</v>
      </c>
      <c r="O276" s="477">
        <v>1</v>
      </c>
      <c r="P276" s="363">
        <v>110</v>
      </c>
      <c r="Q276" s="477">
        <v>1</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1</v>
      </c>
      <c r="O279" s="477">
        <f>SUM(O270:O278)</f>
        <v>1</v>
      </c>
      <c r="P279" s="363">
        <f>SUM(P270:P278)</f>
        <v>110</v>
      </c>
      <c r="Q279" s="477">
        <f>SUM(Q270:Q278)</f>
        <v>1</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572</v>
      </c>
      <c r="O293" s="477"/>
      <c r="P293" s="490">
        <f>+P291+P279+P267</f>
        <v>85584</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85584</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85584</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0.17533739122882572</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MARCH 2018</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A00-000000000000}"/>
    <hyperlink ref="K9" r:id="rId2" display="http://www.paragon-group.co.uk" xr:uid="{00000000-0004-0000-0A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43300</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178</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294</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19033.192500000001</v>
      </c>
      <c r="E29" s="308"/>
      <c r="F29" s="309">
        <f>F28*F35</f>
        <v>34187.239099999999</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14077.413</v>
      </c>
      <c r="E30" s="313"/>
      <c r="F30" s="313">
        <f t="shared" ref="F30" si="0">F28*F34</f>
        <v>25285.715160000003</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13291.331494</v>
      </c>
      <c r="E32" s="309"/>
      <c r="F32" s="309">
        <f>F31*F35</f>
        <v>34187.239099999999</v>
      </c>
      <c r="G32" s="309"/>
      <c r="H32" s="309">
        <f>H31</f>
        <v>14800</v>
      </c>
      <c r="I32" s="309"/>
      <c r="J32" s="309">
        <f>J31</f>
        <v>15800</v>
      </c>
      <c r="K32" s="309"/>
      <c r="L32" s="309">
        <f>L31</f>
        <v>7505</v>
      </c>
      <c r="M32" s="304"/>
      <c r="N32" s="314"/>
      <c r="O32" s="304"/>
      <c r="P32" s="304"/>
      <c r="Q32" s="303"/>
      <c r="R32" s="304">
        <f>SUM(D32:L32)</f>
        <v>85583.57059399999</v>
      </c>
      <c r="S32" s="305"/>
      <c r="T32" s="274"/>
    </row>
    <row r="33" spans="1:20" s="275" customFormat="1" x14ac:dyDescent="0.3">
      <c r="A33" s="301"/>
      <c r="B33" s="298" t="s">
        <v>226</v>
      </c>
      <c r="C33" s="303"/>
      <c r="D33" s="313">
        <f>D31*D34</f>
        <v>9830.5926744000008</v>
      </c>
      <c r="E33" s="313"/>
      <c r="F33" s="313">
        <f t="shared" ref="F33:L33" si="4">F31*F34</f>
        <v>25285.715160000003</v>
      </c>
      <c r="G33" s="313"/>
      <c r="H33" s="313">
        <f t="shared" si="4"/>
        <v>14800</v>
      </c>
      <c r="I33" s="313"/>
      <c r="J33" s="313">
        <f t="shared" si="4"/>
        <v>15800</v>
      </c>
      <c r="K33" s="313"/>
      <c r="L33" s="313">
        <f t="shared" si="4"/>
        <v>7505</v>
      </c>
      <c r="M33" s="311"/>
      <c r="N33" s="314"/>
      <c r="O33" s="304"/>
      <c r="P33" s="304"/>
      <c r="Q33" s="303"/>
      <c r="R33" s="311">
        <f>SUM(D33:L33)</f>
        <v>73221.30783440001</v>
      </c>
      <c r="S33" s="305"/>
      <c r="T33" s="274"/>
    </row>
    <row r="34" spans="1:20" s="325" customFormat="1" x14ac:dyDescent="0.3">
      <c r="A34" s="315"/>
      <c r="B34" s="316" t="s">
        <v>103</v>
      </c>
      <c r="C34" s="317"/>
      <c r="D34" s="318">
        <v>0.13407060000000001</v>
      </c>
      <c r="E34" s="318"/>
      <c r="F34" s="318">
        <v>0.13407060000000001</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0.1812685</v>
      </c>
      <c r="E35" s="326"/>
      <c r="F35" s="326">
        <v>0.1812685</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3.7100000000000002E-3</v>
      </c>
      <c r="E37" s="330"/>
      <c r="F37" s="330">
        <v>1.8858799999999998E-2</v>
      </c>
      <c r="G37" s="330"/>
      <c r="H37" s="330">
        <v>2.43588E-2</v>
      </c>
      <c r="I37" s="330"/>
      <c r="J37" s="330">
        <v>2.9858800000000001E-2</v>
      </c>
      <c r="K37" s="330"/>
      <c r="L37" s="330">
        <v>3.3358800000000001E-2</v>
      </c>
      <c r="M37" s="329"/>
      <c r="N37" s="330"/>
      <c r="O37" s="302"/>
      <c r="P37" s="302"/>
      <c r="Q37" s="294"/>
      <c r="R37" s="329"/>
      <c r="S37" s="297"/>
      <c r="T37" s="274"/>
    </row>
    <row r="38" spans="1:20" s="275" customFormat="1" x14ac:dyDescent="0.3">
      <c r="A38" s="301"/>
      <c r="B38" s="294" t="s">
        <v>10</v>
      </c>
      <c r="C38" s="331"/>
      <c r="D38" s="330">
        <v>3.7100000000000002E-3</v>
      </c>
      <c r="E38" s="330"/>
      <c r="F38" s="330">
        <v>1.6212500000000001E-2</v>
      </c>
      <c r="G38" s="330"/>
      <c r="H38" s="330">
        <v>2.1712499999999999E-2</v>
      </c>
      <c r="I38" s="330"/>
      <c r="J38" s="330">
        <v>2.7212500000000001E-2</v>
      </c>
      <c r="K38" s="330"/>
      <c r="L38" s="330">
        <v>3.07125E-2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2.04738E-2</v>
      </c>
      <c r="E40" s="330"/>
      <c r="F40" s="330">
        <f>+F37</f>
        <v>1.8858799999999998E-2</v>
      </c>
      <c r="G40" s="330"/>
      <c r="H40" s="330">
        <f>+H37</f>
        <v>2.43588E-2</v>
      </c>
      <c r="I40" s="330"/>
      <c r="J40" s="330">
        <f>+J37</f>
        <v>2.9858800000000001E-2</v>
      </c>
      <c r="K40" s="330"/>
      <c r="L40" s="330">
        <f>+L37</f>
        <v>3.3358800000000001E-2</v>
      </c>
      <c r="M40" s="329"/>
      <c r="N40" s="330"/>
      <c r="O40" s="302"/>
      <c r="P40" s="302"/>
      <c r="Q40" s="294"/>
      <c r="R40" s="329">
        <f>SUMPRODUCT(D40:L40,D32:L32)/R32</f>
        <v>2.3363028997309861E-2</v>
      </c>
      <c r="S40" s="297"/>
      <c r="T40" s="274"/>
    </row>
    <row r="41" spans="1:20" s="275" customFormat="1" x14ac:dyDescent="0.3">
      <c r="A41" s="301"/>
      <c r="B41" s="294" t="s">
        <v>232</v>
      </c>
      <c r="C41" s="331"/>
      <c r="D41" s="330">
        <v>1.78275E-2</v>
      </c>
      <c r="E41" s="330"/>
      <c r="F41" s="330">
        <f>+F38</f>
        <v>1.6212500000000001E-2</v>
      </c>
      <c r="G41" s="330"/>
      <c r="H41" s="330">
        <f>+H38</f>
        <v>2.1712499999999999E-2</v>
      </c>
      <c r="I41" s="330"/>
      <c r="J41" s="330">
        <f>+J38</f>
        <v>2.7212500000000001E-2</v>
      </c>
      <c r="K41" s="330"/>
      <c r="L41" s="330">
        <f>+L38</f>
        <v>3.07125E-2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1.0851083826834513</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43297</v>
      </c>
      <c r="S52" s="297"/>
      <c r="T52" s="274"/>
    </row>
    <row r="53" spans="1:21" s="275" customFormat="1" x14ac:dyDescent="0.3">
      <c r="A53" s="301"/>
      <c r="B53" s="294" t="s">
        <v>99</v>
      </c>
      <c r="C53" s="294"/>
      <c r="D53" s="339"/>
      <c r="E53" s="339"/>
      <c r="F53" s="339"/>
      <c r="G53" s="339"/>
      <c r="H53" s="339"/>
      <c r="I53" s="339"/>
      <c r="J53" s="339"/>
      <c r="K53" s="339"/>
      <c r="L53" s="339"/>
      <c r="M53" s="339"/>
      <c r="N53" s="294">
        <f>+R53-P53+1</f>
        <v>91</v>
      </c>
      <c r="O53" s="294"/>
      <c r="P53" s="340">
        <v>43115</v>
      </c>
      <c r="Q53" s="341"/>
      <c r="R53" s="340">
        <v>43205</v>
      </c>
      <c r="S53" s="297"/>
      <c r="T53" s="274"/>
    </row>
    <row r="54" spans="1:21" s="275" customFormat="1" x14ac:dyDescent="0.3">
      <c r="A54" s="301"/>
      <c r="B54" s="294" t="s">
        <v>100</v>
      </c>
      <c r="C54" s="294"/>
      <c r="D54" s="294"/>
      <c r="E54" s="294"/>
      <c r="F54" s="294"/>
      <c r="G54" s="294"/>
      <c r="H54" s="294"/>
      <c r="I54" s="294"/>
      <c r="J54" s="294"/>
      <c r="K54" s="294"/>
      <c r="L54" s="294"/>
      <c r="M54" s="294"/>
      <c r="N54" s="294">
        <f>+R54-P54+1</f>
        <v>91</v>
      </c>
      <c r="O54" s="294"/>
      <c r="P54" s="340">
        <v>43206</v>
      </c>
      <c r="Q54" s="341"/>
      <c r="R54" s="340">
        <v>43296</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43282</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295</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85584</v>
      </c>
      <c r="I64" s="362"/>
      <c r="J64" s="363">
        <v>59</v>
      </c>
      <c r="K64" s="362"/>
      <c r="L64" s="362">
        <v>7726</v>
      </c>
      <c r="M64" s="362"/>
      <c r="N64" s="362">
        <v>0</v>
      </c>
      <c r="O64" s="362"/>
      <c r="P64" s="362">
        <f>640+1999+1939</f>
        <v>4578</v>
      </c>
      <c r="Q64" s="362"/>
      <c r="R64" s="363">
        <f>H64-J64-L64+N64-P64</f>
        <v>73221</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85584</v>
      </c>
      <c r="I67" s="362"/>
      <c r="J67" s="362">
        <f>J64+J65</f>
        <v>59</v>
      </c>
      <c r="K67" s="362"/>
      <c r="L67" s="362">
        <f>SUM(L64:L66)</f>
        <v>7726</v>
      </c>
      <c r="M67" s="362"/>
      <c r="N67" s="362">
        <f>SUM(N64:N66)</f>
        <v>0</v>
      </c>
      <c r="O67" s="362"/>
      <c r="P67" s="362">
        <f>SUM(P64:P66)</f>
        <v>4578</v>
      </c>
      <c r="Q67" s="362"/>
      <c r="R67" s="362">
        <f>SUM(R64:R66)</f>
        <v>73221</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85584</v>
      </c>
      <c r="I80" s="362"/>
      <c r="J80" s="362"/>
      <c r="K80" s="362"/>
      <c r="L80" s="362"/>
      <c r="M80" s="362"/>
      <c r="N80" s="362"/>
      <c r="O80" s="362"/>
      <c r="P80" s="362"/>
      <c r="Q80" s="362"/>
      <c r="R80" s="362">
        <f>SUM(R67:R79)</f>
        <v>73221</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43280</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12363</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1024-112</f>
        <v>912</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60</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19</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116</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12363</v>
      </c>
      <c r="Q97" s="294"/>
      <c r="R97" s="362">
        <f>SUM(R84:R96)</f>
        <v>1107</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12363</v>
      </c>
      <c r="Q100" s="294"/>
      <c r="R100" s="362">
        <f>R97+R98+R99</f>
        <v>1107</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-32-7-2</f>
        <v>-41</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-16</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-68</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-160</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-90</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-118</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-62</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-32</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-13-160</f>
        <v>-173</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-324</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-3461</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-8902</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-12363</v>
      </c>
      <c r="Q128" s="362"/>
      <c r="R128" s="362">
        <f>SUM(R101:R127)</f>
        <v>-1107</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JUNE 2018</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5858.0923041400001</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1642.9076958600003</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+'March 18'!R173</f>
        <v>811</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116</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695</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73221</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73221</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73221</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+'March 18'!O189</f>
        <v>1034</v>
      </c>
      <c r="P187" s="363">
        <f>+'March 18'!P189</f>
        <v>557</v>
      </c>
      <c r="Q187" s="294"/>
      <c r="R187" s="363">
        <f>O187+P187</f>
        <v>1591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1034</v>
      </c>
      <c r="P189" s="363">
        <f>P188+P187</f>
        <v>557</v>
      </c>
      <c r="Q189" s="294"/>
      <c r="R189" s="363">
        <f>O189+P189</f>
        <v>1591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22411.32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4.5921052631578947</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3.03</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9.1</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20.36</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6.1779661016949152</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14.44</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9.5322580645161299</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24.79</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JUNE 2018</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43280</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4.78588E-2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4.7039999999999998E-2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2.3363028997309861E-2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2.3676971002690138E-2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1.2934660684240045E-2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17.41</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0.14445457094784073</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0.37719999999999998</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1</v>
      </c>
      <c r="P227" s="441">
        <f>+P279</f>
        <v>109</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4578</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'March 18'!P233+P232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491</v>
      </c>
      <c r="O246" s="471">
        <f>N246/$N$255</f>
        <v>0.99392712550607287</v>
      </c>
      <c r="P246" s="374">
        <f>+P258+P270+P282</f>
        <v>72958</v>
      </c>
      <c r="Q246" s="471">
        <f t="shared" ref="Q246:Q253" si="5">P246/$P$255</f>
        <v>0.99640813427841735</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1</v>
      </c>
      <c r="O247" s="475">
        <f t="shared" ref="O247:O253" si="7">N247/$N$255</f>
        <v>2.0242914979757085E-3</v>
      </c>
      <c r="P247" s="476">
        <f t="shared" ref="P247:P253" si="8">+P259+P271+P283</f>
        <v>96</v>
      </c>
      <c r="Q247" s="477">
        <f t="shared" si="5"/>
        <v>1.3110992747982137E-3</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1</v>
      </c>
      <c r="O248" s="479">
        <f t="shared" si="7"/>
        <v>2.0242914979757085E-3</v>
      </c>
      <c r="P248" s="401">
        <f t="shared" si="8"/>
        <v>58</v>
      </c>
      <c r="Q248" s="477">
        <f t="shared" si="5"/>
        <v>7.9212247852392071E-4</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0</v>
      </c>
      <c r="O251" s="479">
        <f t="shared" si="7"/>
        <v>0</v>
      </c>
      <c r="P251" s="401">
        <f t="shared" si="8"/>
        <v>0</v>
      </c>
      <c r="Q251" s="477">
        <f t="shared" si="5"/>
        <v>0</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1</v>
      </c>
      <c r="O252" s="481">
        <f t="shared" si="7"/>
        <v>2.0242914979757085E-3</v>
      </c>
      <c r="P252" s="482">
        <f t="shared" si="8"/>
        <v>109</v>
      </c>
      <c r="Q252" s="477">
        <f t="shared" si="5"/>
        <v>1.4886439682604718E-3</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494</v>
      </c>
      <c r="O255" s="477">
        <f>SUM(O246:O254)</f>
        <v>0.99999999999999989</v>
      </c>
      <c r="P255" s="363">
        <f>SUM(P246:P254)</f>
        <v>73221</v>
      </c>
      <c r="Q255" s="477">
        <f>SUM(Q246:Q254)</f>
        <v>0.99999999999999989</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491</v>
      </c>
      <c r="O258" s="471">
        <f>N258/$N$267</f>
        <v>0.99594320486815413</v>
      </c>
      <c r="P258" s="374">
        <v>72958</v>
      </c>
      <c r="Q258" s="471">
        <f>P258/$P$267</f>
        <v>0.99789364263048475</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1</v>
      </c>
      <c r="O259" s="477">
        <f t="shared" ref="O259:O265" si="9">N259/$N$267</f>
        <v>2.0283975659229209E-3</v>
      </c>
      <c r="P259" s="363">
        <v>96</v>
      </c>
      <c r="Q259" s="477">
        <f t="shared" ref="Q259:Q265" si="10">P259/$P$267</f>
        <v>1.3130539446328921E-3</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1</v>
      </c>
      <c r="O260" s="477">
        <f t="shared" si="9"/>
        <v>2.0283975659229209E-3</v>
      </c>
      <c r="P260" s="363">
        <v>58</v>
      </c>
      <c r="Q260" s="477">
        <f t="shared" si="10"/>
        <v>7.9330342488237221E-4</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493</v>
      </c>
      <c r="O267" s="477">
        <f>SUM(O258:O266)</f>
        <v>0.99999999999999989</v>
      </c>
      <c r="P267" s="363">
        <f>SUM(P258:P266)</f>
        <v>73112</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1</v>
      </c>
      <c r="O276" s="477">
        <v>1</v>
      </c>
      <c r="P276" s="363">
        <v>109</v>
      </c>
      <c r="Q276" s="477">
        <v>1</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1</v>
      </c>
      <c r="O279" s="477">
        <f>SUM(O270:O278)</f>
        <v>1</v>
      </c>
      <c r="P279" s="363">
        <f>SUM(P270:P278)</f>
        <v>109</v>
      </c>
      <c r="Q279" s="477">
        <f>SUM(Q270:Q278)</f>
        <v>1</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494</v>
      </c>
      <c r="O293" s="477"/>
      <c r="P293" s="490">
        <f>+P291+P279+P267</f>
        <v>73221</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73221</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73221</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0.20494034378541995</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JUNE 2018</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B00-000000000000}"/>
    <hyperlink ref="K9" r:id="rId2" display="http://www.paragon-group.co.uk" xr:uid="{00000000-0004-0000-0B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43391</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178</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294</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14077.413</v>
      </c>
      <c r="E29" s="308"/>
      <c r="F29" s="309">
        <f>F28*F35</f>
        <v>25285.715160000003</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12480.6255</v>
      </c>
      <c r="E30" s="313"/>
      <c r="F30" s="313">
        <f t="shared" ref="F30" si="0">F28*F34</f>
        <v>22417.58066</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9830.5926744000008</v>
      </c>
      <c r="E32" s="309"/>
      <c r="F32" s="309">
        <f>F31*F35</f>
        <v>25285.715160000003</v>
      </c>
      <c r="G32" s="309"/>
      <c r="H32" s="309">
        <f>H31</f>
        <v>14800</v>
      </c>
      <c r="I32" s="309"/>
      <c r="J32" s="309">
        <f>J31</f>
        <v>15800</v>
      </c>
      <c r="K32" s="309"/>
      <c r="L32" s="309">
        <f>L31</f>
        <v>7505</v>
      </c>
      <c r="M32" s="304"/>
      <c r="N32" s="314"/>
      <c r="O32" s="304"/>
      <c r="P32" s="304"/>
      <c r="Q32" s="303"/>
      <c r="R32" s="304">
        <f>SUM(D32:L32)</f>
        <v>73221.30783440001</v>
      </c>
      <c r="S32" s="305"/>
      <c r="T32" s="274"/>
    </row>
    <row r="33" spans="1:20" s="275" customFormat="1" x14ac:dyDescent="0.3">
      <c r="A33" s="301"/>
      <c r="B33" s="298" t="s">
        <v>226</v>
      </c>
      <c r="C33" s="303"/>
      <c r="D33" s="313">
        <f>D31*D34</f>
        <v>8715.5179444000005</v>
      </c>
      <c r="E33" s="313"/>
      <c r="F33" s="313">
        <f t="shared" ref="F33:L33" si="4">F31*F34</f>
        <v>22417.58066</v>
      </c>
      <c r="G33" s="313"/>
      <c r="H33" s="313">
        <f t="shared" si="4"/>
        <v>14800</v>
      </c>
      <c r="I33" s="313"/>
      <c r="J33" s="313">
        <f t="shared" si="4"/>
        <v>15800</v>
      </c>
      <c r="K33" s="313"/>
      <c r="L33" s="313">
        <f t="shared" si="4"/>
        <v>7505</v>
      </c>
      <c r="M33" s="311"/>
      <c r="N33" s="314"/>
      <c r="O33" s="304"/>
      <c r="P33" s="304"/>
      <c r="Q33" s="303"/>
      <c r="R33" s="311">
        <f>SUM(D33:L33)</f>
        <v>69238.098604400002</v>
      </c>
      <c r="S33" s="305"/>
      <c r="T33" s="274"/>
    </row>
    <row r="34" spans="1:20" s="325" customFormat="1" x14ac:dyDescent="0.3">
      <c r="A34" s="315"/>
      <c r="B34" s="316" t="s">
        <v>103</v>
      </c>
      <c r="C34" s="317"/>
      <c r="D34" s="318">
        <v>0.1188631</v>
      </c>
      <c r="E34" s="318"/>
      <c r="F34" s="318">
        <v>0.1188631</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0.13407060000000001</v>
      </c>
      <c r="E35" s="326"/>
      <c r="F35" s="326">
        <v>0.13407060000000001</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3.79E-3</v>
      </c>
      <c r="E37" s="330"/>
      <c r="F37" s="330">
        <v>1.8530600000000001E-2</v>
      </c>
      <c r="G37" s="330"/>
      <c r="H37" s="330">
        <v>2.4030599999999999E-2</v>
      </c>
      <c r="I37" s="330"/>
      <c r="J37" s="330">
        <v>2.9530600000000001E-2</v>
      </c>
      <c r="K37" s="330"/>
      <c r="L37" s="330">
        <v>3.30306E-2</v>
      </c>
      <c r="M37" s="329"/>
      <c r="N37" s="330"/>
      <c r="O37" s="302"/>
      <c r="P37" s="302"/>
      <c r="Q37" s="294"/>
      <c r="R37" s="329"/>
      <c r="S37" s="297"/>
      <c r="T37" s="274"/>
    </row>
    <row r="38" spans="1:20" s="275" customFormat="1" x14ac:dyDescent="0.3">
      <c r="A38" s="301"/>
      <c r="B38" s="294" t="s">
        <v>10</v>
      </c>
      <c r="C38" s="331"/>
      <c r="D38" s="330">
        <v>3.7100000000000002E-3</v>
      </c>
      <c r="E38" s="330"/>
      <c r="F38" s="330">
        <v>1.8858799999999998E-2</v>
      </c>
      <c r="G38" s="330"/>
      <c r="H38" s="330">
        <v>2.43588E-2</v>
      </c>
      <c r="I38" s="330"/>
      <c r="J38" s="330">
        <v>2.9858800000000001E-2</v>
      </c>
      <c r="K38" s="330"/>
      <c r="L38" s="330">
        <v>3.3358800000000001E-2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2.01456E-2</v>
      </c>
      <c r="E40" s="330"/>
      <c r="F40" s="330">
        <f>+F37</f>
        <v>1.8530600000000001E-2</v>
      </c>
      <c r="G40" s="330"/>
      <c r="H40" s="330">
        <f>+H37</f>
        <v>2.4030599999999999E-2</v>
      </c>
      <c r="I40" s="330"/>
      <c r="J40" s="330">
        <f>+J37</f>
        <v>2.9530600000000001E-2</v>
      </c>
      <c r="K40" s="330"/>
      <c r="L40" s="330">
        <f>+L37</f>
        <v>3.30306E-2</v>
      </c>
      <c r="M40" s="329"/>
      <c r="N40" s="330"/>
      <c r="O40" s="302"/>
      <c r="P40" s="302"/>
      <c r="Q40" s="294"/>
      <c r="R40" s="329">
        <f>SUMPRODUCT(D40:L40,D32:L32)/R32</f>
        <v>2.371896549639825E-2</v>
      </c>
      <c r="S40" s="297"/>
      <c r="T40" s="274"/>
    </row>
    <row r="41" spans="1:20" s="275" customFormat="1" x14ac:dyDescent="0.3">
      <c r="A41" s="301"/>
      <c r="B41" s="294" t="s">
        <v>232</v>
      </c>
      <c r="C41" s="331"/>
      <c r="D41" s="330">
        <v>2.04738E-2</v>
      </c>
      <c r="E41" s="330"/>
      <c r="F41" s="330">
        <f>+F38</f>
        <v>1.8858799999999998E-2</v>
      </c>
      <c r="G41" s="330"/>
      <c r="H41" s="330">
        <f>+H38</f>
        <v>2.43588E-2</v>
      </c>
      <c r="I41" s="330"/>
      <c r="J41" s="330">
        <f>+J38</f>
        <v>2.9858800000000001E-2</v>
      </c>
      <c r="K41" s="330"/>
      <c r="L41" s="330">
        <f>+L38</f>
        <v>3.3358800000000001E-2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1.2239385640404796</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43388</v>
      </c>
      <c r="S52" s="297"/>
      <c r="T52" s="274"/>
    </row>
    <row r="53" spans="1:21" s="275" customFormat="1" x14ac:dyDescent="0.3">
      <c r="A53" s="301"/>
      <c r="B53" s="294" t="s">
        <v>99</v>
      </c>
      <c r="C53" s="294"/>
      <c r="D53" s="339"/>
      <c r="E53" s="339"/>
      <c r="F53" s="339"/>
      <c r="G53" s="339"/>
      <c r="H53" s="339"/>
      <c r="I53" s="339"/>
      <c r="J53" s="339"/>
      <c r="K53" s="339"/>
      <c r="L53" s="339"/>
      <c r="M53" s="339"/>
      <c r="N53" s="294">
        <f>+R53-P53+1</f>
        <v>91</v>
      </c>
      <c r="O53" s="294"/>
      <c r="P53" s="340">
        <v>43206</v>
      </c>
      <c r="Q53" s="341"/>
      <c r="R53" s="340">
        <v>43296</v>
      </c>
      <c r="S53" s="297"/>
      <c r="T53" s="274"/>
    </row>
    <row r="54" spans="1:21" s="275" customFormat="1" x14ac:dyDescent="0.3">
      <c r="A54" s="301"/>
      <c r="B54" s="294" t="s">
        <v>100</v>
      </c>
      <c r="C54" s="294"/>
      <c r="D54" s="294"/>
      <c r="E54" s="294"/>
      <c r="F54" s="294"/>
      <c r="G54" s="294"/>
      <c r="H54" s="294"/>
      <c r="I54" s="294"/>
      <c r="J54" s="294"/>
      <c r="K54" s="294"/>
      <c r="L54" s="294"/>
      <c r="M54" s="294"/>
      <c r="N54" s="294">
        <f>+R54-P54+1</f>
        <v>92</v>
      </c>
      <c r="O54" s="294"/>
      <c r="P54" s="340">
        <v>43297</v>
      </c>
      <c r="Q54" s="341"/>
      <c r="R54" s="340">
        <v>43388</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43374</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296</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73221</v>
      </c>
      <c r="I64" s="362"/>
      <c r="J64" s="363">
        <v>54</v>
      </c>
      <c r="K64" s="362"/>
      <c r="L64" s="362">
        <v>2660</v>
      </c>
      <c r="M64" s="362"/>
      <c r="N64" s="362">
        <v>50</v>
      </c>
      <c r="O64" s="362"/>
      <c r="P64" s="362">
        <f>895+424</f>
        <v>1319</v>
      </c>
      <c r="Q64" s="362"/>
      <c r="R64" s="363">
        <f>H64-J64-L64+N64-P64</f>
        <v>69238</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73221</v>
      </c>
      <c r="I67" s="362"/>
      <c r="J67" s="362">
        <f>J64+J65</f>
        <v>54</v>
      </c>
      <c r="K67" s="362"/>
      <c r="L67" s="362">
        <f>SUM(L64:L66)</f>
        <v>2660</v>
      </c>
      <c r="M67" s="362"/>
      <c r="N67" s="362">
        <f>SUM(N64:N66)</f>
        <v>50</v>
      </c>
      <c r="O67" s="362"/>
      <c r="P67" s="362">
        <f>SUM(P64:P66)</f>
        <v>1319</v>
      </c>
      <c r="Q67" s="362"/>
      <c r="R67" s="362">
        <f>SUM(R64:R66)</f>
        <v>69238</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73221</v>
      </c>
      <c r="I80" s="362"/>
      <c r="J80" s="362"/>
      <c r="K80" s="362"/>
      <c r="L80" s="362"/>
      <c r="M80" s="362"/>
      <c r="N80" s="362"/>
      <c r="O80" s="362"/>
      <c r="P80" s="362"/>
      <c r="Q80" s="362"/>
      <c r="R80" s="362">
        <f>SUM(R67:R79)</f>
        <v>69238</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43371</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4033</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1157-332</f>
        <v>825</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20</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20</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116</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4033</v>
      </c>
      <c r="Q97" s="294"/>
      <c r="R97" s="362">
        <f>SUM(R84:R96)</f>
        <v>981</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4033</v>
      </c>
      <c r="Q100" s="294"/>
      <c r="R100" s="362">
        <f>R97+R98+R99</f>
        <v>981</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-28-6-2</f>
        <v>-36</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-18</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-49</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-117</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-89</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-116</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-62</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-27</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-11-160</f>
        <v>-171</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-273</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-50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-1115</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-2868</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-4033</v>
      </c>
      <c r="Q128" s="362"/>
      <c r="R128" s="362">
        <f>SUM(R101:R127)</f>
        <v>-981</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SEPTEMBER 2018</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5957.67253489</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1543.32746511</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+'June 18'!R173</f>
        <v>695</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116</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579</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69238</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69238</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69238</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+'June 18'!O189</f>
        <v>1034</v>
      </c>
      <c r="P187" s="363">
        <f>+'June 18'!P189</f>
        <v>557</v>
      </c>
      <c r="Q187" s="294"/>
      <c r="R187" s="363">
        <f>O187+P187</f>
        <v>1591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50</v>
      </c>
      <c r="P188" s="362">
        <v>0</v>
      </c>
      <c r="Q188" s="294"/>
      <c r="R188" s="363">
        <f>O188+P188</f>
        <v>50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1084</v>
      </c>
      <c r="P189" s="363">
        <f>P188+P187</f>
        <v>557</v>
      </c>
      <c r="Q189" s="294"/>
      <c r="R189" s="363">
        <f>O189+P189</f>
        <v>1641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22361.32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5.5662650602409638</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3.08</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8.5168539325842705</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19.34</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5.7672413793103452</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13.72</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8.5967741935483879</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23.43</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SEPTEMBER 2018</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43371</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4.7530599999999999E-2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4.6190000000000002E-2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2.371896549639825E-2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2.2471034503601751E-2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1.3397795714344246E-2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17.239999999999998</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5.5079826825637453E-2</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0.36520000000000002</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0</v>
      </c>
      <c r="P227" s="441">
        <f>+P279</f>
        <v>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1319</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'June 18'!P233+P232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1</v>
      </c>
      <c r="P239" s="441">
        <v>110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11.22</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467</v>
      </c>
      <c r="O246" s="471">
        <f>N246/$N$255</f>
        <v>0.99786324786324787</v>
      </c>
      <c r="P246" s="374">
        <f>+P258+P270+P282</f>
        <v>69180</v>
      </c>
      <c r="Q246" s="471">
        <f t="shared" ref="Q246:Q253" si="5">P246/$P$255</f>
        <v>0.99916230971431874</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0</v>
      </c>
      <c r="O247" s="475">
        <f t="shared" ref="O247:O253" si="7">N247/$N$255</f>
        <v>0</v>
      </c>
      <c r="P247" s="476">
        <f t="shared" ref="P247:P253" si="8">+P259+P271+P283</f>
        <v>0</v>
      </c>
      <c r="Q247" s="477">
        <f t="shared" si="5"/>
        <v>0</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0</v>
      </c>
      <c r="O248" s="479">
        <f t="shared" si="7"/>
        <v>0</v>
      </c>
      <c r="P248" s="401">
        <f t="shared" si="8"/>
        <v>0</v>
      </c>
      <c r="Q248" s="477">
        <f t="shared" si="5"/>
        <v>0</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1</v>
      </c>
      <c r="O250" s="479">
        <f t="shared" si="7"/>
        <v>2.136752136752137E-3</v>
      </c>
      <c r="P250" s="401">
        <f t="shared" si="8"/>
        <v>58</v>
      </c>
      <c r="Q250" s="477">
        <f t="shared" si="5"/>
        <v>8.3769028568127333E-4</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0</v>
      </c>
      <c r="O251" s="479">
        <f t="shared" si="7"/>
        <v>0</v>
      </c>
      <c r="P251" s="401">
        <f t="shared" si="8"/>
        <v>0</v>
      </c>
      <c r="Q251" s="477">
        <f t="shared" si="5"/>
        <v>0</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0</v>
      </c>
      <c r="O252" s="481">
        <f t="shared" si="7"/>
        <v>0</v>
      </c>
      <c r="P252" s="482">
        <f t="shared" si="8"/>
        <v>0</v>
      </c>
      <c r="Q252" s="477">
        <f t="shared" si="5"/>
        <v>0</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468</v>
      </c>
      <c r="O255" s="477">
        <f>SUM(O246:O254)</f>
        <v>1</v>
      </c>
      <c r="P255" s="363">
        <f>SUM(P246:P254)</f>
        <v>69238</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467</v>
      </c>
      <c r="O258" s="471">
        <f>N258/$N$267</f>
        <v>0.99786324786324787</v>
      </c>
      <c r="P258" s="374">
        <v>69180</v>
      </c>
      <c r="Q258" s="471">
        <f>P258/$P$267</f>
        <v>0.99916230971431874</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0</v>
      </c>
      <c r="O259" s="477">
        <f t="shared" ref="O259:O265" si="9">N259/$N$267</f>
        <v>0</v>
      </c>
      <c r="P259" s="363">
        <v>0</v>
      </c>
      <c r="Q259" s="477">
        <f t="shared" ref="Q259:Q265" si="10">P259/$P$267</f>
        <v>0</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0</v>
      </c>
      <c r="O260" s="477">
        <f t="shared" si="9"/>
        <v>0</v>
      </c>
      <c r="P260" s="363">
        <v>0</v>
      </c>
      <c r="Q260" s="477">
        <f t="shared" si="10"/>
        <v>0</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1</v>
      </c>
      <c r="O262" s="477">
        <f t="shared" si="9"/>
        <v>2.136752136752137E-3</v>
      </c>
      <c r="P262" s="363">
        <v>58</v>
      </c>
      <c r="Q262" s="477">
        <f t="shared" si="10"/>
        <v>8.3769028568127333E-4</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468</v>
      </c>
      <c r="O267" s="477">
        <f>SUM(O258:O266)</f>
        <v>1</v>
      </c>
      <c r="P267" s="363">
        <f>SUM(P258:P266)</f>
        <v>69238</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0</v>
      </c>
      <c r="O279" s="477">
        <f>SUM(O270:O278)</f>
        <v>0</v>
      </c>
      <c r="P279" s="363">
        <f>SUM(P270:P278)</f>
        <v>0</v>
      </c>
      <c r="Q279" s="477">
        <f>SUM(Q270:Q278)</f>
        <v>0</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468</v>
      </c>
      <c r="O293" s="477"/>
      <c r="P293" s="490">
        <f>+P291+P279+P267</f>
        <v>69238</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69238</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69238</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0.21673038836231684</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SEPTEMBER 2018</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C00-000000000000}"/>
    <hyperlink ref="K9" r:id="rId2" display="http://www.paragon-group.co.uk" xr:uid="{00000000-0004-0000-0C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43486</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178</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199</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12480.6255</v>
      </c>
      <c r="E29" s="308"/>
      <c r="F29" s="309">
        <f>F28*F35</f>
        <v>22417.58066</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10339.675499999999</v>
      </c>
      <c r="E30" s="313"/>
      <c r="F30" s="313">
        <f t="shared" ref="F30" si="0">F28*F34</f>
        <v>18572.02666</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8715.5179444000005</v>
      </c>
      <c r="E32" s="309"/>
      <c r="F32" s="309">
        <f>F31*F35</f>
        <v>22417.58066</v>
      </c>
      <c r="G32" s="309"/>
      <c r="H32" s="309">
        <f>H31</f>
        <v>14800</v>
      </c>
      <c r="I32" s="309"/>
      <c r="J32" s="309">
        <f>J31</f>
        <v>15800</v>
      </c>
      <c r="K32" s="309"/>
      <c r="L32" s="309">
        <f>L31</f>
        <v>7505</v>
      </c>
      <c r="M32" s="304"/>
      <c r="N32" s="314"/>
      <c r="O32" s="304"/>
      <c r="P32" s="304"/>
      <c r="Q32" s="303"/>
      <c r="R32" s="304">
        <f>SUM(D32:L32)</f>
        <v>69238.098604400002</v>
      </c>
      <c r="S32" s="305"/>
      <c r="T32" s="274"/>
    </row>
    <row r="33" spans="1:20" s="275" customFormat="1" x14ac:dyDescent="0.3">
      <c r="A33" s="301"/>
      <c r="B33" s="298" t="s">
        <v>226</v>
      </c>
      <c r="C33" s="303"/>
      <c r="D33" s="313">
        <f>D31*D34</f>
        <v>7220.4415843999996</v>
      </c>
      <c r="E33" s="313"/>
      <c r="F33" s="313">
        <f t="shared" ref="F33:L33" si="4">F31*F34</f>
        <v>18572.02666</v>
      </c>
      <c r="G33" s="313"/>
      <c r="H33" s="313">
        <f t="shared" si="4"/>
        <v>14800</v>
      </c>
      <c r="I33" s="313"/>
      <c r="J33" s="313">
        <f t="shared" si="4"/>
        <v>15800</v>
      </c>
      <c r="K33" s="313"/>
      <c r="L33" s="313">
        <f t="shared" si="4"/>
        <v>7505</v>
      </c>
      <c r="M33" s="311"/>
      <c r="N33" s="314"/>
      <c r="O33" s="304"/>
      <c r="P33" s="304"/>
      <c r="Q33" s="303"/>
      <c r="R33" s="311">
        <f>SUM(D33:L33)</f>
        <v>63897.468244399999</v>
      </c>
      <c r="S33" s="305"/>
      <c r="T33" s="274"/>
    </row>
    <row r="34" spans="1:20" s="325" customFormat="1" x14ac:dyDescent="0.3">
      <c r="A34" s="315"/>
      <c r="B34" s="316" t="s">
        <v>103</v>
      </c>
      <c r="C34" s="317"/>
      <c r="D34" s="318">
        <v>9.8473099999999994E-2</v>
      </c>
      <c r="E34" s="318"/>
      <c r="F34" s="318">
        <v>9.8473099999999994E-2</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0.1188631</v>
      </c>
      <c r="E35" s="326"/>
      <c r="F35" s="326">
        <v>0.1188631</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3.82E-3</v>
      </c>
      <c r="E37" s="330"/>
      <c r="F37" s="330">
        <v>1.9128800000000001E-2</v>
      </c>
      <c r="G37" s="330"/>
      <c r="H37" s="330">
        <v>2.4628799999999999E-2</v>
      </c>
      <c r="I37" s="330"/>
      <c r="J37" s="330">
        <v>3.0128800000000001E-2</v>
      </c>
      <c r="K37" s="330"/>
      <c r="L37" s="330">
        <v>3.36288E-2</v>
      </c>
      <c r="M37" s="329"/>
      <c r="N37" s="330"/>
      <c r="O37" s="302"/>
      <c r="P37" s="302"/>
      <c r="Q37" s="294"/>
      <c r="R37" s="329"/>
      <c r="S37" s="297"/>
      <c r="T37" s="274"/>
    </row>
    <row r="38" spans="1:20" s="275" customFormat="1" x14ac:dyDescent="0.3">
      <c r="A38" s="301"/>
      <c r="B38" s="294" t="s">
        <v>10</v>
      </c>
      <c r="C38" s="331"/>
      <c r="D38" s="330">
        <v>3.79E-3</v>
      </c>
      <c r="E38" s="330"/>
      <c r="F38" s="330">
        <v>1.8530600000000001E-2</v>
      </c>
      <c r="G38" s="330"/>
      <c r="H38" s="330">
        <v>2.4030599999999999E-2</v>
      </c>
      <c r="I38" s="330"/>
      <c r="J38" s="330">
        <v>2.9530600000000001E-2</v>
      </c>
      <c r="K38" s="330"/>
      <c r="L38" s="330">
        <v>3.30306E-2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2.07438E-2</v>
      </c>
      <c r="E40" s="330"/>
      <c r="F40" s="330">
        <f>+F37</f>
        <v>1.9128800000000001E-2</v>
      </c>
      <c r="G40" s="330"/>
      <c r="H40" s="330">
        <f>+H37</f>
        <v>2.4628799999999999E-2</v>
      </c>
      <c r="I40" s="330"/>
      <c r="J40" s="330">
        <f>+J37</f>
        <v>3.0128800000000001E-2</v>
      </c>
      <c r="K40" s="330"/>
      <c r="L40" s="330">
        <f>+L37</f>
        <v>3.36288E-2</v>
      </c>
      <c r="M40" s="329"/>
      <c r="N40" s="330"/>
      <c r="O40" s="302"/>
      <c r="P40" s="302"/>
      <c r="Q40" s="294"/>
      <c r="R40" s="329">
        <f>SUMPRODUCT(D40:L40,D32:L32)/R32</f>
        <v>2.4589638311584981E-2</v>
      </c>
      <c r="S40" s="297"/>
      <c r="T40" s="274"/>
    </row>
    <row r="41" spans="1:20" s="275" customFormat="1" x14ac:dyDescent="0.3">
      <c r="A41" s="301"/>
      <c r="B41" s="294" t="s">
        <v>232</v>
      </c>
      <c r="C41" s="331"/>
      <c r="D41" s="330">
        <v>2.01456E-2</v>
      </c>
      <c r="E41" s="330"/>
      <c r="F41" s="330">
        <f>+F38</f>
        <v>1.8530600000000001E-2</v>
      </c>
      <c r="G41" s="330"/>
      <c r="H41" s="330">
        <f>+H38</f>
        <v>2.4030599999999999E-2</v>
      </c>
      <c r="I41" s="330"/>
      <c r="J41" s="330">
        <f>+J38</f>
        <v>2.9530600000000001E-2</v>
      </c>
      <c r="K41" s="330"/>
      <c r="L41" s="330">
        <f>+L38</f>
        <v>3.30306E-2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1.4773692707084467</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43480</v>
      </c>
      <c r="S52" s="297"/>
      <c r="T52" s="274"/>
    </row>
    <row r="53" spans="1:21" s="275" customFormat="1" x14ac:dyDescent="0.3">
      <c r="A53" s="301"/>
      <c r="B53" s="294" t="s">
        <v>99</v>
      </c>
      <c r="C53" s="294"/>
      <c r="D53" s="339"/>
      <c r="E53" s="339"/>
      <c r="F53" s="339"/>
      <c r="G53" s="339"/>
      <c r="H53" s="339"/>
      <c r="I53" s="339"/>
      <c r="J53" s="339"/>
      <c r="K53" s="339"/>
      <c r="L53" s="339"/>
      <c r="M53" s="339"/>
      <c r="N53" s="294">
        <f>+R53-P53+1</f>
        <v>91</v>
      </c>
      <c r="O53" s="294"/>
      <c r="P53" s="340">
        <v>43297</v>
      </c>
      <c r="Q53" s="341"/>
      <c r="R53" s="340">
        <v>43387</v>
      </c>
      <c r="S53" s="297"/>
      <c r="T53" s="274"/>
    </row>
    <row r="54" spans="1:21" s="275" customFormat="1" x14ac:dyDescent="0.3">
      <c r="A54" s="301"/>
      <c r="B54" s="294" t="s">
        <v>100</v>
      </c>
      <c r="C54" s="294"/>
      <c r="D54" s="294"/>
      <c r="E54" s="294"/>
      <c r="F54" s="294"/>
      <c r="G54" s="294"/>
      <c r="H54" s="294"/>
      <c r="I54" s="294"/>
      <c r="J54" s="294"/>
      <c r="K54" s="294"/>
      <c r="L54" s="294"/>
      <c r="M54" s="294"/>
      <c r="N54" s="294">
        <f>+R54-P54+1</f>
        <v>92</v>
      </c>
      <c r="O54" s="294"/>
      <c r="P54" s="340">
        <v>43388</v>
      </c>
      <c r="Q54" s="341"/>
      <c r="R54" s="340">
        <v>43479</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43467</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297</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69238</v>
      </c>
      <c r="I64" s="362"/>
      <c r="J64" s="363">
        <v>53</v>
      </c>
      <c r="K64" s="362"/>
      <c r="L64" s="362">
        <v>3787</v>
      </c>
      <c r="M64" s="362"/>
      <c r="N64" s="362">
        <v>0</v>
      </c>
      <c r="O64" s="362"/>
      <c r="P64" s="362">
        <f>287+172+1042</f>
        <v>1501</v>
      </c>
      <c r="Q64" s="362"/>
      <c r="R64" s="363">
        <f>H64-J64-L64+N64-P64</f>
        <v>63897</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69238</v>
      </c>
      <c r="I67" s="362"/>
      <c r="J67" s="362">
        <f>J64+J65</f>
        <v>53</v>
      </c>
      <c r="K67" s="362"/>
      <c r="L67" s="362">
        <f>SUM(L64:L66)</f>
        <v>3787</v>
      </c>
      <c r="M67" s="362"/>
      <c r="N67" s="362">
        <f>SUM(N64:N66)</f>
        <v>0</v>
      </c>
      <c r="O67" s="362"/>
      <c r="P67" s="362">
        <f>SUM(P64:P66)</f>
        <v>1501</v>
      </c>
      <c r="Q67" s="362"/>
      <c r="R67" s="362">
        <f>SUM(R64:R66)</f>
        <v>63897</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69238</v>
      </c>
      <c r="I80" s="362"/>
      <c r="J80" s="362"/>
      <c r="K80" s="362"/>
      <c r="L80" s="362"/>
      <c r="M80" s="362"/>
      <c r="N80" s="362"/>
      <c r="O80" s="362"/>
      <c r="P80" s="362"/>
      <c r="Q80" s="362"/>
      <c r="R80" s="362">
        <f>SUM(R67:R79)</f>
        <v>63897</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43465</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5341</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907-136</f>
        <v>771</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25</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19</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116</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5341</v>
      </c>
      <c r="Q97" s="294"/>
      <c r="R97" s="362">
        <f>SUM(R84:R96)</f>
        <v>931</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5341</v>
      </c>
      <c r="Q100" s="294"/>
      <c r="R100" s="362">
        <f>R97+R98+R99</f>
        <v>931</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-26-4-2</f>
        <v>-32</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-12</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-46</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-108</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-92</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-120</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-64</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-26</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-9-160</f>
        <v>-169</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-239</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-1495</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-3846</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-5341</v>
      </c>
      <c r="Q128" s="362"/>
      <c r="R128" s="362">
        <f>SUM(R101:R127)</f>
        <v>-931</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DECEMBER 2018</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6091.1882938899998</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1409.8117061100002</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+'Sept 18'!R173</f>
        <v>579</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116</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463</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63897</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63897</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63897</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+'Sept 18'!O189</f>
        <v>1084</v>
      </c>
      <c r="P187" s="363">
        <f>+'Sept 18'!P189</f>
        <v>557</v>
      </c>
      <c r="Q187" s="294"/>
      <c r="R187" s="363">
        <f>O187+P187</f>
        <v>1641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1084</v>
      </c>
      <c r="P189" s="363">
        <f>P188+P187</f>
        <v>557</v>
      </c>
      <c r="Q189" s="294"/>
      <c r="R189" s="363">
        <f>O189+P189</f>
        <v>1641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22361.32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5.7402597402597406</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3.12</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7.9347826086956523</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18.41</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5.3166666666666664</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13.05</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7.78125</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22.19</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DECEMBER 2018</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43465</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4.8128799999999999E-2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4.6399999999999997E-2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2.4589638311584981E-2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2.1810361688415016E-2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1.3446373378780439E-2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17.13</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7.7139720962477246E-2</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0.35899999999999999</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0</v>
      </c>
      <c r="P227" s="441">
        <f>+P279</f>
        <v>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1501</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'Sept 18'!P233+P232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432</v>
      </c>
      <c r="O246" s="471">
        <f>N246/$N$255</f>
        <v>0.99769053117782913</v>
      </c>
      <c r="P246" s="374">
        <f>+P258+P270+P282</f>
        <v>63839</v>
      </c>
      <c r="Q246" s="471">
        <f t="shared" ref="Q246:Q253" si="5">P246/$P$255</f>
        <v>0.99909228915285542</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0</v>
      </c>
      <c r="O247" s="475">
        <f t="shared" ref="O247:O253" si="7">N247/$N$255</f>
        <v>0</v>
      </c>
      <c r="P247" s="476">
        <f t="shared" ref="P247:P253" si="8">+P259+P271+P283</f>
        <v>0</v>
      </c>
      <c r="Q247" s="477">
        <f t="shared" si="5"/>
        <v>0</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0</v>
      </c>
      <c r="O248" s="479">
        <f t="shared" si="7"/>
        <v>0</v>
      </c>
      <c r="P248" s="401">
        <f t="shared" si="8"/>
        <v>0</v>
      </c>
      <c r="Q248" s="477">
        <f t="shared" si="5"/>
        <v>0</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1</v>
      </c>
      <c r="O249" s="479">
        <f t="shared" si="7"/>
        <v>2.3094688221709007E-3</v>
      </c>
      <c r="P249" s="401">
        <f t="shared" si="8"/>
        <v>58</v>
      </c>
      <c r="Q249" s="477">
        <f t="shared" si="5"/>
        <v>9.0771084714462338E-4</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0</v>
      </c>
      <c r="O251" s="479">
        <f t="shared" si="7"/>
        <v>0</v>
      </c>
      <c r="P251" s="401">
        <f t="shared" si="8"/>
        <v>0</v>
      </c>
      <c r="Q251" s="477">
        <f t="shared" si="5"/>
        <v>0</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0</v>
      </c>
      <c r="O252" s="481">
        <f t="shared" si="7"/>
        <v>0</v>
      </c>
      <c r="P252" s="482">
        <f t="shared" si="8"/>
        <v>0</v>
      </c>
      <c r="Q252" s="477">
        <f t="shared" si="5"/>
        <v>0</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433</v>
      </c>
      <c r="O255" s="477">
        <f>SUM(O246:O254)</f>
        <v>1</v>
      </c>
      <c r="P255" s="363">
        <f>SUM(P246:P254)</f>
        <v>63897</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432</v>
      </c>
      <c r="O258" s="471">
        <f>N258/$N$267</f>
        <v>0.99769053117782913</v>
      </c>
      <c r="P258" s="374">
        <v>63839</v>
      </c>
      <c r="Q258" s="471">
        <f>P258/$P$267</f>
        <v>0.99909228915285542</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0</v>
      </c>
      <c r="O259" s="477">
        <f t="shared" ref="O259:O265" si="9">N259/$N$267</f>
        <v>0</v>
      </c>
      <c r="P259" s="363">
        <v>0</v>
      </c>
      <c r="Q259" s="477">
        <f t="shared" ref="Q259:Q265" si="10">P259/$P$267</f>
        <v>0</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0</v>
      </c>
      <c r="O260" s="477">
        <f t="shared" si="9"/>
        <v>0</v>
      </c>
      <c r="P260" s="363">
        <v>0</v>
      </c>
      <c r="Q260" s="477">
        <f t="shared" si="10"/>
        <v>0</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1</v>
      </c>
      <c r="O261" s="477">
        <f t="shared" si="9"/>
        <v>2.3094688221709007E-3</v>
      </c>
      <c r="P261" s="363">
        <v>58</v>
      </c>
      <c r="Q261" s="477">
        <f t="shared" si="10"/>
        <v>9.0771084714462338E-4</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433</v>
      </c>
      <c r="O267" s="477">
        <f>SUM(O258:O266)</f>
        <v>1</v>
      </c>
      <c r="P267" s="363">
        <f>SUM(P258:P266)</f>
        <v>63897</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0</v>
      </c>
      <c r="O279" s="477">
        <f>SUM(O270:O278)</f>
        <v>0</v>
      </c>
      <c r="P279" s="363">
        <f>SUM(P270:P278)</f>
        <v>0</v>
      </c>
      <c r="Q279" s="477">
        <f>SUM(Q270:Q278)</f>
        <v>0</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433</v>
      </c>
      <c r="O293" s="477"/>
      <c r="P293" s="490">
        <f>+P291+P279+P267</f>
        <v>63897</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63897</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63897</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0.23484498544768451</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DECEMBER 2018</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D00-000000000000}"/>
    <hyperlink ref="K9" r:id="rId2" display="http://www.paragon-group.co.uk" xr:uid="{00000000-0004-0000-0D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43573</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112</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199</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10339.675499999999</v>
      </c>
      <c r="E29" s="308"/>
      <c r="F29" s="309">
        <f>F28*F35</f>
        <v>18572.02666</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8709.0990000000002</v>
      </c>
      <c r="E30" s="313"/>
      <c r="F30" s="313">
        <f t="shared" ref="F30" si="0">F28*F34</f>
        <v>15643.20068</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7220.4415843999996</v>
      </c>
      <c r="E32" s="309"/>
      <c r="F32" s="309">
        <f>F31*F35</f>
        <v>18572.02666</v>
      </c>
      <c r="G32" s="309"/>
      <c r="H32" s="309">
        <f>H31</f>
        <v>14800</v>
      </c>
      <c r="I32" s="309"/>
      <c r="J32" s="309">
        <f>J31</f>
        <v>15800</v>
      </c>
      <c r="K32" s="309"/>
      <c r="L32" s="309">
        <f>L31</f>
        <v>7505</v>
      </c>
      <c r="M32" s="304"/>
      <c r="N32" s="314"/>
      <c r="O32" s="304"/>
      <c r="P32" s="304"/>
      <c r="Q32" s="303"/>
      <c r="R32" s="304">
        <f>SUM(D32:L32)</f>
        <v>63897.468244399999</v>
      </c>
      <c r="S32" s="305"/>
      <c r="T32" s="274"/>
    </row>
    <row r="33" spans="1:20" s="275" customFormat="1" x14ac:dyDescent="0.3">
      <c r="A33" s="301"/>
      <c r="B33" s="298" t="s">
        <v>226</v>
      </c>
      <c r="C33" s="303"/>
      <c r="D33" s="313">
        <f>D31*D34</f>
        <v>6081.7711911999995</v>
      </c>
      <c r="E33" s="313"/>
      <c r="F33" s="313">
        <f t="shared" ref="F33:L33" si="4">F31*F34</f>
        <v>15643.20068</v>
      </c>
      <c r="G33" s="313"/>
      <c r="H33" s="313">
        <f t="shared" si="4"/>
        <v>14800</v>
      </c>
      <c r="I33" s="313"/>
      <c r="J33" s="313">
        <f t="shared" si="4"/>
        <v>15800</v>
      </c>
      <c r="K33" s="313"/>
      <c r="L33" s="313">
        <f t="shared" si="4"/>
        <v>7505</v>
      </c>
      <c r="M33" s="311"/>
      <c r="N33" s="314"/>
      <c r="O33" s="304"/>
      <c r="P33" s="304"/>
      <c r="Q33" s="303"/>
      <c r="R33" s="311">
        <f>SUM(D33:L33)</f>
        <v>59829.971871200003</v>
      </c>
      <c r="S33" s="305"/>
      <c r="T33" s="274"/>
    </row>
    <row r="34" spans="1:20" s="325" customFormat="1" x14ac:dyDescent="0.3">
      <c r="A34" s="315"/>
      <c r="B34" s="316" t="s">
        <v>103</v>
      </c>
      <c r="C34" s="317"/>
      <c r="D34" s="318">
        <v>8.2943799999999998E-2</v>
      </c>
      <c r="E34" s="318"/>
      <c r="F34" s="318">
        <v>8.2943799999999998E-2</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9.8473099999999994E-2</v>
      </c>
      <c r="E35" s="326"/>
      <c r="F35" s="326">
        <v>9.8473099999999994E-2</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3.9199999999999999E-3</v>
      </c>
      <c r="E37" s="330"/>
      <c r="F37" s="330">
        <v>2.02794E-2</v>
      </c>
      <c r="G37" s="330"/>
      <c r="H37" s="330">
        <v>2.5779400000000001E-2</v>
      </c>
      <c r="I37" s="330"/>
      <c r="J37" s="330">
        <v>3.1279399999999999E-2</v>
      </c>
      <c r="K37" s="330"/>
      <c r="L37" s="330">
        <v>3.4779400000000002E-2</v>
      </c>
      <c r="M37" s="329"/>
      <c r="N37" s="330"/>
      <c r="O37" s="302"/>
      <c r="P37" s="302"/>
      <c r="Q37" s="294"/>
      <c r="R37" s="329"/>
      <c r="S37" s="297"/>
      <c r="T37" s="274"/>
    </row>
    <row r="38" spans="1:20" s="275" customFormat="1" x14ac:dyDescent="0.3">
      <c r="A38" s="301"/>
      <c r="B38" s="294" t="s">
        <v>10</v>
      </c>
      <c r="C38" s="331"/>
      <c r="D38" s="330">
        <v>3.82E-3</v>
      </c>
      <c r="E38" s="330"/>
      <c r="F38" s="330">
        <v>1.9128800000000001E-2</v>
      </c>
      <c r="G38" s="330"/>
      <c r="H38" s="330">
        <v>2.4628799999999999E-2</v>
      </c>
      <c r="I38" s="330"/>
      <c r="J38" s="330">
        <v>3.0128800000000001E-2</v>
      </c>
      <c r="K38" s="330"/>
      <c r="L38" s="330">
        <v>3.36288E-2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2.1894400000000001E-2</v>
      </c>
      <c r="E40" s="330"/>
      <c r="F40" s="330">
        <f>+F37</f>
        <v>2.02794E-2</v>
      </c>
      <c r="G40" s="330"/>
      <c r="H40" s="330">
        <f>+H37</f>
        <v>2.5779400000000001E-2</v>
      </c>
      <c r="I40" s="330"/>
      <c r="J40" s="330">
        <f>+J37</f>
        <v>3.1279399999999999E-2</v>
      </c>
      <c r="K40" s="330"/>
      <c r="L40" s="330">
        <f>+L37</f>
        <v>3.4779400000000002E-2</v>
      </c>
      <c r="M40" s="329"/>
      <c r="N40" s="330"/>
      <c r="O40" s="302"/>
      <c r="P40" s="302"/>
      <c r="Q40" s="294"/>
      <c r="R40" s="329">
        <f>SUMPRODUCT(D40:L40,D32:L32)/R32</f>
        <v>2.6158874155718697E-2</v>
      </c>
      <c r="S40" s="297"/>
      <c r="T40" s="274"/>
    </row>
    <row r="41" spans="1:20" s="275" customFormat="1" x14ac:dyDescent="0.3">
      <c r="A41" s="301"/>
      <c r="B41" s="294" t="s">
        <v>232</v>
      </c>
      <c r="C41" s="331"/>
      <c r="D41" s="330">
        <v>2.07438E-2</v>
      </c>
      <c r="E41" s="330"/>
      <c r="F41" s="330">
        <f>+F38</f>
        <v>1.9128800000000001E-2</v>
      </c>
      <c r="G41" s="330"/>
      <c r="H41" s="330">
        <f>+H38</f>
        <v>2.4628799999999999E-2</v>
      </c>
      <c r="I41" s="330"/>
      <c r="J41" s="330">
        <f>+J38</f>
        <v>3.0128800000000001E-2</v>
      </c>
      <c r="K41" s="330"/>
      <c r="L41" s="330">
        <f>+L38</f>
        <v>3.36288E-2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1.7539723515368231</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43570</v>
      </c>
      <c r="S52" s="297"/>
      <c r="T52" s="274"/>
    </row>
    <row r="53" spans="1:21" s="275" customFormat="1" x14ac:dyDescent="0.3">
      <c r="A53" s="301"/>
      <c r="B53" s="294" t="s">
        <v>99</v>
      </c>
      <c r="C53" s="294"/>
      <c r="D53" s="339"/>
      <c r="E53" s="339"/>
      <c r="F53" s="339"/>
      <c r="G53" s="339"/>
      <c r="H53" s="339"/>
      <c r="I53" s="339"/>
      <c r="J53" s="339"/>
      <c r="K53" s="339"/>
      <c r="L53" s="339"/>
      <c r="M53" s="339"/>
      <c r="N53" s="294">
        <f>+R53-P53+1</f>
        <v>92</v>
      </c>
      <c r="O53" s="294"/>
      <c r="P53" s="340">
        <v>43388</v>
      </c>
      <c r="Q53" s="341"/>
      <c r="R53" s="340">
        <v>43479</v>
      </c>
      <c r="S53" s="297"/>
      <c r="T53" s="274"/>
    </row>
    <row r="54" spans="1:21" s="275" customFormat="1" x14ac:dyDescent="0.3">
      <c r="A54" s="301"/>
      <c r="B54" s="294" t="s">
        <v>100</v>
      </c>
      <c r="C54" s="294"/>
      <c r="D54" s="294"/>
      <c r="E54" s="294"/>
      <c r="F54" s="294"/>
      <c r="G54" s="294"/>
      <c r="H54" s="294"/>
      <c r="I54" s="294"/>
      <c r="J54" s="294"/>
      <c r="K54" s="294"/>
      <c r="L54" s="294"/>
      <c r="M54" s="294"/>
      <c r="N54" s="294">
        <f>+R54-P54+1</f>
        <v>90</v>
      </c>
      <c r="O54" s="294"/>
      <c r="P54" s="340">
        <v>43480</v>
      </c>
      <c r="Q54" s="341"/>
      <c r="R54" s="340">
        <v>43569</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43556</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298</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63897</v>
      </c>
      <c r="I64" s="362"/>
      <c r="J64" s="363">
        <v>52</v>
      </c>
      <c r="K64" s="362"/>
      <c r="L64" s="362">
        <v>2495</v>
      </c>
      <c r="M64" s="362"/>
      <c r="N64" s="362">
        <v>0</v>
      </c>
      <c r="O64" s="362"/>
      <c r="P64" s="362">
        <f>166+818+536</f>
        <v>1520</v>
      </c>
      <c r="Q64" s="362"/>
      <c r="R64" s="363">
        <f>H64-J64-L64+N64-P64</f>
        <v>59830</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63897</v>
      </c>
      <c r="I67" s="362"/>
      <c r="J67" s="362">
        <f>J64+J65</f>
        <v>52</v>
      </c>
      <c r="K67" s="362"/>
      <c r="L67" s="362">
        <f>SUM(L64:L66)</f>
        <v>2495</v>
      </c>
      <c r="M67" s="362"/>
      <c r="N67" s="362">
        <f>SUM(N64:N66)</f>
        <v>0</v>
      </c>
      <c r="O67" s="362"/>
      <c r="P67" s="362">
        <f>SUM(P64:P66)</f>
        <v>1520</v>
      </c>
      <c r="Q67" s="362"/>
      <c r="R67" s="362">
        <f>SUM(R64:R66)</f>
        <v>59830</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63897</v>
      </c>
      <c r="I80" s="362"/>
      <c r="J80" s="362"/>
      <c r="K80" s="362"/>
      <c r="L80" s="362"/>
      <c r="M80" s="362"/>
      <c r="N80" s="362"/>
      <c r="O80" s="362"/>
      <c r="P80" s="362"/>
      <c r="Q80" s="362"/>
      <c r="R80" s="362">
        <f>SUM(R67:R79)</f>
        <v>59830</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43553</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4067</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802-64</f>
        <v>738</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12</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21</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115</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4067</v>
      </c>
      <c r="Q97" s="294"/>
      <c r="R97" s="362">
        <f>SUM(R84:R96)</f>
        <v>886</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4067</v>
      </c>
      <c r="Q100" s="294"/>
      <c r="R100" s="362">
        <f>R97+R98+R99</f>
        <v>886</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-24-3-2</f>
        <v>-29</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0</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-39</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-93</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-94</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-122</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-64</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-23</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-7-160</f>
        <v>-167</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-232</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-1138</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-2929</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-4067</v>
      </c>
      <c r="Q128" s="362"/>
      <c r="R128" s="362">
        <f>SUM(R101:R127)</f>
        <v>-886</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MARCH 2019</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6192.8757032200001</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1308.1242967800001</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+'Dec 18'!R173</f>
        <v>463</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115</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348</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59830</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59830</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59830</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+'Dec 18'!O189</f>
        <v>1084</v>
      </c>
      <c r="P187" s="363">
        <f>+'Dec 18'!P189</f>
        <v>557</v>
      </c>
      <c r="Q187" s="294"/>
      <c r="R187" s="363">
        <f>O187+P187</f>
        <v>1641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1084</v>
      </c>
      <c r="P189" s="363">
        <f>P188+P187</f>
        <v>557</v>
      </c>
      <c r="Q189" s="294"/>
      <c r="R189" s="363">
        <f>O189+P189</f>
        <v>1641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22361.32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6.4696969696969697</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3.16</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7.6808510638297873</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17.59</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5.1475409836065573</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12.45</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7.59375</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21.12</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MARCH 2019</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43553</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4.9279400000000001E-2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4.623E-2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2.6158874155718697E-2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2.0071125844281303E-2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1.3866065699485109E-2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16.920000000000002</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(+J64+L64+P64)/(H64+H77)+0.0001</f>
        <v>6.3749310609261783E-2</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0.35120000000000001</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0</v>
      </c>
      <c r="P227" s="441">
        <f>+P279</f>
        <v>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1520</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'Dec 18'!P233+P232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402</v>
      </c>
      <c r="O246" s="471">
        <f>N246/$N$255</f>
        <v>0.9975186104218362</v>
      </c>
      <c r="P246" s="374">
        <f>+P258+P270+P282</f>
        <v>59772</v>
      </c>
      <c r="Q246" s="471">
        <f t="shared" ref="Q246:Q253" si="5">P246/$P$255</f>
        <v>0.99903058666220956</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0</v>
      </c>
      <c r="O247" s="475">
        <f t="shared" ref="O247:O253" si="7">N247/$N$255</f>
        <v>0</v>
      </c>
      <c r="P247" s="476">
        <f t="shared" ref="P247:P253" si="8">+P259+P271+P283</f>
        <v>0</v>
      </c>
      <c r="Q247" s="477">
        <f t="shared" si="5"/>
        <v>0</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1</v>
      </c>
      <c r="O248" s="479">
        <f t="shared" si="7"/>
        <v>2.4813895781637717E-3</v>
      </c>
      <c r="P248" s="401">
        <f t="shared" si="8"/>
        <v>58</v>
      </c>
      <c r="Q248" s="477">
        <f t="shared" si="5"/>
        <v>9.6941333779040613E-4</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0</v>
      </c>
      <c r="O251" s="479">
        <f t="shared" si="7"/>
        <v>0</v>
      </c>
      <c r="P251" s="401">
        <f t="shared" si="8"/>
        <v>0</v>
      </c>
      <c r="Q251" s="477">
        <f t="shared" si="5"/>
        <v>0</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0</v>
      </c>
      <c r="O252" s="481">
        <f t="shared" si="7"/>
        <v>0</v>
      </c>
      <c r="P252" s="482">
        <f t="shared" si="8"/>
        <v>0</v>
      </c>
      <c r="Q252" s="477">
        <f t="shared" si="5"/>
        <v>0</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403</v>
      </c>
      <c r="O255" s="477">
        <f>SUM(O246:O254)</f>
        <v>1</v>
      </c>
      <c r="P255" s="363">
        <f>SUM(P246:P254)</f>
        <v>59830</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402</v>
      </c>
      <c r="O258" s="471">
        <f>N258/$N$267</f>
        <v>0.9975186104218362</v>
      </c>
      <c r="P258" s="374">
        <v>59772</v>
      </c>
      <c r="Q258" s="471">
        <f>P258/$P$267</f>
        <v>0.99903058666220956</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0</v>
      </c>
      <c r="O259" s="477">
        <f t="shared" ref="O259:O265" si="9">N259/$N$267</f>
        <v>0</v>
      </c>
      <c r="P259" s="363">
        <v>0</v>
      </c>
      <c r="Q259" s="477">
        <f t="shared" ref="Q259:Q265" si="10">P259/$P$267</f>
        <v>0</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1</v>
      </c>
      <c r="O260" s="477">
        <f t="shared" si="9"/>
        <v>2.4813895781637717E-3</v>
      </c>
      <c r="P260" s="363">
        <v>58</v>
      </c>
      <c r="Q260" s="477">
        <f t="shared" si="10"/>
        <v>9.6941333779040613E-4</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403</v>
      </c>
      <c r="O267" s="477">
        <f>SUM(O258:O266)</f>
        <v>1</v>
      </c>
      <c r="P267" s="363">
        <f>SUM(P258:P266)</f>
        <v>59830</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0</v>
      </c>
      <c r="O279" s="477">
        <f>SUM(O270:O278)</f>
        <v>0</v>
      </c>
      <c r="P279" s="363">
        <f>SUM(P270:P278)</f>
        <v>0</v>
      </c>
      <c r="Q279" s="477">
        <f>SUM(Q270:Q278)</f>
        <v>0</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403</v>
      </c>
      <c r="O293" s="477"/>
      <c r="P293" s="490">
        <f>+P291+P279+P267</f>
        <v>59830</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59830</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59830</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0.25081074803619202</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MARCH 2019</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E00-000000000000}"/>
    <hyperlink ref="K9" r:id="rId2" display="http://www.paragon-group.co.uk" xr:uid="{00000000-0004-0000-0E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AEF18-624E-42BD-A125-6E81266C497A}">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43665</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112</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199</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8709.0990000000002</v>
      </c>
      <c r="E29" s="308"/>
      <c r="F29" s="309">
        <f>F28*F35</f>
        <v>15643.20068</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2150.085</v>
      </c>
      <c r="E30" s="313"/>
      <c r="F30" s="313">
        <f t="shared" ref="F30" si="0">F28*F34</f>
        <v>3861.9621999999999</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6081.7711911999995</v>
      </c>
      <c r="E32" s="309"/>
      <c r="F32" s="309">
        <f>F31*F35</f>
        <v>15643.20068</v>
      </c>
      <c r="G32" s="309"/>
      <c r="H32" s="309">
        <f>H31</f>
        <v>14800</v>
      </c>
      <c r="I32" s="309"/>
      <c r="J32" s="309">
        <f>J31</f>
        <v>15800</v>
      </c>
      <c r="K32" s="309"/>
      <c r="L32" s="309">
        <f>L31</f>
        <v>7505</v>
      </c>
      <c r="M32" s="304"/>
      <c r="N32" s="314"/>
      <c r="O32" s="304"/>
      <c r="P32" s="304"/>
      <c r="Q32" s="303"/>
      <c r="R32" s="304">
        <f>SUM(D32:L32)</f>
        <v>59829.971871200003</v>
      </c>
      <c r="S32" s="305"/>
      <c r="T32" s="274"/>
    </row>
    <row r="33" spans="1:20" s="275" customFormat="1" x14ac:dyDescent="0.3">
      <c r="A33" s="301"/>
      <c r="B33" s="298" t="s">
        <v>226</v>
      </c>
      <c r="C33" s="303"/>
      <c r="D33" s="313">
        <f>D31*D34</f>
        <v>1501.4555479999999</v>
      </c>
      <c r="E33" s="313"/>
      <c r="F33" s="313">
        <f t="shared" ref="F33:L33" si="4">F31*F34</f>
        <v>3861.9621999999999</v>
      </c>
      <c r="G33" s="313"/>
      <c r="H33" s="313">
        <f t="shared" si="4"/>
        <v>14800</v>
      </c>
      <c r="I33" s="313"/>
      <c r="J33" s="313">
        <f t="shared" si="4"/>
        <v>15800</v>
      </c>
      <c r="K33" s="313"/>
      <c r="L33" s="313">
        <f t="shared" si="4"/>
        <v>7505</v>
      </c>
      <c r="M33" s="311"/>
      <c r="N33" s="314"/>
      <c r="O33" s="304"/>
      <c r="P33" s="304"/>
      <c r="Q33" s="303"/>
      <c r="R33" s="311">
        <f>SUM(D33:L33)</f>
        <v>43468.417748</v>
      </c>
      <c r="S33" s="305"/>
      <c r="T33" s="274"/>
    </row>
    <row r="34" spans="1:20" s="325" customFormat="1" x14ac:dyDescent="0.3">
      <c r="A34" s="315"/>
      <c r="B34" s="316" t="s">
        <v>103</v>
      </c>
      <c r="C34" s="317"/>
      <c r="D34" s="318">
        <v>2.0476999999999999E-2</v>
      </c>
      <c r="E34" s="318"/>
      <c r="F34" s="318">
        <v>2.0476999999999999E-2</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8.2943799999999998E-2</v>
      </c>
      <c r="E35" s="326"/>
      <c r="F35" s="326">
        <v>8.2943799999999998E-2</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3.8999999999999998E-3</v>
      </c>
      <c r="E37" s="330"/>
      <c r="F37" s="330">
        <v>1.9208800000000002E-2</v>
      </c>
      <c r="G37" s="330"/>
      <c r="H37" s="330">
        <v>2.47088E-2</v>
      </c>
      <c r="I37" s="330"/>
      <c r="J37" s="330">
        <v>3.0208800000000001E-2</v>
      </c>
      <c r="K37" s="330"/>
      <c r="L37" s="330">
        <v>3.3708799999999997E-2</v>
      </c>
      <c r="M37" s="329"/>
      <c r="N37" s="330"/>
      <c r="O37" s="302"/>
      <c r="P37" s="302"/>
      <c r="Q37" s="294"/>
      <c r="R37" s="329"/>
      <c r="S37" s="297"/>
      <c r="T37" s="274"/>
    </row>
    <row r="38" spans="1:20" s="275" customFormat="1" x14ac:dyDescent="0.3">
      <c r="A38" s="301"/>
      <c r="B38" s="294" t="s">
        <v>10</v>
      </c>
      <c r="C38" s="331"/>
      <c r="D38" s="330">
        <v>3.9199999999999999E-3</v>
      </c>
      <c r="E38" s="330"/>
      <c r="F38" s="330">
        <v>2.02794E-2</v>
      </c>
      <c r="G38" s="330"/>
      <c r="H38" s="330">
        <v>2.5779400000000001E-2</v>
      </c>
      <c r="I38" s="330"/>
      <c r="J38" s="330">
        <v>3.1279399999999999E-2</v>
      </c>
      <c r="K38" s="330"/>
      <c r="L38" s="330">
        <v>3.4779400000000002E-2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2.08238E-2</v>
      </c>
      <c r="E40" s="330"/>
      <c r="F40" s="330">
        <f>+F37</f>
        <v>1.9208800000000002E-2</v>
      </c>
      <c r="G40" s="330"/>
      <c r="H40" s="330">
        <f>+H37</f>
        <v>2.47088E-2</v>
      </c>
      <c r="I40" s="330"/>
      <c r="J40" s="330">
        <f>+J37</f>
        <v>3.0208800000000001E-2</v>
      </c>
      <c r="K40" s="330"/>
      <c r="L40" s="330">
        <f>+L37</f>
        <v>3.3708799999999997E-2</v>
      </c>
      <c r="M40" s="329"/>
      <c r="N40" s="330"/>
      <c r="O40" s="302"/>
      <c r="P40" s="302"/>
      <c r="Q40" s="294"/>
      <c r="R40" s="329">
        <f>SUMPRODUCT(D40:L40,D32:L32)/R32</f>
        <v>2.5457249544295096E-2</v>
      </c>
      <c r="S40" s="297"/>
      <c r="T40" s="274"/>
    </row>
    <row r="41" spans="1:20" s="275" customFormat="1" x14ac:dyDescent="0.3">
      <c r="A41" s="301"/>
      <c r="B41" s="294" t="s">
        <v>232</v>
      </c>
      <c r="C41" s="331"/>
      <c r="D41" s="330">
        <v>2.1894400000000001E-2</v>
      </c>
      <c r="E41" s="330"/>
      <c r="F41" s="330">
        <f>+F38</f>
        <v>2.02794E-2</v>
      </c>
      <c r="G41" s="330"/>
      <c r="H41" s="330">
        <f>+H38</f>
        <v>2.5779400000000001E-2</v>
      </c>
      <c r="I41" s="330"/>
      <c r="J41" s="330">
        <f>+J38</f>
        <v>3.1279399999999999E-2</v>
      </c>
      <c r="K41" s="330"/>
      <c r="L41" s="330">
        <f>+L38</f>
        <v>3.4779400000000002E-2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7.1046116096791501</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43661</v>
      </c>
      <c r="S52" s="297"/>
      <c r="T52" s="274"/>
    </row>
    <row r="53" spans="1:21" s="275" customFormat="1" x14ac:dyDescent="0.3">
      <c r="A53" s="301"/>
      <c r="B53" s="294" t="s">
        <v>99</v>
      </c>
      <c r="C53" s="294"/>
      <c r="D53" s="339"/>
      <c r="E53" s="339"/>
      <c r="F53" s="339"/>
      <c r="G53" s="339"/>
      <c r="H53" s="339"/>
      <c r="I53" s="339"/>
      <c r="J53" s="339"/>
      <c r="K53" s="339"/>
      <c r="L53" s="339"/>
      <c r="M53" s="339"/>
      <c r="N53" s="294">
        <f>+R53-P53+1</f>
        <v>90</v>
      </c>
      <c r="O53" s="294"/>
      <c r="P53" s="340">
        <v>43480</v>
      </c>
      <c r="Q53" s="341"/>
      <c r="R53" s="340">
        <v>43569</v>
      </c>
      <c r="S53" s="297"/>
      <c r="T53" s="274"/>
    </row>
    <row r="54" spans="1:21" s="275" customFormat="1" x14ac:dyDescent="0.3">
      <c r="A54" s="301"/>
      <c r="B54" s="294" t="s">
        <v>100</v>
      </c>
      <c r="C54" s="294"/>
      <c r="D54" s="294"/>
      <c r="E54" s="294"/>
      <c r="F54" s="294"/>
      <c r="G54" s="294"/>
      <c r="H54" s="294"/>
      <c r="I54" s="294"/>
      <c r="J54" s="294"/>
      <c r="K54" s="294"/>
      <c r="L54" s="294"/>
      <c r="M54" s="294"/>
      <c r="N54" s="294">
        <f>+R54-P54+1</f>
        <v>91</v>
      </c>
      <c r="O54" s="294"/>
      <c r="P54" s="340">
        <v>43570</v>
      </c>
      <c r="Q54" s="341"/>
      <c r="R54" s="340">
        <v>43660</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43647</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299</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59830</v>
      </c>
      <c r="I64" s="362"/>
      <c r="J64" s="363">
        <v>43</v>
      </c>
      <c r="K64" s="362"/>
      <c r="L64" s="362">
        <v>4214</v>
      </c>
      <c r="M64" s="362"/>
      <c r="N64" s="362">
        <v>0</v>
      </c>
      <c r="O64" s="362"/>
      <c r="P64" s="362">
        <f>2967+8290+848</f>
        <v>12105</v>
      </c>
      <c r="Q64" s="362"/>
      <c r="R64" s="363">
        <f>H64-J64-L64+N64-P64</f>
        <v>43468</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59830</v>
      </c>
      <c r="I67" s="362"/>
      <c r="J67" s="362">
        <f>J64+J65</f>
        <v>43</v>
      </c>
      <c r="K67" s="362"/>
      <c r="L67" s="362">
        <f>SUM(L64:L66)</f>
        <v>4214</v>
      </c>
      <c r="M67" s="362"/>
      <c r="N67" s="362">
        <f>SUM(N64:N66)</f>
        <v>0</v>
      </c>
      <c r="O67" s="362"/>
      <c r="P67" s="362">
        <f>SUM(P64:P66)</f>
        <v>12105</v>
      </c>
      <c r="Q67" s="362"/>
      <c r="R67" s="362">
        <f>SUM(R64:R66)</f>
        <v>43468</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59830</v>
      </c>
      <c r="I80" s="362"/>
      <c r="J80" s="362"/>
      <c r="K80" s="362"/>
      <c r="L80" s="362"/>
      <c r="M80" s="362"/>
      <c r="N80" s="362"/>
      <c r="O80" s="362"/>
      <c r="P80" s="362"/>
      <c r="Q80" s="362"/>
      <c r="R80" s="362">
        <f>SUM(R67:R79)</f>
        <v>43468</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43644</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16362</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704-72</f>
        <v>632</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25</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25</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72</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16362</v>
      </c>
      <c r="Q97" s="294"/>
      <c r="R97" s="362">
        <f>SUM(R84:R96)</f>
        <v>754</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16362</v>
      </c>
      <c r="Q100" s="294"/>
      <c r="R100" s="362">
        <f>R97+R98+R99</f>
        <v>754</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-23-2-2</f>
        <v>-27</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-19</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-32</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-75</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-91</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-119</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-63</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-22</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-5-160</f>
        <v>-165</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-118</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-4580</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-11782</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-16362</v>
      </c>
      <c r="Q128" s="362"/>
      <c r="R128" s="362">
        <f>SUM(R101:R127)</f>
        <v>-754</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JUNE 2019</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6601.9145563000002</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899.08544370000004</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+'March 19'!R173</f>
        <v>348</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72</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276</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43468</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43468</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43468</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+'March 19'!O189</f>
        <v>1084</v>
      </c>
      <c r="P187" s="363">
        <f>+'March 19'!P189</f>
        <v>557</v>
      </c>
      <c r="Q187" s="294"/>
      <c r="R187" s="363">
        <f>O187+P187</f>
        <v>1641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1084</v>
      </c>
      <c r="P189" s="363">
        <f>P188+P187</f>
        <v>557</v>
      </c>
      <c r="Q189" s="294"/>
      <c r="R189" s="363">
        <f>O189+P189</f>
        <v>1641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22361.32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6.5887850467289724</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3.2</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6.5714285714285712</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16.829999999999998</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4.2605042016806722</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11.9</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5.8412698412698409</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20.079999999999998</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JUNE 2019</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43644</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4.8208800000000003E-2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4.9770000000000002E-2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2.5457249544295096E-2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2.4312750455704905E-2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1.260237339127528E-2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16.62</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0.27347484539528666</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0.38479999999999998</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0</v>
      </c>
      <c r="P227" s="441">
        <f>+P279</f>
        <v>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12105</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'March 19'!P233+P232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296</v>
      </c>
      <c r="O246" s="471">
        <f>N246/$N$255</f>
        <v>0.99328859060402686</v>
      </c>
      <c r="P246" s="374">
        <f>+P258+P270+P282</f>
        <v>43315</v>
      </c>
      <c r="Q246" s="471">
        <f t="shared" ref="Q246:Q253" si="5">P246/$P$255</f>
        <v>0.99648016931995953</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1</v>
      </c>
      <c r="O247" s="475">
        <f t="shared" ref="O247:O253" si="7">N247/$N$255</f>
        <v>3.3557046979865771E-3</v>
      </c>
      <c r="P247" s="476">
        <f t="shared" ref="P247:P253" si="8">+P259+P271+P283</f>
        <v>95</v>
      </c>
      <c r="Q247" s="477">
        <f t="shared" si="5"/>
        <v>2.1855157817244871E-3</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0</v>
      </c>
      <c r="O248" s="479">
        <f t="shared" si="7"/>
        <v>0</v>
      </c>
      <c r="P248" s="401">
        <f t="shared" si="8"/>
        <v>0</v>
      </c>
      <c r="Q248" s="477">
        <f t="shared" si="5"/>
        <v>0</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1</v>
      </c>
      <c r="O251" s="479">
        <f t="shared" si="7"/>
        <v>3.3557046979865771E-3</v>
      </c>
      <c r="P251" s="401">
        <f t="shared" si="8"/>
        <v>58</v>
      </c>
      <c r="Q251" s="477">
        <f t="shared" si="5"/>
        <v>1.3343148983160026E-3</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0</v>
      </c>
      <c r="O252" s="481">
        <f t="shared" si="7"/>
        <v>0</v>
      </c>
      <c r="P252" s="482">
        <f t="shared" si="8"/>
        <v>0</v>
      </c>
      <c r="Q252" s="477">
        <f t="shared" si="5"/>
        <v>0</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298</v>
      </c>
      <c r="O255" s="477">
        <f>SUM(O246:O254)</f>
        <v>1</v>
      </c>
      <c r="P255" s="363">
        <f>SUM(P246:P254)</f>
        <v>43468</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296</v>
      </c>
      <c r="O258" s="471">
        <f>N258/$N$267</f>
        <v>0.99328859060402686</v>
      </c>
      <c r="P258" s="374">
        <v>43315</v>
      </c>
      <c r="Q258" s="471">
        <f>P258/$P$267</f>
        <v>0.99648016931995953</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1</v>
      </c>
      <c r="O259" s="477">
        <f t="shared" ref="O259:O265" si="9">N259/$N$267</f>
        <v>3.3557046979865771E-3</v>
      </c>
      <c r="P259" s="363">
        <v>95</v>
      </c>
      <c r="Q259" s="477">
        <f t="shared" ref="Q259:Q265" si="10">P259/$P$267</f>
        <v>2.1855157817244871E-3</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0</v>
      </c>
      <c r="O260" s="477">
        <f t="shared" si="9"/>
        <v>0</v>
      </c>
      <c r="P260" s="363">
        <v>0</v>
      </c>
      <c r="Q260" s="477">
        <f t="shared" si="10"/>
        <v>0</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1</v>
      </c>
      <c r="O263" s="477">
        <f t="shared" si="9"/>
        <v>3.3557046979865771E-3</v>
      </c>
      <c r="P263" s="363">
        <v>58</v>
      </c>
      <c r="Q263" s="477">
        <f t="shared" si="10"/>
        <v>1.3343148983160026E-3</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298</v>
      </c>
      <c r="O267" s="477">
        <f>SUM(O258:O266)</f>
        <v>1</v>
      </c>
      <c r="P267" s="363">
        <f>SUM(P258:P266)</f>
        <v>43468</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0</v>
      </c>
      <c r="O279" s="477">
        <f>SUM(O270:O278)</f>
        <v>0</v>
      </c>
      <c r="P279" s="363">
        <f>SUM(P270:P278)</f>
        <v>0</v>
      </c>
      <c r="Q279" s="477">
        <f>SUM(Q270:Q278)</f>
        <v>0</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298</v>
      </c>
      <c r="O293" s="477"/>
      <c r="P293" s="490">
        <f>+P291+P279+P267</f>
        <v>43468</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43468</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43468</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0.34521615410513606</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JUNE 2019</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821A42C3-5483-49F2-AD99-CC5FFB0192A0}"/>
    <hyperlink ref="K9" r:id="rId2" display="http://www.paragon-group.co.uk" xr:uid="{8955E9DA-B0BB-42F7-A777-B7BAD69C6E0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40F05-ACCB-4F18-AE89-5296CDB872B6}">
  <sheetPr>
    <tabColor rgb="FF2D2926"/>
  </sheetPr>
  <dimension ref="A1:IR312"/>
  <sheetViews>
    <sheetView showGridLines="0" tabSelected="1"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43754</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112</v>
      </c>
      <c r="I25" s="295"/>
      <c r="J25" s="295" t="s">
        <v>112</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199</v>
      </c>
      <c r="I26" s="295"/>
      <c r="J26" s="295" t="s">
        <v>199</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2150.085</v>
      </c>
      <c r="E29" s="308"/>
      <c r="F29" s="309">
        <f>F28*F35</f>
        <v>3861.9621999999999</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0</v>
      </c>
      <c r="E30" s="313"/>
      <c r="F30" s="313">
        <f t="shared" ref="F30" si="0">F28*F34</f>
        <v>0</v>
      </c>
      <c r="G30" s="313"/>
      <c r="H30" s="313">
        <f t="shared" ref="H30" si="1">H28*H34</f>
        <v>0</v>
      </c>
      <c r="I30" s="313"/>
      <c r="J30" s="313">
        <f t="shared" ref="J30" si="2">J28*J34</f>
        <v>0</v>
      </c>
      <c r="K30" s="313"/>
      <c r="L30" s="313">
        <f t="shared" ref="L30" si="3">L28*L34</f>
        <v>0</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1501.4555479999999</v>
      </c>
      <c r="E32" s="309"/>
      <c r="F32" s="309">
        <f>F31*F35</f>
        <v>3861.9621999999999</v>
      </c>
      <c r="G32" s="309"/>
      <c r="H32" s="309">
        <f>H31</f>
        <v>14800</v>
      </c>
      <c r="I32" s="309"/>
      <c r="J32" s="309">
        <f>J31</f>
        <v>15800</v>
      </c>
      <c r="K32" s="309"/>
      <c r="L32" s="309">
        <f>L31</f>
        <v>7505</v>
      </c>
      <c r="M32" s="304"/>
      <c r="N32" s="314"/>
      <c r="O32" s="304"/>
      <c r="P32" s="304"/>
      <c r="Q32" s="303"/>
      <c r="R32" s="304">
        <f>SUM(D32:L32)</f>
        <v>43468.417748</v>
      </c>
      <c r="S32" s="305"/>
      <c r="T32" s="274"/>
    </row>
    <row r="33" spans="1:20" s="275" customFormat="1" x14ac:dyDescent="0.3">
      <c r="A33" s="301"/>
      <c r="B33" s="298" t="s">
        <v>226</v>
      </c>
      <c r="C33" s="303"/>
      <c r="D33" s="313">
        <f>D31*D34</f>
        <v>0</v>
      </c>
      <c r="E33" s="313"/>
      <c r="F33" s="313">
        <f t="shared" ref="F33:L33" si="4">F31*F34</f>
        <v>0</v>
      </c>
      <c r="G33" s="313"/>
      <c r="H33" s="313">
        <f t="shared" si="4"/>
        <v>0</v>
      </c>
      <c r="I33" s="313"/>
      <c r="J33" s="313">
        <f t="shared" si="4"/>
        <v>0</v>
      </c>
      <c r="K33" s="313"/>
      <c r="L33" s="313">
        <f t="shared" si="4"/>
        <v>0</v>
      </c>
      <c r="M33" s="311"/>
      <c r="N33" s="314"/>
      <c r="O33" s="304"/>
      <c r="P33" s="304"/>
      <c r="Q33" s="303"/>
      <c r="R33" s="311">
        <f>SUM(D33:L33)</f>
        <v>0</v>
      </c>
      <c r="S33" s="305"/>
      <c r="T33" s="274"/>
    </row>
    <row r="34" spans="1:20" s="325" customFormat="1" x14ac:dyDescent="0.3">
      <c r="A34" s="315"/>
      <c r="B34" s="316" t="s">
        <v>103</v>
      </c>
      <c r="C34" s="317"/>
      <c r="D34" s="318">
        <v>0</v>
      </c>
      <c r="E34" s="318"/>
      <c r="F34" s="318">
        <v>0</v>
      </c>
      <c r="G34" s="318"/>
      <c r="H34" s="318">
        <v>0</v>
      </c>
      <c r="I34" s="318"/>
      <c r="J34" s="318">
        <v>0</v>
      </c>
      <c r="K34" s="318"/>
      <c r="L34" s="318">
        <v>0</v>
      </c>
      <c r="M34" s="319"/>
      <c r="N34" s="319"/>
      <c r="O34" s="320"/>
      <c r="P34" s="320"/>
      <c r="Q34" s="321"/>
      <c r="R34" s="322"/>
      <c r="S34" s="323"/>
      <c r="T34" s="324"/>
    </row>
    <row r="35" spans="1:20" s="325" customFormat="1" x14ac:dyDescent="0.3">
      <c r="A35" s="315"/>
      <c r="B35" s="317" t="s">
        <v>104</v>
      </c>
      <c r="C35" s="317"/>
      <c r="D35" s="326">
        <v>2.0476999999999999E-2</v>
      </c>
      <c r="E35" s="326"/>
      <c r="F35" s="326">
        <v>2.0476999999999999E-2</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3.3600000000000001E-3</v>
      </c>
      <c r="E37" s="330"/>
      <c r="F37" s="330">
        <v>1.8671299999999998E-2</v>
      </c>
      <c r="G37" s="330"/>
      <c r="H37" s="330">
        <v>2.41713E-2</v>
      </c>
      <c r="I37" s="330"/>
      <c r="J37" s="330">
        <v>2.9671300000000001E-2</v>
      </c>
      <c r="K37" s="330"/>
      <c r="L37" s="330">
        <v>3.3171300000000001E-2</v>
      </c>
      <c r="M37" s="329"/>
      <c r="N37" s="330"/>
      <c r="O37" s="302"/>
      <c r="P37" s="302"/>
      <c r="Q37" s="294"/>
      <c r="R37" s="329"/>
      <c r="S37" s="297"/>
      <c r="T37" s="274"/>
    </row>
    <row r="38" spans="1:20" s="275" customFormat="1" x14ac:dyDescent="0.3">
      <c r="A38" s="301"/>
      <c r="B38" s="294" t="s">
        <v>10</v>
      </c>
      <c r="C38" s="331"/>
      <c r="D38" s="330">
        <v>3.9199999999999999E-3</v>
      </c>
      <c r="E38" s="330"/>
      <c r="F38" s="330">
        <v>2.02794E-2</v>
      </c>
      <c r="G38" s="330"/>
      <c r="H38" s="330">
        <v>2.5779400000000001E-2</v>
      </c>
      <c r="I38" s="330"/>
      <c r="J38" s="330">
        <v>3.1279399999999999E-2</v>
      </c>
      <c r="K38" s="330"/>
      <c r="L38" s="330">
        <v>3.4779400000000002E-2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2.02863E-2</v>
      </c>
      <c r="E40" s="330"/>
      <c r="F40" s="330">
        <f>+F37</f>
        <v>1.8671299999999998E-2</v>
      </c>
      <c r="G40" s="330"/>
      <c r="H40" s="330">
        <f>+H37</f>
        <v>2.41713E-2</v>
      </c>
      <c r="I40" s="330"/>
      <c r="J40" s="330">
        <f>+J37</f>
        <v>2.9671300000000001E-2</v>
      </c>
      <c r="K40" s="330"/>
      <c r="L40" s="330">
        <f>+L37</f>
        <v>3.3171300000000001E-2</v>
      </c>
      <c r="M40" s="329"/>
      <c r="N40" s="330"/>
      <c r="O40" s="302"/>
      <c r="P40" s="302"/>
      <c r="Q40" s="294"/>
      <c r="R40" s="329">
        <f>SUMPRODUCT(D40:L40,D32:L32)/R32</f>
        <v>2.7101497593904383E-2</v>
      </c>
      <c r="S40" s="297"/>
      <c r="T40" s="274"/>
    </row>
    <row r="41" spans="1:20" s="275" customFormat="1" x14ac:dyDescent="0.3">
      <c r="A41" s="301"/>
      <c r="B41" s="294" t="s">
        <v>232</v>
      </c>
      <c r="C41" s="331"/>
      <c r="D41" s="330">
        <v>2.1894400000000001E-2</v>
      </c>
      <c r="E41" s="330"/>
      <c r="F41" s="330">
        <f>+F38</f>
        <v>2.02794E-2</v>
      </c>
      <c r="G41" s="330"/>
      <c r="H41" s="330">
        <f>+H38</f>
        <v>2.5779400000000001E-2</v>
      </c>
      <c r="I41" s="330"/>
      <c r="J41" s="330">
        <f>+J38</f>
        <v>3.1279399999999999E-2</v>
      </c>
      <c r="K41" s="330"/>
      <c r="L41" s="330">
        <f>+L38</f>
        <v>3.4779400000000002E-2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t="s">
        <v>97</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43753</v>
      </c>
      <c r="S52" s="297"/>
      <c r="T52" s="274"/>
    </row>
    <row r="53" spans="1:21" s="275" customFormat="1" x14ac:dyDescent="0.3">
      <c r="A53" s="301"/>
      <c r="B53" s="294" t="s">
        <v>99</v>
      </c>
      <c r="C53" s="294"/>
      <c r="D53" s="339"/>
      <c r="E53" s="339"/>
      <c r="F53" s="339"/>
      <c r="G53" s="339"/>
      <c r="H53" s="339"/>
      <c r="I53" s="339"/>
      <c r="J53" s="339"/>
      <c r="K53" s="339"/>
      <c r="L53" s="339"/>
      <c r="M53" s="339"/>
      <c r="N53" s="294">
        <f>+R53-P53+1</f>
        <v>91</v>
      </c>
      <c r="O53" s="294"/>
      <c r="P53" s="340">
        <v>43570</v>
      </c>
      <c r="Q53" s="341"/>
      <c r="R53" s="340">
        <v>43660</v>
      </c>
      <c r="S53" s="297"/>
      <c r="T53" s="274"/>
    </row>
    <row r="54" spans="1:21" s="275" customFormat="1" x14ac:dyDescent="0.3">
      <c r="A54" s="301"/>
      <c r="B54" s="294" t="s">
        <v>100</v>
      </c>
      <c r="C54" s="294"/>
      <c r="D54" s="294"/>
      <c r="E54" s="294"/>
      <c r="F54" s="294"/>
      <c r="G54" s="294"/>
      <c r="H54" s="294"/>
      <c r="I54" s="294"/>
      <c r="J54" s="294"/>
      <c r="K54" s="294"/>
      <c r="L54" s="294"/>
      <c r="M54" s="294"/>
      <c r="N54" s="294">
        <f>+R54-P54+1</f>
        <v>92</v>
      </c>
      <c r="O54" s="294"/>
      <c r="P54" s="340">
        <v>43661</v>
      </c>
      <c r="Q54" s="341"/>
      <c r="R54" s="340">
        <v>43752</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43739</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300</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43468</v>
      </c>
      <c r="I64" s="362"/>
      <c r="J64" s="363">
        <v>33</v>
      </c>
      <c r="K64" s="362"/>
      <c r="L64" s="362">
        <v>42526</v>
      </c>
      <c r="M64" s="362"/>
      <c r="N64" s="362">
        <v>0</v>
      </c>
      <c r="O64" s="362"/>
      <c r="P64" s="362">
        <v>909</v>
      </c>
      <c r="Q64" s="362"/>
      <c r="R64" s="363">
        <f>H64-J64-L64+N64-P64</f>
        <v>0</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43468</v>
      </c>
      <c r="I67" s="362"/>
      <c r="J67" s="362">
        <f>J64+J65</f>
        <v>33</v>
      </c>
      <c r="K67" s="362"/>
      <c r="L67" s="362">
        <f>SUM(L64:L66)</f>
        <v>42526</v>
      </c>
      <c r="M67" s="362"/>
      <c r="N67" s="362">
        <f>SUM(N64:N66)</f>
        <v>0</v>
      </c>
      <c r="O67" s="362"/>
      <c r="P67" s="362">
        <f>SUM(P64:P66)</f>
        <v>909</v>
      </c>
      <c r="Q67" s="362"/>
      <c r="R67" s="362">
        <f>SUM(R64:R66)</f>
        <v>0</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43468</v>
      </c>
      <c r="I80" s="362"/>
      <c r="J80" s="362"/>
      <c r="K80" s="362"/>
      <c r="L80" s="362"/>
      <c r="M80" s="362"/>
      <c r="N80" s="362"/>
      <c r="O80" s="362"/>
      <c r="P80" s="362"/>
      <c r="Q80" s="362"/>
      <c r="R80" s="362">
        <f>SUM(R67:R79)</f>
        <v>0</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+P211</f>
        <v>43738</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43468</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646-157</f>
        <v>489</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21</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23</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276</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317" t="s">
        <v>302</v>
      </c>
      <c r="C97" s="294"/>
      <c r="D97" s="294"/>
      <c r="E97" s="294"/>
      <c r="F97" s="294"/>
      <c r="G97" s="294"/>
      <c r="H97" s="294"/>
      <c r="I97" s="294"/>
      <c r="J97" s="294"/>
      <c r="K97" s="294"/>
      <c r="L97" s="294"/>
      <c r="M97" s="294"/>
      <c r="N97" s="294"/>
      <c r="O97" s="294"/>
      <c r="P97" s="362"/>
      <c r="Q97" s="294"/>
      <c r="R97" s="363">
        <f>-R144</f>
        <v>7501</v>
      </c>
      <c r="S97" s="297"/>
      <c r="T97" s="274"/>
    </row>
    <row r="98" spans="1:21" s="275" customFormat="1" x14ac:dyDescent="0.3">
      <c r="A98" s="301"/>
      <c r="B98" s="294" t="s">
        <v>25</v>
      </c>
      <c r="C98" s="294"/>
      <c r="D98" s="294"/>
      <c r="E98" s="294"/>
      <c r="F98" s="294"/>
      <c r="G98" s="294"/>
      <c r="H98" s="294"/>
      <c r="I98" s="294"/>
      <c r="J98" s="294"/>
      <c r="K98" s="294"/>
      <c r="L98" s="294"/>
      <c r="M98" s="294"/>
      <c r="N98" s="294"/>
      <c r="O98" s="294"/>
      <c r="P98" s="362">
        <f>SUM(P84:P96)</f>
        <v>43468</v>
      </c>
      <c r="Q98" s="294"/>
      <c r="R98" s="362">
        <f>SUM(R84:R97)</f>
        <v>8310</v>
      </c>
      <c r="S98" s="297"/>
      <c r="T98" s="274"/>
    </row>
    <row r="99" spans="1:21" s="275" customFormat="1" x14ac:dyDescent="0.3">
      <c r="A99" s="301"/>
      <c r="B99" s="294" t="s">
        <v>26</v>
      </c>
      <c r="C99" s="294"/>
      <c r="D99" s="294"/>
      <c r="E99" s="294"/>
      <c r="F99" s="294"/>
      <c r="G99" s="294"/>
      <c r="H99" s="294"/>
      <c r="I99" s="294"/>
      <c r="J99" s="294"/>
      <c r="K99" s="294"/>
      <c r="L99" s="294"/>
      <c r="M99" s="294"/>
      <c r="N99" s="294"/>
      <c r="O99" s="294"/>
      <c r="P99" s="362">
        <f>-R99</f>
        <v>0</v>
      </c>
      <c r="Q99" s="294"/>
      <c r="R99" s="363">
        <v>0</v>
      </c>
      <c r="S99" s="297"/>
      <c r="T99" s="274"/>
    </row>
    <row r="100" spans="1:21" s="275" customFormat="1" x14ac:dyDescent="0.3">
      <c r="A100" s="301"/>
      <c r="B100" s="294" t="s">
        <v>150</v>
      </c>
      <c r="C100" s="294"/>
      <c r="D100" s="294"/>
      <c r="E100" s="294"/>
      <c r="F100" s="294"/>
      <c r="G100" s="294"/>
      <c r="H100" s="294"/>
      <c r="I100" s="294"/>
      <c r="J100" s="294"/>
      <c r="K100" s="294"/>
      <c r="L100" s="294"/>
      <c r="M100" s="294"/>
      <c r="N100" s="294"/>
      <c r="O100" s="294"/>
      <c r="P100" s="362"/>
      <c r="Q100" s="294"/>
      <c r="R100" s="363">
        <v>0</v>
      </c>
      <c r="S100" s="297"/>
      <c r="T100" s="274"/>
    </row>
    <row r="101" spans="1:21" s="275" customFormat="1" x14ac:dyDescent="0.3">
      <c r="A101" s="301"/>
      <c r="B101" s="294" t="s">
        <v>27</v>
      </c>
      <c r="C101" s="294"/>
      <c r="D101" s="294"/>
      <c r="E101" s="294"/>
      <c r="F101" s="294"/>
      <c r="G101" s="294"/>
      <c r="H101" s="294"/>
      <c r="I101" s="294"/>
      <c r="J101" s="294"/>
      <c r="K101" s="294"/>
      <c r="L101" s="294"/>
      <c r="M101" s="294"/>
      <c r="N101" s="294"/>
      <c r="O101" s="294"/>
      <c r="P101" s="362">
        <f>P98+P99</f>
        <v>43468</v>
      </c>
      <c r="Q101" s="294"/>
      <c r="R101" s="362">
        <f>R98+R99+R100</f>
        <v>8310</v>
      </c>
      <c r="S101" s="297"/>
      <c r="T101" s="274"/>
    </row>
    <row r="102" spans="1:21" x14ac:dyDescent="0.3">
      <c r="A102" s="377"/>
      <c r="B102" s="378" t="s">
        <v>28</v>
      </c>
      <c r="C102" s="317"/>
      <c r="D102" s="317"/>
      <c r="E102" s="317"/>
      <c r="F102" s="317"/>
      <c r="G102" s="317"/>
      <c r="H102" s="317"/>
      <c r="I102" s="317"/>
      <c r="J102" s="317"/>
      <c r="K102" s="317"/>
      <c r="L102" s="317"/>
      <c r="M102" s="317"/>
      <c r="N102" s="317"/>
      <c r="O102" s="317"/>
      <c r="P102" s="379"/>
      <c r="Q102" s="380"/>
      <c r="R102" s="381"/>
      <c r="S102" s="382"/>
      <c r="T102" s="256"/>
    </row>
    <row r="103" spans="1:21" s="275" customFormat="1" x14ac:dyDescent="0.3">
      <c r="A103" s="301">
        <v>1</v>
      </c>
      <c r="B103" s="294" t="s">
        <v>175</v>
      </c>
      <c r="C103" s="294"/>
      <c r="D103" s="294"/>
      <c r="E103" s="294"/>
      <c r="F103" s="294"/>
      <c r="G103" s="294"/>
      <c r="H103" s="294"/>
      <c r="I103" s="294"/>
      <c r="J103" s="294"/>
      <c r="K103" s="294"/>
      <c r="L103" s="294"/>
      <c r="M103" s="294"/>
      <c r="N103" s="294"/>
      <c r="O103" s="294"/>
      <c r="P103" s="362"/>
      <c r="Q103" s="294"/>
      <c r="R103" s="363">
        <v>0</v>
      </c>
      <c r="S103" s="297"/>
      <c r="T103" s="274"/>
    </row>
    <row r="104" spans="1:21" s="275" customFormat="1" x14ac:dyDescent="0.3">
      <c r="A104" s="301">
        <v>2</v>
      </c>
      <c r="B104" s="294" t="s">
        <v>195</v>
      </c>
      <c r="C104" s="294"/>
      <c r="D104" s="294"/>
      <c r="E104" s="294"/>
      <c r="F104" s="294"/>
      <c r="G104" s="294"/>
      <c r="H104" s="294"/>
      <c r="I104" s="294"/>
      <c r="J104" s="294"/>
      <c r="K104" s="294"/>
      <c r="L104" s="294"/>
      <c r="M104" s="294"/>
      <c r="N104" s="294"/>
      <c r="O104" s="294"/>
      <c r="P104" s="294"/>
      <c r="Q104" s="294"/>
      <c r="R104" s="363">
        <f>-3</f>
        <v>-3</v>
      </c>
      <c r="S104" s="297"/>
      <c r="T104" s="274"/>
    </row>
    <row r="105" spans="1:21" s="275" customFormat="1" x14ac:dyDescent="0.3">
      <c r="A105" s="301">
        <v>3</v>
      </c>
      <c r="B105" s="294" t="s">
        <v>284</v>
      </c>
      <c r="C105" s="294"/>
      <c r="D105" s="294"/>
      <c r="E105" s="294"/>
      <c r="F105" s="294"/>
      <c r="G105" s="294"/>
      <c r="H105" s="294"/>
      <c r="I105" s="294"/>
      <c r="J105" s="294"/>
      <c r="K105" s="294"/>
      <c r="L105" s="294"/>
      <c r="M105" s="294"/>
      <c r="N105" s="294"/>
      <c r="O105" s="294"/>
      <c r="P105" s="294"/>
      <c r="Q105" s="294"/>
      <c r="R105" s="363">
        <f>-16-1-2</f>
        <v>-19</v>
      </c>
      <c r="S105" s="297"/>
      <c r="T105" s="274"/>
    </row>
    <row r="106" spans="1:21" s="275" customFormat="1" x14ac:dyDescent="0.3">
      <c r="A106" s="301">
        <v>4</v>
      </c>
      <c r="B106" s="294" t="s">
        <v>96</v>
      </c>
      <c r="C106" s="294"/>
      <c r="D106" s="294"/>
      <c r="E106" s="294"/>
      <c r="F106" s="294"/>
      <c r="G106" s="294"/>
      <c r="H106" s="294"/>
      <c r="I106" s="294"/>
      <c r="J106" s="294"/>
      <c r="K106" s="294"/>
      <c r="L106" s="294"/>
      <c r="M106" s="294"/>
      <c r="N106" s="294"/>
      <c r="O106" s="294"/>
      <c r="P106" s="294"/>
      <c r="Q106" s="294"/>
      <c r="R106" s="363">
        <v>-27</v>
      </c>
      <c r="S106" s="297"/>
      <c r="T106" s="274"/>
    </row>
    <row r="107" spans="1:21" s="275" customFormat="1" x14ac:dyDescent="0.3">
      <c r="A107" s="301" t="s">
        <v>255</v>
      </c>
      <c r="B107" s="294" t="s">
        <v>254</v>
      </c>
      <c r="C107" s="294"/>
      <c r="D107" s="294"/>
      <c r="E107" s="294"/>
      <c r="F107" s="294"/>
      <c r="G107" s="294"/>
      <c r="H107" s="294"/>
      <c r="I107" s="294"/>
      <c r="J107" s="294"/>
      <c r="K107" s="294"/>
      <c r="L107" s="294"/>
      <c r="M107" s="294"/>
      <c r="N107" s="294"/>
      <c r="O107" s="294"/>
      <c r="P107" s="294"/>
      <c r="Q107" s="294"/>
      <c r="R107" s="363">
        <v>-8</v>
      </c>
      <c r="S107" s="297"/>
      <c r="T107" s="274"/>
      <c r="U107" s="364"/>
    </row>
    <row r="108" spans="1:21" s="275" customFormat="1" x14ac:dyDescent="0.3">
      <c r="A108" s="301" t="s">
        <v>256</v>
      </c>
      <c r="B108" s="294" t="s">
        <v>248</v>
      </c>
      <c r="C108" s="294"/>
      <c r="D108" s="294"/>
      <c r="E108" s="294"/>
      <c r="F108" s="294"/>
      <c r="G108" s="294"/>
      <c r="H108" s="294"/>
      <c r="I108" s="294"/>
      <c r="J108" s="294"/>
      <c r="K108" s="294"/>
      <c r="L108" s="294"/>
      <c r="M108" s="294"/>
      <c r="N108" s="294"/>
      <c r="O108" s="294"/>
      <c r="P108" s="294"/>
      <c r="Q108" s="294"/>
      <c r="R108" s="363">
        <v>-18</v>
      </c>
      <c r="S108" s="297"/>
      <c r="T108" s="274"/>
      <c r="U108" s="364"/>
    </row>
    <row r="109" spans="1:21" s="275" customFormat="1" x14ac:dyDescent="0.3">
      <c r="A109" s="301">
        <v>6</v>
      </c>
      <c r="B109" s="294" t="s">
        <v>189</v>
      </c>
      <c r="C109" s="294"/>
      <c r="D109" s="294"/>
      <c r="E109" s="294"/>
      <c r="F109" s="294"/>
      <c r="G109" s="294"/>
      <c r="H109" s="294"/>
      <c r="I109" s="294"/>
      <c r="J109" s="294"/>
      <c r="K109" s="294"/>
      <c r="L109" s="294"/>
      <c r="M109" s="294"/>
      <c r="N109" s="294"/>
      <c r="O109" s="294"/>
      <c r="P109" s="294"/>
      <c r="Q109" s="294"/>
      <c r="R109" s="363">
        <v>-90</v>
      </c>
      <c r="S109" s="297"/>
      <c r="T109" s="274"/>
      <c r="U109" s="364"/>
    </row>
    <row r="110" spans="1:21" s="275" customFormat="1" x14ac:dyDescent="0.3">
      <c r="A110" s="301">
        <v>7</v>
      </c>
      <c r="B110" s="294" t="s">
        <v>190</v>
      </c>
      <c r="C110" s="294"/>
      <c r="D110" s="294"/>
      <c r="E110" s="294"/>
      <c r="F110" s="294"/>
      <c r="G110" s="294"/>
      <c r="H110" s="294"/>
      <c r="I110" s="294"/>
      <c r="J110" s="294"/>
      <c r="K110" s="294"/>
      <c r="L110" s="294"/>
      <c r="M110" s="294"/>
      <c r="N110" s="294"/>
      <c r="O110" s="294"/>
      <c r="P110" s="294"/>
      <c r="Q110" s="294"/>
      <c r="R110" s="363">
        <v>-118</v>
      </c>
      <c r="S110" s="297"/>
      <c r="T110" s="274"/>
      <c r="U110" s="364"/>
    </row>
    <row r="111" spans="1:21" s="275" customFormat="1" x14ac:dyDescent="0.3">
      <c r="A111" s="301">
        <v>8</v>
      </c>
      <c r="B111" s="294" t="s">
        <v>156</v>
      </c>
      <c r="C111" s="294"/>
      <c r="D111" s="294"/>
      <c r="E111" s="294"/>
      <c r="F111" s="294"/>
      <c r="G111" s="294"/>
      <c r="H111" s="294"/>
      <c r="I111" s="294"/>
      <c r="J111" s="294"/>
      <c r="K111" s="294"/>
      <c r="L111" s="294"/>
      <c r="M111" s="294"/>
      <c r="N111" s="294"/>
      <c r="O111" s="294"/>
      <c r="P111" s="294"/>
      <c r="Q111" s="294"/>
      <c r="R111" s="363">
        <v>0</v>
      </c>
      <c r="S111" s="297"/>
      <c r="T111" s="274"/>
      <c r="U111" s="364"/>
    </row>
    <row r="112" spans="1:21" s="275" customFormat="1" x14ac:dyDescent="0.3">
      <c r="A112" s="301">
        <v>9</v>
      </c>
      <c r="B112" s="294" t="s">
        <v>37</v>
      </c>
      <c r="C112" s="294"/>
      <c r="D112" s="294"/>
      <c r="E112" s="294"/>
      <c r="F112" s="294"/>
      <c r="G112" s="294"/>
      <c r="H112" s="294"/>
      <c r="I112" s="294"/>
      <c r="J112" s="294"/>
      <c r="K112" s="294"/>
      <c r="L112" s="294"/>
      <c r="M112" s="294"/>
      <c r="N112" s="294"/>
      <c r="O112" s="294"/>
      <c r="P112" s="362">
        <f>-R112</f>
        <v>0</v>
      </c>
      <c r="Q112" s="294"/>
      <c r="R112" s="363">
        <v>0</v>
      </c>
      <c r="S112" s="297"/>
      <c r="T112" s="274"/>
    </row>
    <row r="113" spans="1:20" s="275" customFormat="1" x14ac:dyDescent="0.3">
      <c r="A113" s="301">
        <v>10</v>
      </c>
      <c r="B113" s="294" t="s">
        <v>101</v>
      </c>
      <c r="C113" s="294"/>
      <c r="D113" s="294"/>
      <c r="E113" s="294"/>
      <c r="F113" s="294"/>
      <c r="G113" s="294"/>
      <c r="H113" s="294"/>
      <c r="I113" s="294"/>
      <c r="J113" s="294"/>
      <c r="K113" s="294"/>
      <c r="L113" s="294"/>
      <c r="M113" s="294"/>
      <c r="N113" s="294"/>
      <c r="O113" s="294"/>
      <c r="P113" s="294"/>
      <c r="Q113" s="294"/>
      <c r="R113" s="363">
        <v>0</v>
      </c>
      <c r="S113" s="297"/>
      <c r="T113" s="274"/>
    </row>
    <row r="114" spans="1:20" s="275" customFormat="1" x14ac:dyDescent="0.3">
      <c r="A114" s="301">
        <v>11</v>
      </c>
      <c r="B114" s="294" t="s">
        <v>29</v>
      </c>
      <c r="C114" s="294"/>
      <c r="D114" s="294"/>
      <c r="E114" s="294"/>
      <c r="F114" s="294"/>
      <c r="G114" s="294"/>
      <c r="H114" s="294"/>
      <c r="I114" s="294"/>
      <c r="J114" s="294"/>
      <c r="K114" s="294"/>
      <c r="L114" s="294"/>
      <c r="M114" s="294"/>
      <c r="N114" s="294"/>
      <c r="O114" s="294"/>
      <c r="P114" s="294"/>
      <c r="Q114" s="294"/>
      <c r="R114" s="363">
        <v>-16</v>
      </c>
      <c r="S114" s="297"/>
      <c r="T114" s="274"/>
    </row>
    <row r="115" spans="1:20" s="275" customFormat="1" x14ac:dyDescent="0.3">
      <c r="A115" s="301">
        <v>12</v>
      </c>
      <c r="B115" s="294" t="s">
        <v>138</v>
      </c>
      <c r="C115" s="294"/>
      <c r="D115" s="294"/>
      <c r="E115" s="294"/>
      <c r="F115" s="294"/>
      <c r="G115" s="294"/>
      <c r="H115" s="294"/>
      <c r="I115" s="294"/>
      <c r="J115" s="294"/>
      <c r="K115" s="294"/>
      <c r="L115" s="294"/>
      <c r="M115" s="294"/>
      <c r="N115" s="294"/>
      <c r="O115" s="294"/>
      <c r="P115" s="294"/>
      <c r="Q115" s="294"/>
      <c r="R115" s="363">
        <v>0</v>
      </c>
      <c r="S115" s="297"/>
      <c r="T115" s="274"/>
    </row>
    <row r="116" spans="1:20" s="275" customFormat="1" x14ac:dyDescent="0.3">
      <c r="A116" s="301">
        <v>13</v>
      </c>
      <c r="B116" s="294" t="s">
        <v>249</v>
      </c>
      <c r="C116" s="294"/>
      <c r="D116" s="294"/>
      <c r="E116" s="294"/>
      <c r="F116" s="294"/>
      <c r="G116" s="294"/>
      <c r="H116" s="294"/>
      <c r="I116" s="294"/>
      <c r="J116" s="294"/>
      <c r="K116" s="294"/>
      <c r="L116" s="294"/>
      <c r="M116" s="294"/>
      <c r="N116" s="294"/>
      <c r="O116" s="294"/>
      <c r="P116" s="294"/>
      <c r="Q116" s="294"/>
      <c r="R116" s="363">
        <v>-63</v>
      </c>
      <c r="S116" s="297"/>
      <c r="T116" s="274"/>
    </row>
    <row r="117" spans="1:20" s="275" customFormat="1" x14ac:dyDescent="0.3">
      <c r="A117" s="301">
        <v>14</v>
      </c>
      <c r="B117" s="294" t="s">
        <v>157</v>
      </c>
      <c r="C117" s="294"/>
      <c r="D117" s="294"/>
      <c r="E117" s="294"/>
      <c r="F117" s="294"/>
      <c r="G117" s="294"/>
      <c r="H117" s="294"/>
      <c r="I117" s="294"/>
      <c r="J117" s="294"/>
      <c r="K117" s="294"/>
      <c r="L117" s="294"/>
      <c r="M117" s="294"/>
      <c r="N117" s="294"/>
      <c r="O117" s="294"/>
      <c r="P117" s="294"/>
      <c r="Q117" s="294"/>
      <c r="R117" s="363">
        <v>0</v>
      </c>
      <c r="S117" s="297"/>
      <c r="T117" s="274"/>
    </row>
    <row r="118" spans="1:20" s="275" customFormat="1" x14ac:dyDescent="0.3">
      <c r="A118" s="301">
        <v>15</v>
      </c>
      <c r="B118" s="294" t="s">
        <v>208</v>
      </c>
      <c r="C118" s="294"/>
      <c r="D118" s="294"/>
      <c r="E118" s="294"/>
      <c r="F118" s="294"/>
      <c r="G118" s="294"/>
      <c r="H118" s="294"/>
      <c r="I118" s="294"/>
      <c r="J118" s="294"/>
      <c r="K118" s="294"/>
      <c r="L118" s="294"/>
      <c r="M118" s="294"/>
      <c r="N118" s="294"/>
      <c r="O118" s="294"/>
      <c r="P118" s="294"/>
      <c r="Q118" s="294"/>
      <c r="R118" s="363">
        <v>-17</v>
      </c>
      <c r="S118" s="297"/>
      <c r="T118" s="274"/>
    </row>
    <row r="119" spans="1:20" s="275" customFormat="1" x14ac:dyDescent="0.3">
      <c r="A119" s="301">
        <v>16</v>
      </c>
      <c r="B119" s="294" t="s">
        <v>167</v>
      </c>
      <c r="C119" s="294"/>
      <c r="D119" s="294"/>
      <c r="E119" s="294"/>
      <c r="F119" s="294"/>
      <c r="G119" s="294"/>
      <c r="H119" s="294"/>
      <c r="I119" s="294"/>
      <c r="J119" s="294"/>
      <c r="K119" s="294"/>
      <c r="L119" s="294"/>
      <c r="M119" s="294"/>
      <c r="N119" s="294"/>
      <c r="O119" s="294"/>
      <c r="P119" s="294"/>
      <c r="Q119" s="294"/>
      <c r="R119" s="363">
        <f>-3-266</f>
        <v>-269</v>
      </c>
      <c r="S119" s="297"/>
      <c r="T119" s="274"/>
    </row>
    <row r="120" spans="1:20" s="275" customFormat="1" x14ac:dyDescent="0.3">
      <c r="A120" s="301">
        <v>17</v>
      </c>
      <c r="B120" s="294" t="s">
        <v>303</v>
      </c>
      <c r="C120" s="294"/>
      <c r="D120" s="294"/>
      <c r="E120" s="294"/>
      <c r="F120" s="294"/>
      <c r="G120" s="294"/>
      <c r="H120" s="294"/>
      <c r="I120" s="294"/>
      <c r="J120" s="294"/>
      <c r="K120" s="294"/>
      <c r="L120" s="294"/>
      <c r="M120" s="294"/>
      <c r="N120" s="294"/>
      <c r="O120" s="294"/>
      <c r="P120" s="294"/>
      <c r="Q120" s="294"/>
      <c r="R120" s="363">
        <v>-90</v>
      </c>
      <c r="S120" s="297"/>
      <c r="T120" s="274"/>
    </row>
    <row r="121" spans="1:20" s="275" customFormat="1" x14ac:dyDescent="0.3">
      <c r="A121" s="301">
        <v>18</v>
      </c>
      <c r="B121" s="294" t="s">
        <v>304</v>
      </c>
      <c r="C121" s="294"/>
      <c r="D121" s="294"/>
      <c r="E121" s="294"/>
      <c r="F121" s="294"/>
      <c r="G121" s="294"/>
      <c r="H121" s="294"/>
      <c r="I121" s="294"/>
      <c r="J121" s="294"/>
      <c r="K121" s="294"/>
      <c r="L121" s="294"/>
      <c r="M121" s="294"/>
      <c r="N121" s="294"/>
      <c r="O121" s="294"/>
      <c r="P121" s="294"/>
      <c r="Q121" s="294"/>
      <c r="R121" s="363">
        <v>0</v>
      </c>
      <c r="S121" s="297"/>
      <c r="T121" s="274"/>
    </row>
    <row r="122" spans="1:20" s="275" customFormat="1" x14ac:dyDescent="0.3">
      <c r="A122" s="301">
        <v>19</v>
      </c>
      <c r="B122" s="294" t="s">
        <v>305</v>
      </c>
      <c r="C122" s="294"/>
      <c r="D122" s="294"/>
      <c r="E122" s="294"/>
      <c r="F122" s="294"/>
      <c r="G122" s="294"/>
      <c r="H122" s="294"/>
      <c r="I122" s="294"/>
      <c r="J122" s="294"/>
      <c r="K122" s="294"/>
      <c r="L122" s="294"/>
      <c r="M122" s="294"/>
      <c r="N122" s="294"/>
      <c r="O122" s="294"/>
      <c r="P122" s="294"/>
      <c r="Q122" s="294"/>
      <c r="R122" s="363">
        <v>0</v>
      </c>
      <c r="S122" s="297"/>
      <c r="T122" s="274"/>
    </row>
    <row r="123" spans="1:20" s="275" customFormat="1" x14ac:dyDescent="0.3">
      <c r="A123" s="301">
        <v>20</v>
      </c>
      <c r="B123" s="294" t="s">
        <v>306</v>
      </c>
      <c r="C123" s="294"/>
      <c r="D123" s="294"/>
      <c r="E123" s="294"/>
      <c r="F123" s="294"/>
      <c r="G123" s="294"/>
      <c r="H123" s="294"/>
      <c r="I123" s="294"/>
      <c r="J123" s="294"/>
      <c r="K123" s="294"/>
      <c r="L123" s="294"/>
      <c r="M123" s="294"/>
      <c r="N123" s="294"/>
      <c r="O123" s="294"/>
      <c r="P123" s="294"/>
      <c r="Q123" s="294"/>
      <c r="R123" s="363">
        <f>-R101-SUM(R103:R122)</f>
        <v>-7572</v>
      </c>
      <c r="S123" s="297"/>
      <c r="T123" s="274"/>
    </row>
    <row r="124" spans="1:20" x14ac:dyDescent="0.3">
      <c r="A124" s="377"/>
      <c r="B124" s="378" t="s">
        <v>30</v>
      </c>
      <c r="C124" s="317"/>
      <c r="D124" s="317"/>
      <c r="E124" s="317"/>
      <c r="F124" s="317"/>
      <c r="G124" s="317"/>
      <c r="H124" s="317"/>
      <c r="I124" s="317"/>
      <c r="J124" s="317"/>
      <c r="K124" s="317"/>
      <c r="L124" s="317"/>
      <c r="M124" s="317"/>
      <c r="N124" s="317"/>
      <c r="O124" s="317"/>
      <c r="P124" s="380"/>
      <c r="Q124" s="380"/>
      <c r="R124" s="383"/>
      <c r="S124" s="382"/>
      <c r="T124" s="256"/>
    </row>
    <row r="125" spans="1:20" s="275" customFormat="1" x14ac:dyDescent="0.3">
      <c r="A125" s="301"/>
      <c r="B125" s="294" t="s">
        <v>209</v>
      </c>
      <c r="C125" s="294"/>
      <c r="D125" s="294"/>
      <c r="E125" s="294"/>
      <c r="F125" s="294"/>
      <c r="G125" s="294"/>
      <c r="H125" s="294"/>
      <c r="I125" s="294"/>
      <c r="J125" s="294"/>
      <c r="K125" s="294"/>
      <c r="L125" s="294"/>
      <c r="M125" s="294"/>
      <c r="N125" s="294"/>
      <c r="O125" s="294"/>
      <c r="P125" s="362">
        <f>-P193</f>
        <v>0</v>
      </c>
      <c r="Q125" s="362"/>
      <c r="R125" s="363"/>
      <c r="S125" s="297"/>
      <c r="T125" s="274"/>
    </row>
    <row r="126" spans="1:20" s="275" customFormat="1" x14ac:dyDescent="0.3">
      <c r="A126" s="301"/>
      <c r="B126" s="294" t="s">
        <v>210</v>
      </c>
      <c r="C126" s="294"/>
      <c r="D126" s="294"/>
      <c r="E126" s="294"/>
      <c r="F126" s="294"/>
      <c r="G126" s="294"/>
      <c r="H126" s="294"/>
      <c r="I126" s="294"/>
      <c r="J126" s="294"/>
      <c r="K126" s="294"/>
      <c r="L126" s="294"/>
      <c r="M126" s="294"/>
      <c r="N126" s="294"/>
      <c r="O126" s="294"/>
      <c r="P126" s="362">
        <f>-O193</f>
        <v>0</v>
      </c>
      <c r="Q126" s="362"/>
      <c r="R126" s="363"/>
      <c r="S126" s="297"/>
      <c r="T126" s="274"/>
    </row>
    <row r="127" spans="1:20" s="275" customFormat="1" x14ac:dyDescent="0.3">
      <c r="A127" s="301"/>
      <c r="B127" s="294" t="s">
        <v>252</v>
      </c>
      <c r="C127" s="294"/>
      <c r="D127" s="294"/>
      <c r="E127" s="294"/>
      <c r="F127" s="294"/>
      <c r="G127" s="294"/>
      <c r="H127" s="294"/>
      <c r="I127" s="294"/>
      <c r="J127" s="294"/>
      <c r="K127" s="294"/>
      <c r="L127" s="294"/>
      <c r="M127" s="294"/>
      <c r="N127" s="294"/>
      <c r="O127" s="294"/>
      <c r="P127" s="362">
        <v>-1501</v>
      </c>
      <c r="Q127" s="362"/>
      <c r="R127" s="363"/>
      <c r="S127" s="297"/>
      <c r="T127" s="274"/>
    </row>
    <row r="128" spans="1:20" s="275" customFormat="1" x14ac:dyDescent="0.3">
      <c r="A128" s="301"/>
      <c r="B128" s="294" t="s">
        <v>251</v>
      </c>
      <c r="C128" s="294"/>
      <c r="D128" s="294"/>
      <c r="E128" s="294"/>
      <c r="F128" s="294"/>
      <c r="G128" s="294"/>
      <c r="H128" s="294"/>
      <c r="I128" s="294"/>
      <c r="J128" s="294"/>
      <c r="K128" s="294"/>
      <c r="L128" s="294"/>
      <c r="M128" s="294"/>
      <c r="N128" s="294"/>
      <c r="O128" s="294"/>
      <c r="P128" s="362">
        <v>-3862</v>
      </c>
      <c r="Q128" s="362"/>
      <c r="R128" s="363"/>
      <c r="S128" s="297"/>
      <c r="T128" s="274"/>
    </row>
    <row r="129" spans="1:20" s="275" customFormat="1" x14ac:dyDescent="0.3">
      <c r="A129" s="301"/>
      <c r="B129" s="294" t="s">
        <v>181</v>
      </c>
      <c r="C129" s="294"/>
      <c r="D129" s="294"/>
      <c r="E129" s="294"/>
      <c r="F129" s="294"/>
      <c r="G129" s="294"/>
      <c r="H129" s="294"/>
      <c r="I129" s="294"/>
      <c r="J129" s="294"/>
      <c r="K129" s="294"/>
      <c r="L129" s="294"/>
      <c r="M129" s="294"/>
      <c r="N129" s="294"/>
      <c r="O129" s="294"/>
      <c r="P129" s="362">
        <v>-14800</v>
      </c>
      <c r="Q129" s="362"/>
      <c r="R129" s="363"/>
      <c r="S129" s="297"/>
      <c r="T129" s="274"/>
    </row>
    <row r="130" spans="1:20" s="275" customFormat="1" x14ac:dyDescent="0.3">
      <c r="A130" s="301"/>
      <c r="B130" s="294" t="s">
        <v>182</v>
      </c>
      <c r="C130" s="294"/>
      <c r="D130" s="294"/>
      <c r="E130" s="294"/>
      <c r="F130" s="294"/>
      <c r="G130" s="294"/>
      <c r="H130" s="294"/>
      <c r="I130" s="294"/>
      <c r="J130" s="294"/>
      <c r="K130" s="294"/>
      <c r="L130" s="294"/>
      <c r="M130" s="294"/>
      <c r="N130" s="294"/>
      <c r="O130" s="294"/>
      <c r="P130" s="362">
        <v>-15800</v>
      </c>
      <c r="Q130" s="362"/>
      <c r="R130" s="363"/>
      <c r="S130" s="297"/>
      <c r="T130" s="274"/>
    </row>
    <row r="131" spans="1:20" s="275" customFormat="1" x14ac:dyDescent="0.3">
      <c r="A131" s="301"/>
      <c r="B131" s="294" t="s">
        <v>253</v>
      </c>
      <c r="C131" s="294"/>
      <c r="D131" s="294"/>
      <c r="E131" s="294"/>
      <c r="F131" s="294"/>
      <c r="G131" s="294"/>
      <c r="H131" s="294"/>
      <c r="I131" s="294"/>
      <c r="J131" s="294"/>
      <c r="K131" s="294"/>
      <c r="L131" s="294"/>
      <c r="M131" s="294"/>
      <c r="N131" s="294"/>
      <c r="O131" s="294"/>
      <c r="P131" s="362">
        <v>-7505</v>
      </c>
      <c r="Q131" s="362"/>
      <c r="R131" s="363"/>
      <c r="S131" s="297"/>
      <c r="T131" s="274"/>
    </row>
    <row r="132" spans="1:20" s="275" customFormat="1" x14ac:dyDescent="0.3">
      <c r="A132" s="301"/>
      <c r="B132" s="294" t="s">
        <v>31</v>
      </c>
      <c r="C132" s="294"/>
      <c r="D132" s="294"/>
      <c r="E132" s="294"/>
      <c r="F132" s="294"/>
      <c r="G132" s="294"/>
      <c r="H132" s="294"/>
      <c r="I132" s="294"/>
      <c r="J132" s="294"/>
      <c r="K132" s="294"/>
      <c r="L132" s="294"/>
      <c r="M132" s="294"/>
      <c r="N132" s="294"/>
      <c r="O132" s="294"/>
      <c r="P132" s="362">
        <f>SUM(P125:P131)</f>
        <v>-43468</v>
      </c>
      <c r="Q132" s="362"/>
      <c r="R132" s="362">
        <f>SUM(R102:R131)</f>
        <v>-8310</v>
      </c>
      <c r="S132" s="297"/>
      <c r="T132" s="274"/>
    </row>
    <row r="133" spans="1:20" s="275" customFormat="1" x14ac:dyDescent="0.3">
      <c r="A133" s="301"/>
      <c r="B133" s="294" t="s">
        <v>32</v>
      </c>
      <c r="C133" s="294"/>
      <c r="D133" s="294"/>
      <c r="E133" s="294"/>
      <c r="F133" s="294"/>
      <c r="G133" s="294"/>
      <c r="H133" s="294"/>
      <c r="I133" s="294"/>
      <c r="J133" s="294"/>
      <c r="K133" s="294"/>
      <c r="L133" s="294"/>
      <c r="M133" s="294"/>
      <c r="N133" s="294"/>
      <c r="O133" s="294"/>
      <c r="P133" s="362">
        <f>P101+P132+P112</f>
        <v>0</v>
      </c>
      <c r="Q133" s="362"/>
      <c r="R133" s="362">
        <f>R101+R132</f>
        <v>0</v>
      </c>
      <c r="S133" s="297"/>
      <c r="T133" s="274"/>
    </row>
    <row r="134" spans="1:20" s="275" customFormat="1" x14ac:dyDescent="0.3">
      <c r="A134" s="270"/>
      <c r="B134" s="291"/>
      <c r="C134" s="291"/>
      <c r="D134" s="291"/>
      <c r="E134" s="291"/>
      <c r="F134" s="291"/>
      <c r="G134" s="291"/>
      <c r="H134" s="291"/>
      <c r="I134" s="291"/>
      <c r="J134" s="291"/>
      <c r="K134" s="291"/>
      <c r="L134" s="291"/>
      <c r="M134" s="291"/>
      <c r="N134" s="291"/>
      <c r="O134" s="291"/>
      <c r="P134" s="373"/>
      <c r="Q134" s="373"/>
      <c r="R134" s="373"/>
      <c r="S134" s="273"/>
      <c r="T134" s="274"/>
    </row>
    <row r="135" spans="1:20" s="275" customFormat="1" x14ac:dyDescent="0.3">
      <c r="A135" s="270"/>
      <c r="B135" s="272"/>
      <c r="C135" s="272"/>
      <c r="D135" s="272"/>
      <c r="E135" s="272"/>
      <c r="F135" s="272"/>
      <c r="G135" s="272"/>
      <c r="H135" s="272"/>
      <c r="I135" s="272"/>
      <c r="J135" s="272"/>
      <c r="K135" s="272"/>
      <c r="L135" s="272"/>
      <c r="M135" s="272"/>
      <c r="N135" s="272"/>
      <c r="O135" s="272"/>
      <c r="P135" s="272"/>
      <c r="Q135" s="272"/>
      <c r="R135" s="384"/>
      <c r="S135" s="273"/>
      <c r="T135" s="274"/>
    </row>
    <row r="136" spans="1:20" s="275" customFormat="1" ht="18.600000000000001" thickBot="1" x14ac:dyDescent="0.4">
      <c r="A136" s="385"/>
      <c r="B136" s="349" t="str">
        <f>B60</f>
        <v>PM23 INVESTOR REPORT QUARTER ENDING SEPTEMBER 2019</v>
      </c>
      <c r="C136" s="386"/>
      <c r="D136" s="386"/>
      <c r="E136" s="386"/>
      <c r="F136" s="386"/>
      <c r="G136" s="386"/>
      <c r="H136" s="386"/>
      <c r="I136" s="386"/>
      <c r="J136" s="386"/>
      <c r="K136" s="386"/>
      <c r="L136" s="386"/>
      <c r="M136" s="386"/>
      <c r="N136" s="386"/>
      <c r="O136" s="386"/>
      <c r="P136" s="386"/>
      <c r="Q136" s="386"/>
      <c r="R136" s="387"/>
      <c r="S136" s="388"/>
      <c r="T136" s="274"/>
    </row>
    <row r="137" spans="1:20" x14ac:dyDescent="0.3">
      <c r="A137" s="389"/>
      <c r="B137" s="390" t="s">
        <v>33</v>
      </c>
      <c r="C137" s="391"/>
      <c r="D137" s="391"/>
      <c r="E137" s="391"/>
      <c r="F137" s="391"/>
      <c r="G137" s="391"/>
      <c r="H137" s="391"/>
      <c r="I137" s="391"/>
      <c r="J137" s="391"/>
      <c r="K137" s="391"/>
      <c r="L137" s="391"/>
      <c r="M137" s="391"/>
      <c r="N137" s="391"/>
      <c r="O137" s="391"/>
      <c r="P137" s="391"/>
      <c r="Q137" s="391"/>
      <c r="R137" s="392"/>
      <c r="S137" s="393"/>
      <c r="T137" s="256"/>
    </row>
    <row r="138" spans="1:20" x14ac:dyDescent="0.3">
      <c r="A138" s="258"/>
      <c r="B138" s="394"/>
      <c r="C138" s="260"/>
      <c r="D138" s="260"/>
      <c r="E138" s="260"/>
      <c r="F138" s="260"/>
      <c r="G138" s="260"/>
      <c r="H138" s="260"/>
      <c r="I138" s="260"/>
      <c r="J138" s="260"/>
      <c r="K138" s="260"/>
      <c r="L138" s="260"/>
      <c r="M138" s="260"/>
      <c r="N138" s="260"/>
      <c r="O138" s="260"/>
      <c r="P138" s="260"/>
      <c r="Q138" s="260"/>
      <c r="R138" s="356"/>
      <c r="S138" s="261"/>
      <c r="T138" s="256"/>
    </row>
    <row r="139" spans="1:20" x14ac:dyDescent="0.3">
      <c r="A139" s="258"/>
      <c r="B139" s="395" t="s">
        <v>34</v>
      </c>
      <c r="C139" s="260"/>
      <c r="D139" s="260"/>
      <c r="E139" s="260"/>
      <c r="F139" s="260"/>
      <c r="G139" s="260"/>
      <c r="H139" s="260"/>
      <c r="I139" s="260"/>
      <c r="J139" s="260"/>
      <c r="K139" s="260"/>
      <c r="L139" s="260"/>
      <c r="M139" s="260"/>
      <c r="N139" s="260"/>
      <c r="O139" s="260"/>
      <c r="P139" s="260"/>
      <c r="Q139" s="260"/>
      <c r="R139" s="356"/>
      <c r="S139" s="261"/>
      <c r="T139" s="256"/>
    </row>
    <row r="140" spans="1:20" s="275" customFormat="1" x14ac:dyDescent="0.3">
      <c r="A140" s="301"/>
      <c r="B140" s="294" t="s">
        <v>35</v>
      </c>
      <c r="C140" s="294"/>
      <c r="D140" s="294"/>
      <c r="E140" s="294"/>
      <c r="F140" s="294"/>
      <c r="G140" s="294"/>
      <c r="H140" s="294"/>
      <c r="I140" s="294"/>
      <c r="J140" s="294"/>
      <c r="K140" s="294"/>
      <c r="L140" s="294"/>
      <c r="M140" s="294"/>
      <c r="N140" s="294"/>
      <c r="O140" s="294"/>
      <c r="P140" s="294"/>
      <c r="Q140" s="294"/>
      <c r="R140" s="363">
        <v>7501</v>
      </c>
      <c r="S140" s="297"/>
      <c r="T140" s="274"/>
    </row>
    <row r="141" spans="1:20" s="275" customFormat="1" x14ac:dyDescent="0.3">
      <c r="A141" s="301"/>
      <c r="B141" s="294" t="s">
        <v>36</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169</v>
      </c>
      <c r="C142" s="294"/>
      <c r="D142" s="294"/>
      <c r="E142" s="294"/>
      <c r="F142" s="294"/>
      <c r="G142" s="294"/>
      <c r="H142" s="294"/>
      <c r="I142" s="294"/>
      <c r="J142" s="294"/>
      <c r="K142" s="294"/>
      <c r="L142" s="294"/>
      <c r="M142" s="294"/>
      <c r="N142" s="294"/>
      <c r="O142" s="294"/>
      <c r="P142" s="294"/>
      <c r="Q142" s="294"/>
      <c r="R142" s="363">
        <f>R140-R143</f>
        <v>7501</v>
      </c>
      <c r="S142" s="297"/>
      <c r="T142" s="274"/>
    </row>
    <row r="143" spans="1:20" s="275" customFormat="1" x14ac:dyDescent="0.3">
      <c r="A143" s="301"/>
      <c r="B143" s="294" t="s">
        <v>211</v>
      </c>
      <c r="C143" s="294"/>
      <c r="D143" s="294"/>
      <c r="E143" s="294"/>
      <c r="F143" s="294"/>
      <c r="G143" s="294"/>
      <c r="H143" s="294"/>
      <c r="I143" s="294"/>
      <c r="J143" s="294"/>
      <c r="K143" s="294"/>
      <c r="L143" s="294"/>
      <c r="M143" s="294"/>
      <c r="N143" s="294"/>
      <c r="O143" s="294"/>
      <c r="P143" s="294"/>
      <c r="Q143" s="294"/>
      <c r="R143" s="363">
        <f>SUM(D33:J33)*0.025</f>
        <v>0</v>
      </c>
      <c r="S143" s="297"/>
      <c r="T143" s="274"/>
    </row>
    <row r="144" spans="1:20" s="275" customFormat="1" x14ac:dyDescent="0.3">
      <c r="A144" s="301"/>
      <c r="B144" s="317" t="s">
        <v>301</v>
      </c>
      <c r="C144" s="294"/>
      <c r="D144" s="294"/>
      <c r="E144" s="294"/>
      <c r="F144" s="294"/>
      <c r="G144" s="294"/>
      <c r="H144" s="294"/>
      <c r="I144" s="294"/>
      <c r="J144" s="294"/>
      <c r="K144" s="294"/>
      <c r="L144" s="294"/>
      <c r="M144" s="294"/>
      <c r="N144" s="294"/>
      <c r="O144" s="294"/>
      <c r="P144" s="294"/>
      <c r="Q144" s="294"/>
      <c r="R144" s="363">
        <v>-7501</v>
      </c>
      <c r="S144" s="297"/>
      <c r="T144" s="274"/>
    </row>
    <row r="145" spans="1:21" s="275" customFormat="1" x14ac:dyDescent="0.3">
      <c r="A145" s="301"/>
      <c r="B145" s="294" t="s">
        <v>108</v>
      </c>
      <c r="C145" s="294"/>
      <c r="D145" s="294"/>
      <c r="E145" s="294"/>
      <c r="F145" s="294"/>
      <c r="G145" s="294"/>
      <c r="H145" s="294"/>
      <c r="I145" s="294"/>
      <c r="J145" s="294"/>
      <c r="K145" s="294"/>
      <c r="L145" s="294"/>
      <c r="M145" s="294"/>
      <c r="N145" s="294"/>
      <c r="O145" s="294"/>
      <c r="P145" s="294"/>
      <c r="Q145" s="294"/>
      <c r="R145" s="363"/>
      <c r="S145" s="297"/>
      <c r="T145" s="274"/>
    </row>
    <row r="146" spans="1:21" s="275" customFormat="1" x14ac:dyDescent="0.3">
      <c r="A146" s="301"/>
      <c r="B146" s="294" t="s">
        <v>155</v>
      </c>
      <c r="C146" s="294"/>
      <c r="D146" s="294"/>
      <c r="E146" s="294"/>
      <c r="F146" s="294"/>
      <c r="G146" s="294"/>
      <c r="H146" s="294"/>
      <c r="I146" s="294"/>
      <c r="J146" s="294"/>
      <c r="K146" s="294"/>
      <c r="L146" s="294"/>
      <c r="M146" s="294"/>
      <c r="N146" s="294"/>
      <c r="O146" s="294"/>
      <c r="P146" s="294"/>
      <c r="Q146" s="294"/>
      <c r="R146" s="363">
        <v>0</v>
      </c>
      <c r="S146" s="297"/>
      <c r="T146" s="274"/>
    </row>
    <row r="147" spans="1:21" s="275" customFormat="1" x14ac:dyDescent="0.3">
      <c r="A147" s="301"/>
      <c r="B147" s="294" t="s">
        <v>189</v>
      </c>
      <c r="C147" s="294"/>
      <c r="D147" s="294"/>
      <c r="E147" s="294"/>
      <c r="F147" s="294"/>
      <c r="G147" s="294"/>
      <c r="H147" s="294"/>
      <c r="I147" s="294"/>
      <c r="J147" s="294"/>
      <c r="K147" s="294"/>
      <c r="L147" s="294"/>
      <c r="M147" s="294"/>
      <c r="N147" s="294"/>
      <c r="O147" s="294"/>
      <c r="P147" s="294"/>
      <c r="Q147" s="294"/>
      <c r="R147" s="363">
        <v>0</v>
      </c>
      <c r="S147" s="297"/>
      <c r="T147" s="274"/>
    </row>
    <row r="148" spans="1:21" s="275" customFormat="1" x14ac:dyDescent="0.3">
      <c r="A148" s="301"/>
      <c r="B148" s="294" t="s">
        <v>190</v>
      </c>
      <c r="C148" s="294"/>
      <c r="D148" s="294"/>
      <c r="E148" s="294"/>
      <c r="F148" s="294"/>
      <c r="G148" s="294"/>
      <c r="H148" s="294"/>
      <c r="I148" s="294"/>
      <c r="J148" s="294"/>
      <c r="K148" s="294"/>
      <c r="L148" s="294"/>
      <c r="M148" s="294"/>
      <c r="N148" s="294"/>
      <c r="O148" s="294"/>
      <c r="P148" s="294"/>
      <c r="Q148" s="294"/>
      <c r="R148" s="363">
        <v>0</v>
      </c>
      <c r="S148" s="297"/>
      <c r="T148" s="274"/>
    </row>
    <row r="149" spans="1:21" s="275" customFormat="1" x14ac:dyDescent="0.3">
      <c r="A149" s="301"/>
      <c r="B149" s="294" t="s">
        <v>37</v>
      </c>
      <c r="C149" s="294"/>
      <c r="D149" s="294"/>
      <c r="E149" s="294"/>
      <c r="F149" s="294"/>
      <c r="G149" s="294"/>
      <c r="H149" s="294"/>
      <c r="I149" s="294"/>
      <c r="J149" s="294"/>
      <c r="K149" s="294"/>
      <c r="L149" s="294"/>
      <c r="M149" s="294"/>
      <c r="N149" s="294"/>
      <c r="O149" s="294"/>
      <c r="P149" s="294"/>
      <c r="Q149" s="294"/>
      <c r="R149" s="363">
        <v>0</v>
      </c>
      <c r="S149" s="297"/>
      <c r="T149" s="274"/>
    </row>
    <row r="150" spans="1:21" s="275" customFormat="1" x14ac:dyDescent="0.3">
      <c r="A150" s="301"/>
      <c r="B150" s="294" t="s">
        <v>102</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275</v>
      </c>
      <c r="C151" s="294"/>
      <c r="D151" s="294"/>
      <c r="E151" s="294"/>
      <c r="F151" s="294"/>
      <c r="G151" s="294"/>
      <c r="H151" s="294"/>
      <c r="I151" s="294"/>
      <c r="J151" s="294"/>
      <c r="K151" s="294"/>
      <c r="L151" s="294"/>
      <c r="M151" s="294"/>
      <c r="N151" s="294"/>
      <c r="O151" s="294"/>
      <c r="P151" s="294"/>
      <c r="Q151" s="294"/>
      <c r="R151" s="363">
        <v>0</v>
      </c>
      <c r="S151" s="297"/>
      <c r="T151" s="274"/>
      <c r="U151" s="364"/>
    </row>
    <row r="152" spans="1:21" s="275" customFormat="1" x14ac:dyDescent="0.3">
      <c r="A152" s="301"/>
      <c r="B152" s="294" t="s">
        <v>38</v>
      </c>
      <c r="C152" s="294"/>
      <c r="D152" s="294"/>
      <c r="E152" s="294"/>
      <c r="F152" s="294"/>
      <c r="G152" s="294"/>
      <c r="H152" s="294"/>
      <c r="I152" s="294"/>
      <c r="J152" s="294"/>
      <c r="K152" s="294"/>
      <c r="L152" s="294"/>
      <c r="M152" s="294"/>
      <c r="N152" s="294"/>
      <c r="O152" s="294"/>
      <c r="P152" s="294"/>
      <c r="Q152" s="294"/>
      <c r="R152" s="363">
        <f>SUM(R141:R151)</f>
        <v>0</v>
      </c>
      <c r="S152" s="297"/>
      <c r="T152" s="274"/>
    </row>
    <row r="153" spans="1:21" x14ac:dyDescent="0.3">
      <c r="A153" s="258"/>
      <c r="B153" s="343"/>
      <c r="C153" s="343"/>
      <c r="D153" s="343"/>
      <c r="E153" s="343"/>
      <c r="F153" s="343"/>
      <c r="G153" s="343"/>
      <c r="H153" s="343"/>
      <c r="I153" s="343"/>
      <c r="J153" s="343"/>
      <c r="K153" s="343"/>
      <c r="L153" s="343"/>
      <c r="M153" s="343"/>
      <c r="N153" s="343"/>
      <c r="O153" s="343"/>
      <c r="P153" s="343"/>
      <c r="Q153" s="343"/>
      <c r="R153" s="396"/>
      <c r="S153" s="261"/>
      <c r="T153" s="256"/>
    </row>
    <row r="154" spans="1:21" x14ac:dyDescent="0.3">
      <c r="A154" s="258"/>
      <c r="B154" s="395" t="s">
        <v>203</v>
      </c>
      <c r="C154" s="260"/>
      <c r="D154" s="260"/>
      <c r="E154" s="260"/>
      <c r="F154" s="260"/>
      <c r="G154" s="260"/>
      <c r="H154" s="260"/>
      <c r="I154" s="260"/>
      <c r="J154" s="260"/>
      <c r="K154" s="260"/>
      <c r="L154" s="260"/>
      <c r="M154" s="260"/>
      <c r="N154" s="260"/>
      <c r="O154" s="260"/>
      <c r="P154" s="260"/>
      <c r="Q154" s="260"/>
      <c r="R154" s="356"/>
      <c r="S154" s="261"/>
      <c r="T154" s="256"/>
    </row>
    <row r="155" spans="1:21" s="275" customFormat="1" x14ac:dyDescent="0.3">
      <c r="A155" s="301"/>
      <c r="B155" s="294" t="s">
        <v>168</v>
      </c>
      <c r="C155" s="294"/>
      <c r="D155" s="294"/>
      <c r="E155" s="294"/>
      <c r="F155" s="294"/>
      <c r="G155" s="294"/>
      <c r="H155" s="294"/>
      <c r="I155" s="294"/>
      <c r="J155" s="294"/>
      <c r="K155" s="294"/>
      <c r="L155" s="294"/>
      <c r="M155" s="294"/>
      <c r="N155" s="294"/>
      <c r="O155" s="294"/>
      <c r="P155" s="294"/>
      <c r="Q155" s="294"/>
      <c r="R155" s="363">
        <v>0</v>
      </c>
      <c r="S155" s="297"/>
      <c r="T155" s="274"/>
    </row>
    <row r="156" spans="1:21" s="275" customFormat="1" x14ac:dyDescent="0.3">
      <c r="A156" s="301"/>
      <c r="B156" s="294" t="s">
        <v>191</v>
      </c>
      <c r="C156" s="294"/>
      <c r="D156" s="294"/>
      <c r="E156" s="294"/>
      <c r="F156" s="294"/>
      <c r="G156" s="294"/>
      <c r="H156" s="294"/>
      <c r="I156" s="294"/>
      <c r="J156" s="294"/>
      <c r="K156" s="294"/>
      <c r="L156" s="294"/>
      <c r="M156" s="294"/>
      <c r="N156" s="294"/>
      <c r="O156" s="294"/>
      <c r="P156" s="294"/>
      <c r="Q156" s="294"/>
      <c r="R156" s="363">
        <f>+J77</f>
        <v>0</v>
      </c>
      <c r="S156" s="297"/>
      <c r="T156" s="274"/>
    </row>
    <row r="157" spans="1:21" s="275" customFormat="1" x14ac:dyDescent="0.3">
      <c r="A157" s="301"/>
      <c r="B157" s="294" t="s">
        <v>205</v>
      </c>
      <c r="C157" s="294"/>
      <c r="D157" s="294"/>
      <c r="E157" s="294"/>
      <c r="F157" s="294"/>
      <c r="G157" s="294"/>
      <c r="H157" s="294"/>
      <c r="I157" s="294"/>
      <c r="J157" s="294"/>
      <c r="K157" s="294"/>
      <c r="L157" s="294"/>
      <c r="M157" s="294"/>
      <c r="N157" s="294"/>
      <c r="O157" s="294"/>
      <c r="P157" s="294"/>
      <c r="Q157" s="294"/>
      <c r="R157" s="363">
        <f>R155+R156</f>
        <v>0</v>
      </c>
      <c r="S157" s="297"/>
      <c r="T157" s="274"/>
    </row>
    <row r="158" spans="1:21" x14ac:dyDescent="0.3">
      <c r="A158" s="258"/>
      <c r="B158" s="397"/>
      <c r="C158" s="397"/>
      <c r="D158" s="397"/>
      <c r="E158" s="397"/>
      <c r="F158" s="397"/>
      <c r="G158" s="397"/>
      <c r="H158" s="397"/>
      <c r="I158" s="397"/>
      <c r="J158" s="397"/>
      <c r="K158" s="397"/>
      <c r="L158" s="397"/>
      <c r="M158" s="397"/>
      <c r="N158" s="397"/>
      <c r="O158" s="397"/>
      <c r="P158" s="397"/>
      <c r="Q158" s="397"/>
      <c r="R158" s="398"/>
      <c r="S158" s="261"/>
      <c r="T158" s="256"/>
    </row>
    <row r="159" spans="1:21" x14ac:dyDescent="0.3">
      <c r="A159" s="258"/>
      <c r="B159" s="395" t="s">
        <v>212</v>
      </c>
      <c r="C159" s="397"/>
      <c r="D159" s="397"/>
      <c r="E159" s="397"/>
      <c r="F159" s="397"/>
      <c r="G159" s="397"/>
      <c r="H159" s="397"/>
      <c r="I159" s="397"/>
      <c r="J159" s="397"/>
      <c r="K159" s="397"/>
      <c r="L159" s="397"/>
      <c r="M159" s="397"/>
      <c r="N159" s="397"/>
      <c r="O159" s="397"/>
      <c r="P159" s="397"/>
      <c r="Q159" s="397"/>
      <c r="R159" s="398"/>
      <c r="S159" s="261"/>
      <c r="T159" s="256"/>
    </row>
    <row r="160" spans="1:21" s="275" customFormat="1" x14ac:dyDescent="0.3">
      <c r="A160" s="399"/>
      <c r="B160" s="400" t="s">
        <v>283</v>
      </c>
      <c r="C160" s="400"/>
      <c r="D160" s="400"/>
      <c r="E160" s="400"/>
      <c r="F160" s="400"/>
      <c r="G160" s="400"/>
      <c r="H160" s="400"/>
      <c r="I160" s="400"/>
      <c r="J160" s="400"/>
      <c r="K160" s="400"/>
      <c r="L160" s="400"/>
      <c r="M160" s="400"/>
      <c r="N160" s="400"/>
      <c r="O160" s="400"/>
      <c r="P160" s="400"/>
      <c r="Q160" s="400"/>
      <c r="R160" s="401">
        <f>+'Dec 16'!R158</f>
        <v>0</v>
      </c>
      <c r="S160" s="402"/>
      <c r="T160" s="274"/>
    </row>
    <row r="161" spans="1:252" s="275" customFormat="1" x14ac:dyDescent="0.3">
      <c r="A161" s="399"/>
      <c r="B161" s="400" t="s">
        <v>214</v>
      </c>
      <c r="C161" s="400"/>
      <c r="D161" s="400"/>
      <c r="E161" s="400"/>
      <c r="F161" s="400"/>
      <c r="G161" s="400"/>
      <c r="H161" s="400"/>
      <c r="I161" s="400"/>
      <c r="J161" s="400"/>
      <c r="K161" s="400"/>
      <c r="L161" s="400"/>
      <c r="M161" s="400"/>
      <c r="N161" s="400"/>
      <c r="O161" s="400"/>
      <c r="P161" s="400"/>
      <c r="Q161" s="400"/>
      <c r="R161" s="401">
        <f>+P86</f>
        <v>0</v>
      </c>
      <c r="S161" s="402"/>
      <c r="T161" s="274"/>
    </row>
    <row r="162" spans="1:252" s="275" customFormat="1" x14ac:dyDescent="0.3">
      <c r="A162" s="399"/>
      <c r="B162" s="400" t="s">
        <v>215</v>
      </c>
      <c r="C162" s="400"/>
      <c r="D162" s="400"/>
      <c r="E162" s="400"/>
      <c r="F162" s="400"/>
      <c r="G162" s="400"/>
      <c r="H162" s="400"/>
      <c r="I162" s="400"/>
      <c r="J162" s="400"/>
      <c r="K162" s="400"/>
      <c r="L162" s="400"/>
      <c r="M162" s="400"/>
      <c r="N162" s="400"/>
      <c r="O162" s="400"/>
      <c r="P162" s="400"/>
      <c r="Q162" s="400"/>
      <c r="R162" s="401">
        <v>0</v>
      </c>
      <c r="S162" s="402"/>
      <c r="T162" s="274"/>
    </row>
    <row r="163" spans="1:252" s="275" customFormat="1" x14ac:dyDescent="0.3">
      <c r="A163" s="399"/>
      <c r="B163" s="400" t="s">
        <v>216</v>
      </c>
      <c r="C163" s="400"/>
      <c r="D163" s="400"/>
      <c r="E163" s="400"/>
      <c r="F163" s="400"/>
      <c r="G163" s="400"/>
      <c r="H163" s="400"/>
      <c r="I163" s="400"/>
      <c r="J163" s="400"/>
      <c r="K163" s="400"/>
      <c r="L163" s="400"/>
      <c r="M163" s="400"/>
      <c r="N163" s="400"/>
      <c r="O163" s="400"/>
      <c r="P163" s="400"/>
      <c r="Q163" s="400"/>
      <c r="R163" s="401">
        <f>R160+R161+R162</f>
        <v>0</v>
      </c>
      <c r="S163" s="402"/>
      <c r="T163" s="274"/>
    </row>
    <row r="164" spans="1:252" x14ac:dyDescent="0.3">
      <c r="A164" s="258"/>
      <c r="B164" s="343"/>
      <c r="C164" s="343"/>
      <c r="D164" s="343"/>
      <c r="E164" s="343"/>
      <c r="F164" s="343"/>
      <c r="G164" s="343"/>
      <c r="H164" s="343"/>
      <c r="I164" s="343"/>
      <c r="J164" s="343"/>
      <c r="K164" s="343"/>
      <c r="L164" s="343"/>
      <c r="M164" s="343"/>
      <c r="N164" s="343"/>
      <c r="O164" s="343"/>
      <c r="P164" s="343"/>
      <c r="Q164" s="343"/>
      <c r="R164" s="396"/>
      <c r="S164" s="261"/>
      <c r="T164" s="256"/>
    </row>
    <row r="165" spans="1:252" x14ac:dyDescent="0.3">
      <c r="A165" s="258"/>
      <c r="B165" s="395" t="s">
        <v>39</v>
      </c>
      <c r="C165" s="260"/>
      <c r="D165" s="260"/>
      <c r="E165" s="260"/>
      <c r="F165" s="260"/>
      <c r="G165" s="260"/>
      <c r="H165" s="260"/>
      <c r="I165" s="260"/>
      <c r="J165" s="260"/>
      <c r="K165" s="260"/>
      <c r="L165" s="260"/>
      <c r="M165" s="260"/>
      <c r="N165" s="260"/>
      <c r="O165" s="260"/>
      <c r="P165" s="260"/>
      <c r="Q165" s="260"/>
      <c r="R165" s="403"/>
      <c r="S165" s="261"/>
      <c r="T165" s="256"/>
    </row>
    <row r="166" spans="1:252" s="275" customFormat="1" x14ac:dyDescent="0.3">
      <c r="A166" s="301"/>
      <c r="B166" s="294" t="s">
        <v>40</v>
      </c>
      <c r="C166" s="294"/>
      <c r="D166" s="294"/>
      <c r="E166" s="294"/>
      <c r="F166" s="294"/>
      <c r="G166" s="294"/>
      <c r="H166" s="294"/>
      <c r="I166" s="294"/>
      <c r="J166" s="294"/>
      <c r="K166" s="294"/>
      <c r="L166" s="294"/>
      <c r="M166" s="294"/>
      <c r="N166" s="294"/>
      <c r="O166" s="294"/>
      <c r="P166" s="294"/>
      <c r="Q166" s="294"/>
      <c r="R166" s="363">
        <v>0</v>
      </c>
      <c r="S166" s="297"/>
      <c r="T166" s="274"/>
    </row>
    <row r="167" spans="1:252" s="275" customFormat="1" x14ac:dyDescent="0.3">
      <c r="A167" s="301"/>
      <c r="B167" s="294" t="s">
        <v>41</v>
      </c>
      <c r="C167" s="294"/>
      <c r="D167" s="294"/>
      <c r="E167" s="294"/>
      <c r="F167" s="294"/>
      <c r="G167" s="294"/>
      <c r="H167" s="294"/>
      <c r="I167" s="294"/>
      <c r="J167" s="294"/>
      <c r="K167" s="294"/>
      <c r="L167" s="294"/>
      <c r="M167" s="294"/>
      <c r="N167" s="294"/>
      <c r="O167" s="294"/>
      <c r="P167" s="294"/>
      <c r="Q167" s="294"/>
      <c r="R167" s="363">
        <v>0</v>
      </c>
      <c r="S167" s="297"/>
      <c r="T167" s="274"/>
    </row>
    <row r="168" spans="1:252" s="275" customFormat="1" x14ac:dyDescent="0.3">
      <c r="A168" s="301"/>
      <c r="B168" s="294" t="s">
        <v>42</v>
      </c>
      <c r="C168" s="294"/>
      <c r="D168" s="294"/>
      <c r="E168" s="294"/>
      <c r="F168" s="294"/>
      <c r="G168" s="294"/>
      <c r="H168" s="294"/>
      <c r="I168" s="294"/>
      <c r="J168" s="294"/>
      <c r="K168" s="294"/>
      <c r="L168" s="294"/>
      <c r="M168" s="294"/>
      <c r="N168" s="294"/>
      <c r="O168" s="294"/>
      <c r="P168" s="294"/>
      <c r="Q168" s="294"/>
      <c r="R168" s="363">
        <f>R167+R166</f>
        <v>0</v>
      </c>
      <c r="S168" s="297"/>
      <c r="T168" s="274"/>
    </row>
    <row r="169" spans="1:252" s="275" customFormat="1" x14ac:dyDescent="0.3">
      <c r="A169" s="301"/>
      <c r="B169" s="294" t="s">
        <v>174</v>
      </c>
      <c r="C169" s="294"/>
      <c r="D169" s="294"/>
      <c r="E169" s="294"/>
      <c r="F169" s="294"/>
      <c r="G169" s="294"/>
      <c r="H169" s="294"/>
      <c r="I169" s="294"/>
      <c r="J169" s="294"/>
      <c r="K169" s="294"/>
      <c r="L169" s="294"/>
      <c r="M169" s="294"/>
      <c r="N169" s="294"/>
      <c r="O169" s="294"/>
      <c r="P169" s="294"/>
      <c r="Q169" s="294"/>
      <c r="R169" s="363">
        <f>R112</f>
        <v>0</v>
      </c>
      <c r="S169" s="297"/>
      <c r="T169" s="274"/>
    </row>
    <row r="170" spans="1:252" s="275" customFormat="1" x14ac:dyDescent="0.3">
      <c r="A170" s="301"/>
      <c r="B170" s="294" t="s">
        <v>43</v>
      </c>
      <c r="C170" s="294"/>
      <c r="D170" s="294"/>
      <c r="E170" s="294"/>
      <c r="F170" s="294"/>
      <c r="G170" s="294"/>
      <c r="H170" s="294"/>
      <c r="I170" s="294"/>
      <c r="J170" s="294"/>
      <c r="K170" s="294"/>
      <c r="L170" s="294"/>
      <c r="M170" s="294"/>
      <c r="N170" s="294"/>
      <c r="O170" s="294"/>
      <c r="P170" s="294"/>
      <c r="Q170" s="294"/>
      <c r="R170" s="363">
        <f>R168+R169</f>
        <v>0</v>
      </c>
      <c r="S170" s="297"/>
      <c r="T170" s="274"/>
    </row>
    <row r="171" spans="1:252" s="275" customFormat="1" x14ac:dyDescent="0.3">
      <c r="A171" s="301"/>
      <c r="B171" s="294" t="s">
        <v>150</v>
      </c>
      <c r="C171" s="294"/>
      <c r="D171" s="294"/>
      <c r="E171" s="294"/>
      <c r="F171" s="294"/>
      <c r="G171" s="294"/>
      <c r="H171" s="294"/>
      <c r="I171" s="294"/>
      <c r="J171" s="294"/>
      <c r="K171" s="294"/>
      <c r="L171" s="294"/>
      <c r="M171" s="294"/>
      <c r="N171" s="294"/>
      <c r="O171" s="294"/>
      <c r="P171" s="294"/>
      <c r="Q171" s="294"/>
      <c r="R171" s="363">
        <f>-R100</f>
        <v>0</v>
      </c>
      <c r="S171" s="297"/>
      <c r="T171" s="274"/>
    </row>
    <row r="172" spans="1:252" ht="16.2" thickBot="1" x14ac:dyDescent="0.35">
      <c r="A172" s="258"/>
      <c r="B172" s="343"/>
      <c r="C172" s="343"/>
      <c r="D172" s="343"/>
      <c r="E172" s="343"/>
      <c r="F172" s="343"/>
      <c r="G172" s="343"/>
      <c r="H172" s="343"/>
      <c r="I172" s="343"/>
      <c r="J172" s="343"/>
      <c r="K172" s="343"/>
      <c r="L172" s="343"/>
      <c r="M172" s="343"/>
      <c r="N172" s="343"/>
      <c r="O172" s="343"/>
      <c r="P172" s="343"/>
      <c r="Q172" s="343"/>
      <c r="R172" s="396"/>
      <c r="S172" s="261"/>
      <c r="T172" s="256"/>
    </row>
    <row r="173" spans="1:252" x14ac:dyDescent="0.3">
      <c r="A173" s="252"/>
      <c r="B173" s="254"/>
      <c r="C173" s="254"/>
      <c r="D173" s="254"/>
      <c r="E173" s="254"/>
      <c r="F173" s="254"/>
      <c r="G173" s="254"/>
      <c r="H173" s="254"/>
      <c r="I173" s="254"/>
      <c r="J173" s="254"/>
      <c r="K173" s="254"/>
      <c r="L173" s="254"/>
      <c r="M173" s="254"/>
      <c r="N173" s="254"/>
      <c r="O173" s="254"/>
      <c r="P173" s="254"/>
      <c r="Q173" s="254"/>
      <c r="R173" s="404"/>
      <c r="S173" s="255"/>
      <c r="T173" s="256"/>
    </row>
    <row r="174" spans="1:252" s="406" customFormat="1" x14ac:dyDescent="0.3">
      <c r="A174" s="258"/>
      <c r="B174" s="395" t="s">
        <v>204</v>
      </c>
      <c r="C174" s="343"/>
      <c r="D174" s="343"/>
      <c r="E174" s="343"/>
      <c r="F174" s="343"/>
      <c r="G174" s="343"/>
      <c r="H174" s="343"/>
      <c r="I174" s="343"/>
      <c r="J174" s="343"/>
      <c r="K174" s="343"/>
      <c r="L174" s="343"/>
      <c r="M174" s="343"/>
      <c r="N174" s="343"/>
      <c r="O174" s="343"/>
      <c r="P174" s="343"/>
      <c r="Q174" s="343"/>
      <c r="R174" s="405"/>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301"/>
      <c r="B175" s="294" t="s">
        <v>141</v>
      </c>
      <c r="C175" s="294"/>
      <c r="D175" s="294"/>
      <c r="E175" s="294"/>
      <c r="F175" s="294"/>
      <c r="G175" s="294"/>
      <c r="H175" s="294"/>
      <c r="I175" s="294"/>
      <c r="J175" s="294"/>
      <c r="K175" s="294"/>
      <c r="L175" s="294"/>
      <c r="M175" s="294"/>
      <c r="N175" s="294"/>
      <c r="O175" s="294"/>
      <c r="P175" s="294"/>
      <c r="Q175" s="294"/>
      <c r="R175" s="363">
        <f>+'June 19'!R173</f>
        <v>276</v>
      </c>
      <c r="S175" s="297"/>
      <c r="T175" s="274"/>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275"/>
      <c r="CF175" s="275"/>
      <c r="CG175" s="275"/>
      <c r="CH175" s="275"/>
      <c r="CI175" s="275"/>
      <c r="CJ175" s="275"/>
      <c r="CK175" s="275"/>
      <c r="CL175" s="275"/>
      <c r="CM175" s="275"/>
      <c r="CN175" s="275"/>
      <c r="CO175" s="275"/>
      <c r="CP175" s="275"/>
      <c r="CQ175" s="275"/>
      <c r="CR175" s="275"/>
      <c r="CS175" s="275"/>
      <c r="CT175" s="275"/>
      <c r="CU175" s="275"/>
      <c r="CV175" s="275"/>
      <c r="CW175" s="275"/>
      <c r="CX175" s="275"/>
      <c r="CY175" s="275"/>
      <c r="CZ175" s="275"/>
      <c r="DA175" s="275"/>
      <c r="DB175" s="275"/>
      <c r="DC175" s="275"/>
      <c r="DD175" s="275"/>
      <c r="DE175" s="275"/>
      <c r="DF175" s="275"/>
      <c r="DG175" s="275"/>
      <c r="DH175" s="275"/>
      <c r="DI175" s="275"/>
      <c r="DJ175" s="275"/>
      <c r="DK175" s="275"/>
      <c r="DL175" s="275"/>
      <c r="DM175" s="275"/>
      <c r="DN175" s="275"/>
      <c r="DO175" s="275"/>
      <c r="DP175" s="275"/>
      <c r="DQ175" s="275"/>
      <c r="DR175" s="275"/>
      <c r="DS175" s="275"/>
      <c r="DT175" s="275"/>
      <c r="DU175" s="275"/>
      <c r="DV175" s="275"/>
      <c r="DW175" s="275"/>
      <c r="DX175" s="275"/>
      <c r="DY175" s="275"/>
      <c r="DZ175" s="275"/>
      <c r="EA175" s="275"/>
      <c r="EB175" s="275"/>
      <c r="EC175" s="275"/>
      <c r="ED175" s="275"/>
      <c r="EE175" s="275"/>
      <c r="EF175" s="275"/>
      <c r="EG175" s="275"/>
      <c r="EH175" s="275"/>
      <c r="EI175" s="275"/>
      <c r="EJ175" s="275"/>
      <c r="EK175" s="275"/>
      <c r="EL175" s="275"/>
      <c r="EM175" s="275"/>
      <c r="EN175" s="275"/>
      <c r="EO175" s="275"/>
      <c r="EP175" s="275"/>
      <c r="EQ175" s="275"/>
      <c r="ER175" s="275"/>
      <c r="ES175" s="275"/>
      <c r="ET175" s="275"/>
      <c r="EU175" s="275"/>
      <c r="EV175" s="275"/>
      <c r="EW175" s="275"/>
      <c r="EX175" s="275"/>
      <c r="EY175" s="275"/>
      <c r="EZ175" s="275"/>
      <c r="FA175" s="275"/>
      <c r="FB175" s="275"/>
      <c r="FC175" s="275"/>
      <c r="FD175" s="275"/>
      <c r="FE175" s="275"/>
      <c r="FF175" s="275"/>
      <c r="FG175" s="275"/>
      <c r="FH175" s="275"/>
      <c r="FI175" s="275"/>
      <c r="FJ175" s="275"/>
      <c r="FK175" s="275"/>
      <c r="FL175" s="275"/>
      <c r="FM175" s="275"/>
      <c r="FN175" s="275"/>
      <c r="FO175" s="275"/>
      <c r="FP175" s="275"/>
      <c r="FQ175" s="275"/>
      <c r="FR175" s="275"/>
      <c r="FS175" s="275"/>
      <c r="FT175" s="275"/>
      <c r="FU175" s="275"/>
      <c r="FV175" s="275"/>
      <c r="FW175" s="275"/>
      <c r="FX175" s="275"/>
      <c r="FY175" s="275"/>
      <c r="FZ175" s="275"/>
      <c r="GA175" s="275"/>
      <c r="GB175" s="275"/>
      <c r="GC175" s="275"/>
      <c r="GD175" s="275"/>
      <c r="GE175" s="275"/>
      <c r="GF175" s="275"/>
      <c r="GG175" s="275"/>
      <c r="GH175" s="275"/>
      <c r="GI175" s="275"/>
      <c r="GJ175" s="275"/>
      <c r="GK175" s="275"/>
      <c r="GL175" s="275"/>
      <c r="GM175" s="275"/>
      <c r="GN175" s="275"/>
      <c r="GO175" s="275"/>
      <c r="GP175" s="275"/>
      <c r="GQ175" s="275"/>
      <c r="GR175" s="275"/>
      <c r="GS175" s="275"/>
      <c r="GT175" s="275"/>
      <c r="GU175" s="275"/>
      <c r="GV175" s="275"/>
      <c r="GW175" s="275"/>
      <c r="GX175" s="275"/>
      <c r="GY175" s="275"/>
      <c r="GZ175" s="275"/>
      <c r="HA175" s="275"/>
      <c r="HB175" s="275"/>
      <c r="HC175" s="275"/>
      <c r="HD175" s="275"/>
      <c r="HE175" s="275"/>
      <c r="HF175" s="275"/>
      <c r="HG175" s="275"/>
      <c r="HH175" s="275"/>
      <c r="HI175" s="275"/>
      <c r="HJ175" s="275"/>
      <c r="HK175" s="275"/>
      <c r="HL175" s="275"/>
      <c r="HM175" s="275"/>
      <c r="HN175" s="275"/>
      <c r="HO175" s="275"/>
      <c r="HP175" s="275"/>
      <c r="HQ175" s="275"/>
      <c r="HR175" s="275"/>
      <c r="HS175" s="275"/>
      <c r="HT175" s="275"/>
      <c r="HU175" s="275"/>
      <c r="HV175" s="275"/>
      <c r="HW175" s="275"/>
      <c r="HX175" s="275"/>
      <c r="HY175" s="275"/>
      <c r="HZ175" s="275"/>
      <c r="IA175" s="275"/>
      <c r="IB175" s="275"/>
      <c r="IC175" s="275"/>
      <c r="ID175" s="275"/>
      <c r="IE175" s="275"/>
      <c r="IF175" s="275"/>
      <c r="IG175" s="275"/>
      <c r="IH175" s="275"/>
      <c r="II175" s="275"/>
      <c r="IJ175" s="275"/>
      <c r="IK175" s="275"/>
      <c r="IL175" s="275"/>
      <c r="IM175" s="275"/>
      <c r="IN175" s="275"/>
      <c r="IO175" s="275"/>
      <c r="IP175" s="275"/>
      <c r="IQ175" s="275"/>
      <c r="IR175" s="275"/>
    </row>
    <row r="176" spans="1:252" s="407" customFormat="1" x14ac:dyDescent="0.3">
      <c r="A176" s="301"/>
      <c r="B176" s="294" t="s">
        <v>286</v>
      </c>
      <c r="C176" s="294"/>
      <c r="D176" s="294"/>
      <c r="E176" s="294"/>
      <c r="F176" s="294"/>
      <c r="G176" s="294"/>
      <c r="H176" s="294"/>
      <c r="I176" s="294"/>
      <c r="J176" s="294"/>
      <c r="K176" s="294"/>
      <c r="L176" s="294"/>
      <c r="M176" s="294"/>
      <c r="N176" s="294"/>
      <c r="O176" s="294"/>
      <c r="P176" s="294"/>
      <c r="Q176" s="294"/>
      <c r="R176" s="363">
        <v>0</v>
      </c>
      <c r="S176" s="297"/>
      <c r="T176" s="274"/>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c r="CT176" s="275"/>
      <c r="CU176" s="275"/>
      <c r="CV176" s="275"/>
      <c r="CW176" s="275"/>
      <c r="CX176" s="275"/>
      <c r="CY176" s="275"/>
      <c r="CZ176" s="275"/>
      <c r="DA176" s="275"/>
      <c r="DB176" s="275"/>
      <c r="DC176" s="275"/>
      <c r="DD176" s="275"/>
      <c r="DE176" s="275"/>
      <c r="DF176" s="275"/>
      <c r="DG176" s="275"/>
      <c r="DH176" s="275"/>
      <c r="DI176" s="275"/>
      <c r="DJ176" s="275"/>
      <c r="DK176" s="275"/>
      <c r="DL176" s="275"/>
      <c r="DM176" s="275"/>
      <c r="DN176" s="275"/>
      <c r="DO176" s="275"/>
      <c r="DP176" s="275"/>
      <c r="DQ176" s="275"/>
      <c r="DR176" s="275"/>
      <c r="DS176" s="275"/>
      <c r="DT176" s="275"/>
      <c r="DU176" s="275"/>
      <c r="DV176" s="275"/>
      <c r="DW176" s="275"/>
      <c r="DX176" s="275"/>
      <c r="DY176" s="275"/>
      <c r="DZ176" s="275"/>
      <c r="EA176" s="275"/>
      <c r="EB176" s="275"/>
      <c r="EC176" s="275"/>
      <c r="ED176" s="275"/>
      <c r="EE176" s="275"/>
      <c r="EF176" s="275"/>
      <c r="EG176" s="275"/>
      <c r="EH176" s="275"/>
      <c r="EI176" s="275"/>
      <c r="EJ176" s="275"/>
      <c r="EK176" s="275"/>
      <c r="EL176" s="275"/>
      <c r="EM176" s="275"/>
      <c r="EN176" s="275"/>
      <c r="EO176" s="275"/>
      <c r="EP176" s="275"/>
      <c r="EQ176" s="275"/>
      <c r="ER176" s="275"/>
      <c r="ES176" s="275"/>
      <c r="ET176" s="275"/>
      <c r="EU176" s="275"/>
      <c r="EV176" s="275"/>
      <c r="EW176" s="275"/>
      <c r="EX176" s="275"/>
      <c r="EY176" s="275"/>
      <c r="EZ176" s="275"/>
      <c r="FA176" s="275"/>
      <c r="FB176" s="275"/>
      <c r="FC176" s="275"/>
      <c r="FD176" s="275"/>
      <c r="FE176" s="275"/>
      <c r="FF176" s="275"/>
      <c r="FG176" s="275"/>
      <c r="FH176" s="275"/>
      <c r="FI176" s="275"/>
      <c r="FJ176" s="275"/>
      <c r="FK176" s="275"/>
      <c r="FL176" s="275"/>
      <c r="FM176" s="275"/>
      <c r="FN176" s="275"/>
      <c r="FO176" s="275"/>
      <c r="FP176" s="275"/>
      <c r="FQ176" s="275"/>
      <c r="FR176" s="275"/>
      <c r="FS176" s="275"/>
      <c r="FT176" s="275"/>
      <c r="FU176" s="275"/>
      <c r="FV176" s="275"/>
      <c r="FW176" s="275"/>
      <c r="FX176" s="275"/>
      <c r="FY176" s="275"/>
      <c r="FZ176" s="275"/>
      <c r="GA176" s="275"/>
      <c r="GB176" s="275"/>
      <c r="GC176" s="275"/>
      <c r="GD176" s="275"/>
      <c r="GE176" s="275"/>
      <c r="GF176" s="275"/>
      <c r="GG176" s="275"/>
      <c r="GH176" s="275"/>
      <c r="GI176" s="275"/>
      <c r="GJ176" s="275"/>
      <c r="GK176" s="275"/>
      <c r="GL176" s="275"/>
      <c r="GM176" s="275"/>
      <c r="GN176" s="275"/>
      <c r="GO176" s="275"/>
      <c r="GP176" s="275"/>
      <c r="GQ176" s="275"/>
      <c r="GR176" s="275"/>
      <c r="GS176" s="275"/>
      <c r="GT176" s="275"/>
      <c r="GU176" s="275"/>
      <c r="GV176" s="275"/>
      <c r="GW176" s="275"/>
      <c r="GX176" s="275"/>
      <c r="GY176" s="275"/>
      <c r="GZ176" s="275"/>
      <c r="HA176" s="275"/>
      <c r="HB176" s="275"/>
      <c r="HC176" s="275"/>
      <c r="HD176" s="275"/>
      <c r="HE176" s="275"/>
      <c r="HF176" s="275"/>
      <c r="HG176" s="275"/>
      <c r="HH176" s="275"/>
      <c r="HI176" s="275"/>
      <c r="HJ176" s="275"/>
      <c r="HK176" s="275"/>
      <c r="HL176" s="275"/>
      <c r="HM176" s="275"/>
      <c r="HN176" s="275"/>
      <c r="HO176" s="275"/>
      <c r="HP176" s="275"/>
      <c r="HQ176" s="275"/>
      <c r="HR176" s="275"/>
      <c r="HS176" s="275"/>
      <c r="HT176" s="275"/>
      <c r="HU176" s="275"/>
      <c r="HV176" s="275"/>
      <c r="HW176" s="275"/>
      <c r="HX176" s="275"/>
      <c r="HY176" s="275"/>
      <c r="HZ176" s="275"/>
      <c r="IA176" s="275"/>
      <c r="IB176" s="275"/>
      <c r="IC176" s="275"/>
      <c r="ID176" s="275"/>
      <c r="IE176" s="275"/>
      <c r="IF176" s="275"/>
      <c r="IG176" s="275"/>
      <c r="IH176" s="275"/>
      <c r="II176" s="275"/>
      <c r="IJ176" s="275"/>
      <c r="IK176" s="275"/>
      <c r="IL176" s="275"/>
      <c r="IM176" s="275"/>
      <c r="IN176" s="275"/>
      <c r="IO176" s="275"/>
      <c r="IP176" s="275"/>
      <c r="IQ176" s="275"/>
      <c r="IR176" s="275"/>
    </row>
    <row r="177" spans="1:252" s="407" customFormat="1" x14ac:dyDescent="0.3">
      <c r="A177" s="301"/>
      <c r="B177" s="294" t="s">
        <v>144</v>
      </c>
      <c r="C177" s="294"/>
      <c r="D177" s="294"/>
      <c r="E177" s="294"/>
      <c r="F177" s="294"/>
      <c r="G177" s="294"/>
      <c r="H177" s="294"/>
      <c r="I177" s="294"/>
      <c r="J177" s="294"/>
      <c r="K177" s="294"/>
      <c r="L177" s="294"/>
      <c r="M177" s="294"/>
      <c r="N177" s="294"/>
      <c r="O177" s="294"/>
      <c r="P177" s="294"/>
      <c r="Q177" s="294"/>
      <c r="R177" s="363">
        <f>+R92</f>
        <v>276</v>
      </c>
      <c r="S177" s="297"/>
      <c r="T177" s="274"/>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275"/>
      <c r="BI177" s="275"/>
      <c r="BJ177" s="275"/>
      <c r="BK177" s="27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c r="CM177" s="275"/>
      <c r="CN177" s="275"/>
      <c r="CO177" s="275"/>
      <c r="CP177" s="275"/>
      <c r="CQ177" s="275"/>
      <c r="CR177" s="275"/>
      <c r="CS177" s="275"/>
      <c r="CT177" s="275"/>
      <c r="CU177" s="275"/>
      <c r="CV177" s="275"/>
      <c r="CW177" s="275"/>
      <c r="CX177" s="275"/>
      <c r="CY177" s="275"/>
      <c r="CZ177" s="275"/>
      <c r="DA177" s="275"/>
      <c r="DB177" s="275"/>
      <c r="DC177" s="275"/>
      <c r="DD177" s="275"/>
      <c r="DE177" s="275"/>
      <c r="DF177" s="275"/>
      <c r="DG177" s="275"/>
      <c r="DH177" s="275"/>
      <c r="DI177" s="275"/>
      <c r="DJ177" s="275"/>
      <c r="DK177" s="275"/>
      <c r="DL177" s="275"/>
      <c r="DM177" s="275"/>
      <c r="DN177" s="275"/>
      <c r="DO177" s="275"/>
      <c r="DP177" s="275"/>
      <c r="DQ177" s="275"/>
      <c r="DR177" s="275"/>
      <c r="DS177" s="275"/>
      <c r="DT177" s="275"/>
      <c r="DU177" s="275"/>
      <c r="DV177" s="275"/>
      <c r="DW177" s="275"/>
      <c r="DX177" s="275"/>
      <c r="DY177" s="275"/>
      <c r="DZ177" s="275"/>
      <c r="EA177" s="275"/>
      <c r="EB177" s="275"/>
      <c r="EC177" s="275"/>
      <c r="ED177" s="275"/>
      <c r="EE177" s="275"/>
      <c r="EF177" s="275"/>
      <c r="EG177" s="275"/>
      <c r="EH177" s="275"/>
      <c r="EI177" s="275"/>
      <c r="EJ177" s="275"/>
      <c r="EK177" s="275"/>
      <c r="EL177" s="275"/>
      <c r="EM177" s="275"/>
      <c r="EN177" s="275"/>
      <c r="EO177" s="275"/>
      <c r="EP177" s="275"/>
      <c r="EQ177" s="275"/>
      <c r="ER177" s="275"/>
      <c r="ES177" s="275"/>
      <c r="ET177" s="275"/>
      <c r="EU177" s="275"/>
      <c r="EV177" s="275"/>
      <c r="EW177" s="275"/>
      <c r="EX177" s="275"/>
      <c r="EY177" s="275"/>
      <c r="EZ177" s="275"/>
      <c r="FA177" s="275"/>
      <c r="FB177" s="275"/>
      <c r="FC177" s="275"/>
      <c r="FD177" s="275"/>
      <c r="FE177" s="275"/>
      <c r="FF177" s="275"/>
      <c r="FG177" s="275"/>
      <c r="FH177" s="275"/>
      <c r="FI177" s="275"/>
      <c r="FJ177" s="275"/>
      <c r="FK177" s="275"/>
      <c r="FL177" s="275"/>
      <c r="FM177" s="275"/>
      <c r="FN177" s="275"/>
      <c r="FO177" s="275"/>
      <c r="FP177" s="275"/>
      <c r="FQ177" s="275"/>
      <c r="FR177" s="275"/>
      <c r="FS177" s="275"/>
      <c r="FT177" s="275"/>
      <c r="FU177" s="275"/>
      <c r="FV177" s="275"/>
      <c r="FW177" s="275"/>
      <c r="FX177" s="275"/>
      <c r="FY177" s="275"/>
      <c r="FZ177" s="275"/>
      <c r="GA177" s="275"/>
      <c r="GB177" s="275"/>
      <c r="GC177" s="275"/>
      <c r="GD177" s="275"/>
      <c r="GE177" s="275"/>
      <c r="GF177" s="275"/>
      <c r="GG177" s="275"/>
      <c r="GH177" s="275"/>
      <c r="GI177" s="275"/>
      <c r="GJ177" s="275"/>
      <c r="GK177" s="275"/>
      <c r="GL177" s="275"/>
      <c r="GM177" s="275"/>
      <c r="GN177" s="275"/>
      <c r="GO177" s="275"/>
      <c r="GP177" s="275"/>
      <c r="GQ177" s="275"/>
      <c r="GR177" s="275"/>
      <c r="GS177" s="275"/>
      <c r="GT177" s="275"/>
      <c r="GU177" s="275"/>
      <c r="GV177" s="275"/>
      <c r="GW177" s="275"/>
      <c r="GX177" s="275"/>
      <c r="GY177" s="275"/>
      <c r="GZ177" s="275"/>
      <c r="HA177" s="275"/>
      <c r="HB177" s="275"/>
      <c r="HC177" s="275"/>
      <c r="HD177" s="275"/>
      <c r="HE177" s="275"/>
      <c r="HF177" s="275"/>
      <c r="HG177" s="275"/>
      <c r="HH177" s="275"/>
      <c r="HI177" s="275"/>
      <c r="HJ177" s="275"/>
      <c r="HK177" s="275"/>
      <c r="HL177" s="275"/>
      <c r="HM177" s="275"/>
      <c r="HN177" s="275"/>
      <c r="HO177" s="275"/>
      <c r="HP177" s="275"/>
      <c r="HQ177" s="275"/>
      <c r="HR177" s="275"/>
      <c r="HS177" s="275"/>
      <c r="HT177" s="275"/>
      <c r="HU177" s="275"/>
      <c r="HV177" s="275"/>
      <c r="HW177" s="275"/>
      <c r="HX177" s="275"/>
      <c r="HY177" s="275"/>
      <c r="HZ177" s="275"/>
      <c r="IA177" s="275"/>
      <c r="IB177" s="275"/>
      <c r="IC177" s="275"/>
      <c r="ID177" s="275"/>
      <c r="IE177" s="275"/>
      <c r="IF177" s="275"/>
      <c r="IG177" s="275"/>
      <c r="IH177" s="275"/>
      <c r="II177" s="275"/>
      <c r="IJ177" s="275"/>
      <c r="IK177" s="275"/>
      <c r="IL177" s="275"/>
      <c r="IM177" s="275"/>
      <c r="IN177" s="275"/>
      <c r="IO177" s="275"/>
      <c r="IP177" s="275"/>
      <c r="IQ177" s="275"/>
      <c r="IR177" s="275"/>
    </row>
    <row r="178" spans="1:252" s="407" customFormat="1" x14ac:dyDescent="0.3">
      <c r="A178" s="301"/>
      <c r="B178" s="294" t="s">
        <v>142</v>
      </c>
      <c r="C178" s="294"/>
      <c r="D178" s="294"/>
      <c r="E178" s="294"/>
      <c r="F178" s="294"/>
      <c r="G178" s="294"/>
      <c r="H178" s="294"/>
      <c r="I178" s="294"/>
      <c r="J178" s="294"/>
      <c r="K178" s="294"/>
      <c r="L178" s="294"/>
      <c r="M178" s="294"/>
      <c r="N178" s="294"/>
      <c r="O178" s="294"/>
      <c r="P178" s="294"/>
      <c r="Q178" s="294"/>
      <c r="R178" s="363">
        <f>+R175+R176-R177</f>
        <v>0</v>
      </c>
      <c r="S178" s="297"/>
      <c r="T178" s="274"/>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c r="BA178" s="275"/>
      <c r="BB178" s="275"/>
      <c r="BC178" s="275"/>
      <c r="BD178" s="275"/>
      <c r="BE178" s="275"/>
      <c r="BF178" s="275"/>
      <c r="BG178" s="275"/>
      <c r="BH178" s="275"/>
      <c r="BI178" s="275"/>
      <c r="BJ178" s="275"/>
      <c r="BK178" s="275"/>
      <c r="BL178" s="275"/>
      <c r="BM178" s="275"/>
      <c r="BN178" s="275"/>
      <c r="BO178" s="275"/>
      <c r="BP178" s="275"/>
      <c r="BQ178" s="275"/>
      <c r="BR178" s="275"/>
      <c r="BS178" s="275"/>
      <c r="BT178" s="275"/>
      <c r="BU178" s="275"/>
      <c r="BV178" s="275"/>
      <c r="BW178" s="275"/>
      <c r="BX178" s="275"/>
      <c r="BY178" s="275"/>
      <c r="BZ178" s="275"/>
      <c r="CA178" s="275"/>
      <c r="CB178" s="275"/>
      <c r="CC178" s="275"/>
      <c r="CD178" s="275"/>
      <c r="CE178" s="275"/>
      <c r="CF178" s="275"/>
      <c r="CG178" s="275"/>
      <c r="CH178" s="275"/>
      <c r="CI178" s="275"/>
      <c r="CJ178" s="275"/>
      <c r="CK178" s="275"/>
      <c r="CL178" s="275"/>
      <c r="CM178" s="275"/>
      <c r="CN178" s="275"/>
      <c r="CO178" s="275"/>
      <c r="CP178" s="275"/>
      <c r="CQ178" s="275"/>
      <c r="CR178" s="275"/>
      <c r="CS178" s="275"/>
      <c r="CT178" s="275"/>
      <c r="CU178" s="275"/>
      <c r="CV178" s="275"/>
      <c r="CW178" s="275"/>
      <c r="CX178" s="275"/>
      <c r="CY178" s="275"/>
      <c r="CZ178" s="275"/>
      <c r="DA178" s="275"/>
      <c r="DB178" s="275"/>
      <c r="DC178" s="275"/>
      <c r="DD178" s="275"/>
      <c r="DE178" s="275"/>
      <c r="DF178" s="275"/>
      <c r="DG178" s="275"/>
      <c r="DH178" s="275"/>
      <c r="DI178" s="275"/>
      <c r="DJ178" s="275"/>
      <c r="DK178" s="275"/>
      <c r="DL178" s="275"/>
      <c r="DM178" s="275"/>
      <c r="DN178" s="275"/>
      <c r="DO178" s="275"/>
      <c r="DP178" s="275"/>
      <c r="DQ178" s="275"/>
      <c r="DR178" s="275"/>
      <c r="DS178" s="275"/>
      <c r="DT178" s="275"/>
      <c r="DU178" s="275"/>
      <c r="DV178" s="275"/>
      <c r="DW178" s="275"/>
      <c r="DX178" s="275"/>
      <c r="DY178" s="275"/>
      <c r="DZ178" s="275"/>
      <c r="EA178" s="275"/>
      <c r="EB178" s="275"/>
      <c r="EC178" s="275"/>
      <c r="ED178" s="275"/>
      <c r="EE178" s="275"/>
      <c r="EF178" s="275"/>
      <c r="EG178" s="275"/>
      <c r="EH178" s="275"/>
      <c r="EI178" s="275"/>
      <c r="EJ178" s="275"/>
      <c r="EK178" s="275"/>
      <c r="EL178" s="275"/>
      <c r="EM178" s="275"/>
      <c r="EN178" s="275"/>
      <c r="EO178" s="275"/>
      <c r="EP178" s="275"/>
      <c r="EQ178" s="275"/>
      <c r="ER178" s="275"/>
      <c r="ES178" s="275"/>
      <c r="ET178" s="275"/>
      <c r="EU178" s="275"/>
      <c r="EV178" s="275"/>
      <c r="EW178" s="275"/>
      <c r="EX178" s="275"/>
      <c r="EY178" s="275"/>
      <c r="EZ178" s="275"/>
      <c r="FA178" s="275"/>
      <c r="FB178" s="275"/>
      <c r="FC178" s="275"/>
      <c r="FD178" s="275"/>
      <c r="FE178" s="275"/>
      <c r="FF178" s="275"/>
      <c r="FG178" s="275"/>
      <c r="FH178" s="275"/>
      <c r="FI178" s="275"/>
      <c r="FJ178" s="275"/>
      <c r="FK178" s="275"/>
      <c r="FL178" s="275"/>
      <c r="FM178" s="275"/>
      <c r="FN178" s="275"/>
      <c r="FO178" s="275"/>
      <c r="FP178" s="275"/>
      <c r="FQ178" s="275"/>
      <c r="FR178" s="275"/>
      <c r="FS178" s="275"/>
      <c r="FT178" s="275"/>
      <c r="FU178" s="275"/>
      <c r="FV178" s="275"/>
      <c r="FW178" s="275"/>
      <c r="FX178" s="275"/>
      <c r="FY178" s="275"/>
      <c r="FZ178" s="275"/>
      <c r="GA178" s="275"/>
      <c r="GB178" s="275"/>
      <c r="GC178" s="275"/>
      <c r="GD178" s="275"/>
      <c r="GE178" s="275"/>
      <c r="GF178" s="275"/>
      <c r="GG178" s="275"/>
      <c r="GH178" s="275"/>
      <c r="GI178" s="275"/>
      <c r="GJ178" s="275"/>
      <c r="GK178" s="275"/>
      <c r="GL178" s="275"/>
      <c r="GM178" s="275"/>
      <c r="GN178" s="275"/>
      <c r="GO178" s="275"/>
      <c r="GP178" s="275"/>
      <c r="GQ178" s="275"/>
      <c r="GR178" s="275"/>
      <c r="GS178" s="275"/>
      <c r="GT178" s="275"/>
      <c r="GU178" s="275"/>
      <c r="GV178" s="275"/>
      <c r="GW178" s="275"/>
      <c r="GX178" s="275"/>
      <c r="GY178" s="275"/>
      <c r="GZ178" s="275"/>
      <c r="HA178" s="275"/>
      <c r="HB178" s="275"/>
      <c r="HC178" s="275"/>
      <c r="HD178" s="275"/>
      <c r="HE178" s="275"/>
      <c r="HF178" s="275"/>
      <c r="HG178" s="275"/>
      <c r="HH178" s="275"/>
      <c r="HI178" s="275"/>
      <c r="HJ178" s="275"/>
      <c r="HK178" s="275"/>
      <c r="HL178" s="275"/>
      <c r="HM178" s="275"/>
      <c r="HN178" s="275"/>
      <c r="HO178" s="275"/>
      <c r="HP178" s="275"/>
      <c r="HQ178" s="275"/>
      <c r="HR178" s="275"/>
      <c r="HS178" s="275"/>
      <c r="HT178" s="275"/>
      <c r="HU178" s="275"/>
      <c r="HV178" s="275"/>
      <c r="HW178" s="275"/>
      <c r="HX178" s="275"/>
      <c r="HY178" s="275"/>
      <c r="HZ178" s="275"/>
      <c r="IA178" s="275"/>
      <c r="IB178" s="275"/>
      <c r="IC178" s="275"/>
      <c r="ID178" s="275"/>
      <c r="IE178" s="275"/>
      <c r="IF178" s="275"/>
      <c r="IG178" s="275"/>
      <c r="IH178" s="275"/>
      <c r="II178" s="275"/>
      <c r="IJ178" s="275"/>
      <c r="IK178" s="275"/>
      <c r="IL178" s="275"/>
      <c r="IM178" s="275"/>
      <c r="IN178" s="275"/>
      <c r="IO178" s="275"/>
      <c r="IP178" s="275"/>
      <c r="IQ178" s="275"/>
      <c r="IR178" s="275"/>
    </row>
    <row r="179" spans="1:252" s="408" customFormat="1" ht="16.2" thickBot="1" x14ac:dyDescent="0.35">
      <c r="A179" s="348"/>
      <c r="B179" s="343"/>
      <c r="C179" s="343"/>
      <c r="D179" s="343"/>
      <c r="E179" s="343"/>
      <c r="F179" s="343"/>
      <c r="G179" s="343"/>
      <c r="H179" s="343"/>
      <c r="I179" s="343"/>
      <c r="J179" s="343"/>
      <c r="K179" s="343"/>
      <c r="L179" s="343"/>
      <c r="M179" s="343"/>
      <c r="N179" s="343"/>
      <c r="O179" s="343"/>
      <c r="P179" s="343"/>
      <c r="Q179" s="343"/>
      <c r="R179" s="396"/>
      <c r="S179" s="261"/>
      <c r="T179" s="256"/>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c r="DI179" s="257"/>
      <c r="DJ179" s="257"/>
      <c r="DK179" s="257"/>
      <c r="DL179" s="257"/>
      <c r="DM179" s="257"/>
      <c r="DN179" s="257"/>
      <c r="DO179" s="257"/>
      <c r="DP179" s="257"/>
      <c r="DQ179" s="257"/>
      <c r="DR179" s="257"/>
      <c r="DS179" s="257"/>
      <c r="DT179" s="257"/>
      <c r="DU179" s="257"/>
      <c r="DV179" s="257"/>
      <c r="DW179" s="257"/>
      <c r="DX179" s="257"/>
      <c r="DY179" s="257"/>
      <c r="DZ179" s="257"/>
      <c r="EA179" s="257"/>
      <c r="EB179" s="257"/>
      <c r="EC179" s="257"/>
      <c r="ED179" s="257"/>
      <c r="EE179" s="257"/>
      <c r="EF179" s="257"/>
      <c r="EG179" s="257"/>
      <c r="EH179" s="257"/>
      <c r="EI179" s="257"/>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57"/>
      <c r="FV179" s="257"/>
      <c r="FW179" s="257"/>
      <c r="FX179" s="257"/>
      <c r="FY179" s="257"/>
      <c r="FZ179" s="257"/>
      <c r="GA179" s="257"/>
      <c r="GB179" s="257"/>
      <c r="GC179" s="257"/>
      <c r="GD179" s="257"/>
      <c r="GE179" s="257"/>
      <c r="GF179" s="257"/>
      <c r="GG179" s="257"/>
      <c r="GH179" s="257"/>
      <c r="GI179" s="257"/>
      <c r="GJ179" s="257"/>
      <c r="GK179" s="257"/>
      <c r="GL179" s="257"/>
      <c r="GM179" s="257"/>
      <c r="GN179" s="257"/>
      <c r="GO179" s="257"/>
      <c r="GP179" s="257"/>
      <c r="GQ179" s="257"/>
      <c r="GR179" s="257"/>
      <c r="GS179" s="257"/>
      <c r="GT179" s="257"/>
      <c r="GU179" s="257"/>
      <c r="GV179" s="257"/>
      <c r="GW179" s="257"/>
      <c r="GX179" s="257"/>
      <c r="GY179" s="257"/>
      <c r="GZ179" s="257"/>
      <c r="HA179" s="257"/>
      <c r="HB179" s="257"/>
      <c r="HC179" s="257"/>
      <c r="HD179" s="257"/>
      <c r="HE179" s="257"/>
      <c r="HF179" s="257"/>
      <c r="HG179" s="257"/>
      <c r="HH179" s="257"/>
      <c r="HI179" s="257"/>
      <c r="HJ179" s="257"/>
      <c r="HK179" s="257"/>
      <c r="HL179" s="257"/>
      <c r="HM179" s="257"/>
      <c r="HN179" s="257"/>
      <c r="HO179" s="257"/>
      <c r="HP179" s="257"/>
      <c r="HQ179" s="257"/>
      <c r="HR179" s="257"/>
      <c r="HS179" s="257"/>
      <c r="HT179" s="257"/>
      <c r="HU179" s="257"/>
      <c r="HV179" s="257"/>
      <c r="HW179" s="257"/>
      <c r="HX179" s="257"/>
      <c r="HY179" s="257"/>
      <c r="HZ179" s="257"/>
      <c r="IA179" s="257"/>
      <c r="IB179" s="257"/>
      <c r="IC179" s="257"/>
      <c r="ID179" s="257"/>
      <c r="IE179" s="257"/>
      <c r="IF179" s="257"/>
      <c r="IG179" s="257"/>
      <c r="IH179" s="257"/>
      <c r="II179" s="257"/>
      <c r="IJ179" s="257"/>
      <c r="IK179" s="257"/>
      <c r="IL179" s="257"/>
      <c r="IM179" s="257"/>
      <c r="IN179" s="257"/>
      <c r="IO179" s="257"/>
      <c r="IP179" s="257"/>
      <c r="IQ179" s="257"/>
      <c r="IR179" s="257"/>
    </row>
    <row r="180" spans="1:252" s="409" customFormat="1" x14ac:dyDescent="0.3">
      <c r="A180" s="252"/>
      <c r="B180" s="254"/>
      <c r="C180" s="254"/>
      <c r="D180" s="254"/>
      <c r="E180" s="254"/>
      <c r="F180" s="254"/>
      <c r="G180" s="254"/>
      <c r="H180" s="254"/>
      <c r="I180" s="254"/>
      <c r="J180" s="254"/>
      <c r="K180" s="254"/>
      <c r="L180" s="254"/>
      <c r="M180" s="254"/>
      <c r="N180" s="254"/>
      <c r="O180" s="254"/>
      <c r="P180" s="254"/>
      <c r="Q180" s="254"/>
      <c r="R180" s="404"/>
      <c r="S180" s="255"/>
      <c r="T180" s="256"/>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c r="DI180" s="257"/>
      <c r="DJ180" s="257"/>
      <c r="DK180" s="257"/>
      <c r="DL180" s="257"/>
      <c r="DM180" s="257"/>
      <c r="DN180" s="257"/>
      <c r="DO180" s="257"/>
      <c r="DP180" s="257"/>
      <c r="DQ180" s="257"/>
      <c r="DR180" s="257"/>
      <c r="DS180" s="257"/>
      <c r="DT180" s="257"/>
      <c r="DU180" s="257"/>
      <c r="DV180" s="257"/>
      <c r="DW180" s="257"/>
      <c r="DX180" s="257"/>
      <c r="DY180" s="257"/>
      <c r="DZ180" s="257"/>
      <c r="EA180" s="257"/>
      <c r="EB180" s="257"/>
      <c r="EC180" s="257"/>
      <c r="ED180" s="257"/>
      <c r="EE180" s="257"/>
      <c r="EF180" s="257"/>
      <c r="EG180" s="257"/>
      <c r="EH180" s="257"/>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57"/>
      <c r="FV180" s="257"/>
      <c r="FW180" s="257"/>
      <c r="FX180" s="257"/>
      <c r="FY180" s="257"/>
      <c r="FZ180" s="257"/>
      <c r="GA180" s="257"/>
      <c r="GB180" s="257"/>
      <c r="GC180" s="257"/>
      <c r="GD180" s="257"/>
      <c r="GE180" s="257"/>
      <c r="GF180" s="257"/>
      <c r="GG180" s="257"/>
      <c r="GH180" s="257"/>
      <c r="GI180" s="257"/>
      <c r="GJ180" s="257"/>
      <c r="GK180" s="257"/>
      <c r="GL180" s="257"/>
      <c r="GM180" s="257"/>
      <c r="GN180" s="257"/>
      <c r="GO180" s="257"/>
      <c r="GP180" s="257"/>
      <c r="GQ180" s="257"/>
      <c r="GR180" s="257"/>
      <c r="GS180" s="257"/>
      <c r="GT180" s="257"/>
      <c r="GU180" s="257"/>
      <c r="GV180" s="257"/>
      <c r="GW180" s="257"/>
      <c r="GX180" s="257"/>
      <c r="GY180" s="257"/>
      <c r="GZ180" s="257"/>
      <c r="HA180" s="257"/>
      <c r="HB180" s="257"/>
      <c r="HC180" s="257"/>
      <c r="HD180" s="257"/>
      <c r="HE180" s="257"/>
      <c r="HF180" s="257"/>
      <c r="HG180" s="257"/>
      <c r="HH180" s="257"/>
      <c r="HI180" s="257"/>
      <c r="HJ180" s="257"/>
      <c r="HK180" s="257"/>
      <c r="HL180" s="257"/>
      <c r="HM180" s="257"/>
      <c r="HN180" s="257"/>
      <c r="HO180" s="257"/>
      <c r="HP180" s="257"/>
      <c r="HQ180" s="257"/>
      <c r="HR180" s="257"/>
      <c r="HS180" s="257"/>
      <c r="HT180" s="257"/>
      <c r="HU180" s="257"/>
      <c r="HV180" s="257"/>
      <c r="HW180" s="257"/>
      <c r="HX180" s="257"/>
      <c r="HY180" s="257"/>
      <c r="HZ180" s="257"/>
      <c r="IA180" s="257"/>
      <c r="IB180" s="257"/>
      <c r="IC180" s="257"/>
      <c r="ID180" s="257"/>
      <c r="IE180" s="257"/>
      <c r="IF180" s="257"/>
      <c r="IG180" s="257"/>
      <c r="IH180" s="257"/>
      <c r="II180" s="257"/>
      <c r="IJ180" s="257"/>
      <c r="IK180" s="257"/>
      <c r="IL180" s="257"/>
      <c r="IM180" s="257"/>
      <c r="IN180" s="257"/>
      <c r="IO180" s="257"/>
      <c r="IP180" s="257"/>
      <c r="IQ180" s="257"/>
      <c r="IR180" s="257"/>
    </row>
    <row r="181" spans="1:252" x14ac:dyDescent="0.3">
      <c r="A181" s="258"/>
      <c r="B181" s="395" t="s">
        <v>44</v>
      </c>
      <c r="C181" s="260"/>
      <c r="D181" s="260"/>
      <c r="E181" s="260"/>
      <c r="F181" s="260"/>
      <c r="G181" s="260"/>
      <c r="H181" s="260"/>
      <c r="I181" s="260"/>
      <c r="J181" s="260"/>
      <c r="K181" s="260"/>
      <c r="L181" s="260"/>
      <c r="M181" s="260"/>
      <c r="N181" s="260"/>
      <c r="O181" s="260"/>
      <c r="P181" s="260"/>
      <c r="Q181" s="260"/>
      <c r="R181" s="356"/>
      <c r="S181" s="261"/>
      <c r="T181" s="256"/>
    </row>
    <row r="182" spans="1:252" x14ac:dyDescent="0.3">
      <c r="A182" s="258"/>
      <c r="B182" s="394"/>
      <c r="C182" s="260"/>
      <c r="D182" s="260"/>
      <c r="E182" s="260"/>
      <c r="F182" s="260"/>
      <c r="G182" s="260"/>
      <c r="H182" s="260"/>
      <c r="I182" s="260"/>
      <c r="J182" s="260"/>
      <c r="K182" s="260"/>
      <c r="L182" s="260"/>
      <c r="M182" s="260"/>
      <c r="N182" s="260"/>
      <c r="O182" s="260"/>
      <c r="P182" s="260"/>
      <c r="Q182" s="260"/>
      <c r="R182" s="356"/>
      <c r="S182" s="261"/>
      <c r="T182" s="256"/>
    </row>
    <row r="183" spans="1:252" s="275" customFormat="1" x14ac:dyDescent="0.3">
      <c r="A183" s="301"/>
      <c r="B183" s="294" t="s">
        <v>172</v>
      </c>
      <c r="C183" s="294"/>
      <c r="D183" s="294"/>
      <c r="E183" s="294"/>
      <c r="F183" s="294"/>
      <c r="G183" s="294"/>
      <c r="H183" s="294"/>
      <c r="I183" s="294"/>
      <c r="J183" s="294"/>
      <c r="K183" s="294"/>
      <c r="L183" s="294"/>
      <c r="M183" s="294"/>
      <c r="N183" s="294"/>
      <c r="O183" s="294"/>
      <c r="P183" s="294"/>
      <c r="Q183" s="294"/>
      <c r="R183" s="363">
        <f>+R67</f>
        <v>0</v>
      </c>
      <c r="S183" s="297"/>
      <c r="T183" s="274"/>
    </row>
    <row r="184" spans="1:252" s="275" customFormat="1" x14ac:dyDescent="0.3">
      <c r="A184" s="301"/>
      <c r="B184" s="294" t="s">
        <v>173</v>
      </c>
      <c r="C184" s="294"/>
      <c r="D184" s="294"/>
      <c r="E184" s="294"/>
      <c r="F184" s="294"/>
      <c r="G184" s="294"/>
      <c r="H184" s="294"/>
      <c r="I184" s="294"/>
      <c r="J184" s="294"/>
      <c r="K184" s="294"/>
      <c r="L184" s="294"/>
      <c r="M184" s="294"/>
      <c r="N184" s="294"/>
      <c r="O184" s="294"/>
      <c r="P184" s="294"/>
      <c r="Q184" s="294"/>
      <c r="R184" s="363">
        <f>+R77</f>
        <v>0</v>
      </c>
      <c r="S184" s="297"/>
      <c r="T184" s="274"/>
    </row>
    <row r="185" spans="1:252" s="275" customFormat="1" x14ac:dyDescent="0.3">
      <c r="A185" s="301"/>
      <c r="B185" s="294" t="s">
        <v>217</v>
      </c>
      <c r="C185" s="294"/>
      <c r="D185" s="294"/>
      <c r="E185" s="294"/>
      <c r="F185" s="294"/>
      <c r="G185" s="294"/>
      <c r="H185" s="294"/>
      <c r="I185" s="294"/>
      <c r="J185" s="294"/>
      <c r="K185" s="294"/>
      <c r="L185" s="294"/>
      <c r="M185" s="294"/>
      <c r="N185" s="294"/>
      <c r="O185" s="294"/>
      <c r="P185" s="294"/>
      <c r="Q185" s="294"/>
      <c r="R185" s="363">
        <f>+R78</f>
        <v>0</v>
      </c>
      <c r="S185" s="297"/>
      <c r="T185" s="274"/>
    </row>
    <row r="186" spans="1:252" s="275" customFormat="1" x14ac:dyDescent="0.3">
      <c r="A186" s="301"/>
      <c r="B186" s="294" t="s">
        <v>126</v>
      </c>
      <c r="C186" s="294"/>
      <c r="D186" s="294"/>
      <c r="E186" s="294"/>
      <c r="F186" s="294"/>
      <c r="G186" s="294"/>
      <c r="H186" s="294"/>
      <c r="I186" s="294"/>
      <c r="J186" s="294"/>
      <c r="K186" s="294"/>
      <c r="L186" s="294"/>
      <c r="M186" s="294"/>
      <c r="N186" s="294"/>
      <c r="O186" s="294"/>
      <c r="P186" s="294"/>
      <c r="Q186" s="294"/>
      <c r="R186" s="363">
        <f>+R183+R184+R185</f>
        <v>0</v>
      </c>
      <c r="S186" s="297"/>
      <c r="T186" s="274"/>
    </row>
    <row r="187" spans="1:252" s="275" customFormat="1" x14ac:dyDescent="0.3">
      <c r="A187" s="301"/>
      <c r="B187" s="294" t="s">
        <v>45</v>
      </c>
      <c r="C187" s="294"/>
      <c r="D187" s="294"/>
      <c r="E187" s="294"/>
      <c r="F187" s="294"/>
      <c r="G187" s="294"/>
      <c r="H187" s="294"/>
      <c r="I187" s="294"/>
      <c r="J187" s="294"/>
      <c r="K187" s="294"/>
      <c r="L187" s="294"/>
      <c r="M187" s="294"/>
      <c r="N187" s="294"/>
      <c r="O187" s="294"/>
      <c r="P187" s="294"/>
      <c r="Q187" s="294"/>
      <c r="R187" s="363">
        <f>R80</f>
        <v>0</v>
      </c>
      <c r="S187" s="297"/>
      <c r="T187" s="274"/>
    </row>
    <row r="188" spans="1:252" ht="16.2" thickBot="1" x14ac:dyDescent="0.35">
      <c r="A188" s="258"/>
      <c r="B188" s="343"/>
      <c r="C188" s="343"/>
      <c r="D188" s="343"/>
      <c r="E188" s="343"/>
      <c r="F188" s="343"/>
      <c r="G188" s="343"/>
      <c r="H188" s="343"/>
      <c r="I188" s="343"/>
      <c r="J188" s="343"/>
      <c r="K188" s="343"/>
      <c r="L188" s="343"/>
      <c r="M188" s="343"/>
      <c r="N188" s="343"/>
      <c r="O188" s="343"/>
      <c r="P188" s="343"/>
      <c r="Q188" s="343"/>
      <c r="R188" s="396"/>
      <c r="S188" s="261"/>
      <c r="T188" s="256"/>
    </row>
    <row r="189" spans="1:252" x14ac:dyDescent="0.3">
      <c r="A189" s="252"/>
      <c r="B189" s="254"/>
      <c r="C189" s="254"/>
      <c r="D189" s="254"/>
      <c r="E189" s="254"/>
      <c r="F189" s="254"/>
      <c r="G189" s="254"/>
      <c r="H189" s="254"/>
      <c r="I189" s="254"/>
      <c r="J189" s="254"/>
      <c r="K189" s="254"/>
      <c r="L189" s="254"/>
      <c r="M189" s="254"/>
      <c r="N189" s="254"/>
      <c r="O189" s="254"/>
      <c r="P189" s="254"/>
      <c r="Q189" s="254"/>
      <c r="R189" s="404"/>
      <c r="S189" s="255"/>
      <c r="T189" s="256"/>
    </row>
    <row r="190" spans="1:252" s="325" customFormat="1" x14ac:dyDescent="0.3">
      <c r="A190" s="357"/>
      <c r="B190" s="395" t="s">
        <v>46</v>
      </c>
      <c r="C190" s="410"/>
      <c r="D190" s="411"/>
      <c r="E190" s="411"/>
      <c r="F190" s="411"/>
      <c r="G190" s="411"/>
      <c r="H190" s="411"/>
      <c r="I190" s="411"/>
      <c r="J190" s="411"/>
      <c r="K190" s="411"/>
      <c r="L190" s="411"/>
      <c r="M190" s="411"/>
      <c r="N190" s="411"/>
      <c r="O190" s="411" t="s">
        <v>82</v>
      </c>
      <c r="P190" s="411" t="s">
        <v>170</v>
      </c>
      <c r="Q190" s="263"/>
      <c r="R190" s="412" t="s">
        <v>94</v>
      </c>
      <c r="S190" s="413"/>
      <c r="T190" s="324"/>
    </row>
    <row r="191" spans="1:252" s="275" customFormat="1" x14ac:dyDescent="0.3">
      <c r="A191" s="301"/>
      <c r="B191" s="294" t="s">
        <v>47</v>
      </c>
      <c r="C191" s="294"/>
      <c r="D191" s="294"/>
      <c r="E191" s="294"/>
      <c r="F191" s="294"/>
      <c r="G191" s="294"/>
      <c r="H191" s="294"/>
      <c r="I191" s="294"/>
      <c r="J191" s="294"/>
      <c r="K191" s="294"/>
      <c r="L191" s="294"/>
      <c r="M191" s="294"/>
      <c r="N191" s="294"/>
      <c r="O191" s="363">
        <f>+R31*0.08</f>
        <v>24002.32</v>
      </c>
      <c r="P191" s="333"/>
      <c r="Q191" s="294"/>
      <c r="R191" s="363"/>
      <c r="S191" s="297"/>
      <c r="T191" s="274"/>
    </row>
    <row r="192" spans="1:252" s="275" customFormat="1" x14ac:dyDescent="0.3">
      <c r="A192" s="301"/>
      <c r="B192" s="294" t="s">
        <v>48</v>
      </c>
      <c r="C192" s="294"/>
      <c r="D192" s="294"/>
      <c r="E192" s="294"/>
      <c r="F192" s="294"/>
      <c r="G192" s="294"/>
      <c r="H192" s="294"/>
      <c r="I192" s="294"/>
      <c r="J192" s="294"/>
      <c r="K192" s="294"/>
      <c r="L192" s="294"/>
      <c r="M192" s="294"/>
      <c r="N192" s="294"/>
      <c r="O192" s="363">
        <f>+'June 19'!O189</f>
        <v>1084</v>
      </c>
      <c r="P192" s="363">
        <f>+'June 19'!P189</f>
        <v>557</v>
      </c>
      <c r="Q192" s="294"/>
      <c r="R192" s="363">
        <f>O192+P192</f>
        <v>1641</v>
      </c>
      <c r="S192" s="297"/>
      <c r="T192" s="274"/>
    </row>
    <row r="193" spans="1:20" s="275" customFormat="1" x14ac:dyDescent="0.3">
      <c r="A193" s="301"/>
      <c r="B193" s="294" t="s">
        <v>49</v>
      </c>
      <c r="C193" s="294"/>
      <c r="D193" s="294"/>
      <c r="E193" s="294"/>
      <c r="F193" s="294"/>
      <c r="G193" s="294"/>
      <c r="H193" s="294"/>
      <c r="I193" s="294"/>
      <c r="J193" s="294"/>
      <c r="K193" s="294"/>
      <c r="L193" s="294"/>
      <c r="M193" s="294"/>
      <c r="N193" s="294"/>
      <c r="O193" s="362">
        <v>0</v>
      </c>
      <c r="P193" s="362">
        <v>0</v>
      </c>
      <c r="Q193" s="294"/>
      <c r="R193" s="363">
        <f>O193+P193</f>
        <v>0</v>
      </c>
      <c r="S193" s="297"/>
      <c r="T193" s="274"/>
    </row>
    <row r="194" spans="1:20" s="275" customFormat="1" x14ac:dyDescent="0.3">
      <c r="A194" s="301"/>
      <c r="B194" s="294" t="s">
        <v>50</v>
      </c>
      <c r="C194" s="294"/>
      <c r="D194" s="294"/>
      <c r="E194" s="294"/>
      <c r="F194" s="294"/>
      <c r="G194" s="294"/>
      <c r="H194" s="294"/>
      <c r="I194" s="294"/>
      <c r="J194" s="294"/>
      <c r="K194" s="294"/>
      <c r="L194" s="294"/>
      <c r="M194" s="294"/>
      <c r="N194" s="294"/>
      <c r="O194" s="363">
        <f>O192+O193</f>
        <v>1084</v>
      </c>
      <c r="P194" s="363">
        <f>P193+P192</f>
        <v>557</v>
      </c>
      <c r="Q194" s="294"/>
      <c r="R194" s="363">
        <f>O194+P194</f>
        <v>1641</v>
      </c>
      <c r="S194" s="297"/>
      <c r="T194" s="274"/>
    </row>
    <row r="195" spans="1:20" s="275" customFormat="1" x14ac:dyDescent="0.3">
      <c r="A195" s="301"/>
      <c r="B195" s="294" t="s">
        <v>51</v>
      </c>
      <c r="C195" s="294"/>
      <c r="D195" s="294"/>
      <c r="E195" s="294"/>
      <c r="F195" s="294"/>
      <c r="G195" s="294"/>
      <c r="H195" s="294"/>
      <c r="I195" s="294"/>
      <c r="J195" s="294"/>
      <c r="K195" s="294"/>
      <c r="L195" s="294"/>
      <c r="M195" s="294"/>
      <c r="N195" s="294"/>
      <c r="O195" s="363">
        <f>O191-O194-P194</f>
        <v>22361.32</v>
      </c>
      <c r="P195" s="333"/>
      <c r="Q195" s="294"/>
      <c r="R195" s="363"/>
      <c r="S195" s="297"/>
      <c r="T195" s="274"/>
    </row>
    <row r="196" spans="1:20" ht="16.2" thickBot="1" x14ac:dyDescent="0.35">
      <c r="A196" s="258"/>
      <c r="B196" s="343"/>
      <c r="C196" s="343"/>
      <c r="D196" s="343"/>
      <c r="E196" s="343"/>
      <c r="F196" s="343"/>
      <c r="G196" s="343"/>
      <c r="H196" s="343"/>
      <c r="I196" s="343"/>
      <c r="J196" s="343"/>
      <c r="K196" s="343"/>
      <c r="L196" s="343"/>
      <c r="M196" s="343"/>
      <c r="N196" s="343"/>
      <c r="O196" s="343"/>
      <c r="P196" s="343"/>
      <c r="Q196" s="343"/>
      <c r="R196" s="396"/>
      <c r="S196" s="261"/>
      <c r="T196" s="256"/>
    </row>
    <row r="197" spans="1:20" x14ac:dyDescent="0.3">
      <c r="A197" s="252"/>
      <c r="B197" s="254"/>
      <c r="C197" s="254"/>
      <c r="D197" s="254"/>
      <c r="E197" s="254"/>
      <c r="F197" s="254"/>
      <c r="G197" s="254"/>
      <c r="H197" s="254"/>
      <c r="I197" s="254"/>
      <c r="J197" s="254"/>
      <c r="K197" s="254"/>
      <c r="L197" s="254"/>
      <c r="M197" s="254"/>
      <c r="N197" s="254"/>
      <c r="O197" s="254"/>
      <c r="P197" s="254"/>
      <c r="Q197" s="254"/>
      <c r="R197" s="404"/>
      <c r="S197" s="255"/>
      <c r="T197" s="256"/>
    </row>
    <row r="198" spans="1:20" x14ac:dyDescent="0.3">
      <c r="A198" s="258"/>
      <c r="B198" s="395" t="s">
        <v>52</v>
      </c>
      <c r="C198" s="260"/>
      <c r="D198" s="260"/>
      <c r="E198" s="260"/>
      <c r="F198" s="260"/>
      <c r="G198" s="260"/>
      <c r="H198" s="260"/>
      <c r="I198" s="260"/>
      <c r="J198" s="260"/>
      <c r="K198" s="260"/>
      <c r="L198" s="260"/>
      <c r="M198" s="260"/>
      <c r="N198" s="260"/>
      <c r="O198" s="260"/>
      <c r="P198" s="260"/>
      <c r="Q198" s="260"/>
      <c r="R198" s="414"/>
      <c r="S198" s="261"/>
      <c r="T198" s="256"/>
    </row>
    <row r="199" spans="1:20" s="275" customFormat="1" x14ac:dyDescent="0.3">
      <c r="A199" s="301"/>
      <c r="B199" s="294" t="s">
        <v>53</v>
      </c>
      <c r="C199" s="294"/>
      <c r="D199" s="294"/>
      <c r="E199" s="294"/>
      <c r="F199" s="294"/>
      <c r="G199" s="294"/>
      <c r="H199" s="294"/>
      <c r="I199" s="294"/>
      <c r="J199" s="294"/>
      <c r="K199" s="294"/>
      <c r="L199" s="294"/>
      <c r="M199" s="294"/>
      <c r="N199" s="294"/>
      <c r="O199" s="294"/>
      <c r="P199" s="294"/>
      <c r="Q199" s="294"/>
      <c r="R199" s="415">
        <v>0</v>
      </c>
      <c r="S199" s="297"/>
      <c r="T199" s="274"/>
    </row>
    <row r="200" spans="1:20" s="275" customFormat="1" x14ac:dyDescent="0.3">
      <c r="A200" s="301"/>
      <c r="B200" s="294" t="s">
        <v>54</v>
      </c>
      <c r="C200" s="294"/>
      <c r="D200" s="294"/>
      <c r="E200" s="294"/>
      <c r="F200" s="294"/>
      <c r="G200" s="294"/>
      <c r="H200" s="294"/>
      <c r="I200" s="294"/>
      <c r="J200" s="294"/>
      <c r="K200" s="294"/>
      <c r="L200" s="294"/>
      <c r="M200" s="294"/>
      <c r="N200" s="294"/>
      <c r="O200" s="294"/>
      <c r="P200" s="294"/>
      <c r="Q200" s="294"/>
      <c r="R200" s="416">
        <v>0</v>
      </c>
      <c r="S200" s="297"/>
      <c r="T200" s="274"/>
    </row>
    <row r="201" spans="1:20" s="275" customFormat="1" x14ac:dyDescent="0.3">
      <c r="A201" s="301"/>
      <c r="B201" s="294" t="s">
        <v>183</v>
      </c>
      <c r="C201" s="294"/>
      <c r="D201" s="294"/>
      <c r="E201" s="294"/>
      <c r="F201" s="294"/>
      <c r="G201" s="294"/>
      <c r="H201" s="294"/>
      <c r="I201" s="294"/>
      <c r="J201" s="294"/>
      <c r="K201" s="294"/>
      <c r="L201" s="294"/>
      <c r="M201" s="294"/>
      <c r="N201" s="294"/>
      <c r="O201" s="294"/>
      <c r="P201" s="294"/>
      <c r="Q201" s="294"/>
      <c r="R201" s="415">
        <v>0</v>
      </c>
      <c r="S201" s="297"/>
      <c r="T201" s="274"/>
    </row>
    <row r="202" spans="1:20" s="275" customFormat="1" x14ac:dyDescent="0.3">
      <c r="A202" s="301"/>
      <c r="B202" s="294" t="s">
        <v>184</v>
      </c>
      <c r="C202" s="294"/>
      <c r="D202" s="294"/>
      <c r="E202" s="294"/>
      <c r="F202" s="294"/>
      <c r="G202" s="294"/>
      <c r="H202" s="294"/>
      <c r="I202" s="294"/>
      <c r="J202" s="294"/>
      <c r="K202" s="294"/>
      <c r="L202" s="294"/>
      <c r="M202" s="294"/>
      <c r="N202" s="294"/>
      <c r="O202" s="294"/>
      <c r="P202" s="294"/>
      <c r="Q202" s="294"/>
      <c r="R202" s="416">
        <v>0</v>
      </c>
      <c r="S202" s="297"/>
      <c r="T202" s="274"/>
    </row>
    <row r="203" spans="1:20" s="275" customFormat="1" x14ac:dyDescent="0.3">
      <c r="A203" s="301"/>
      <c r="B203" s="294" t="s">
        <v>185</v>
      </c>
      <c r="C203" s="294"/>
      <c r="D203" s="294"/>
      <c r="E203" s="294"/>
      <c r="F203" s="294"/>
      <c r="G203" s="294"/>
      <c r="H203" s="294"/>
      <c r="I203" s="294"/>
      <c r="J203" s="294"/>
      <c r="K203" s="294"/>
      <c r="L203" s="294"/>
      <c r="M203" s="294"/>
      <c r="N203" s="294"/>
      <c r="O203" s="294"/>
      <c r="P203" s="294"/>
      <c r="Q203" s="294"/>
      <c r="R203" s="415">
        <v>0</v>
      </c>
      <c r="S203" s="297"/>
      <c r="T203" s="274"/>
    </row>
    <row r="204" spans="1:20" s="275" customFormat="1" x14ac:dyDescent="0.3">
      <c r="A204" s="301"/>
      <c r="B204" s="294" t="s">
        <v>186</v>
      </c>
      <c r="C204" s="294"/>
      <c r="D204" s="294"/>
      <c r="E204" s="294"/>
      <c r="F204" s="294"/>
      <c r="G204" s="294"/>
      <c r="H204" s="294"/>
      <c r="I204" s="294"/>
      <c r="J204" s="294"/>
      <c r="K204" s="294"/>
      <c r="L204" s="294"/>
      <c r="M204" s="294"/>
      <c r="N204" s="294"/>
      <c r="O204" s="294"/>
      <c r="P204" s="294"/>
      <c r="Q204" s="294"/>
      <c r="R204" s="416">
        <v>0</v>
      </c>
      <c r="S204" s="297"/>
      <c r="T204" s="274"/>
    </row>
    <row r="205" spans="1:20" s="275" customFormat="1" x14ac:dyDescent="0.3">
      <c r="A205" s="301"/>
      <c r="B205" s="294" t="s">
        <v>241</v>
      </c>
      <c r="C205" s="294"/>
      <c r="D205" s="294"/>
      <c r="E205" s="294"/>
      <c r="F205" s="294"/>
      <c r="G205" s="294"/>
      <c r="H205" s="294"/>
      <c r="I205" s="294"/>
      <c r="J205" s="294"/>
      <c r="K205" s="294"/>
      <c r="L205" s="294"/>
      <c r="M205" s="294"/>
      <c r="N205" s="294"/>
      <c r="O205" s="294"/>
      <c r="P205" s="294"/>
      <c r="Q205" s="294"/>
      <c r="R205" s="415">
        <v>0</v>
      </c>
      <c r="S205" s="297"/>
      <c r="T205" s="274"/>
    </row>
    <row r="206" spans="1:20" s="275" customFormat="1" x14ac:dyDescent="0.3">
      <c r="A206" s="301"/>
      <c r="B206" s="294" t="s">
        <v>242</v>
      </c>
      <c r="C206" s="294"/>
      <c r="D206" s="294"/>
      <c r="E206" s="294"/>
      <c r="F206" s="294"/>
      <c r="G206" s="294"/>
      <c r="H206" s="294"/>
      <c r="I206" s="294"/>
      <c r="J206" s="294"/>
      <c r="K206" s="294"/>
      <c r="L206" s="294"/>
      <c r="M206" s="294"/>
      <c r="N206" s="294"/>
      <c r="O206" s="294"/>
      <c r="P206" s="294"/>
      <c r="Q206" s="294"/>
      <c r="R206" s="416">
        <v>0</v>
      </c>
      <c r="S206" s="297"/>
      <c r="T206" s="274"/>
    </row>
    <row r="207" spans="1:20" x14ac:dyDescent="0.3">
      <c r="A207" s="377"/>
      <c r="B207" s="380"/>
      <c r="C207" s="380"/>
      <c r="D207" s="380"/>
      <c r="E207" s="380"/>
      <c r="F207" s="380"/>
      <c r="G207" s="380"/>
      <c r="H207" s="380"/>
      <c r="I207" s="380"/>
      <c r="J207" s="380"/>
      <c r="K207" s="380"/>
      <c r="L207" s="380"/>
      <c r="M207" s="380"/>
      <c r="N207" s="380"/>
      <c r="O207" s="380"/>
      <c r="P207" s="380"/>
      <c r="Q207" s="380"/>
      <c r="R207" s="380"/>
      <c r="S207" s="417"/>
      <c r="T207" s="256"/>
    </row>
    <row r="208" spans="1:20" x14ac:dyDescent="0.3">
      <c r="A208" s="258"/>
      <c r="B208" s="397"/>
      <c r="C208" s="397"/>
      <c r="D208" s="397"/>
      <c r="E208" s="397"/>
      <c r="F208" s="397"/>
      <c r="G208" s="397"/>
      <c r="H208" s="397"/>
      <c r="I208" s="397"/>
      <c r="J208" s="397"/>
      <c r="K208" s="397"/>
      <c r="L208" s="397"/>
      <c r="M208" s="397"/>
      <c r="N208" s="397"/>
      <c r="O208" s="397"/>
      <c r="P208" s="397"/>
      <c r="Q208" s="397"/>
      <c r="R208" s="397"/>
      <c r="S208" s="418"/>
      <c r="T208" s="256"/>
    </row>
    <row r="209" spans="1:20" x14ac:dyDescent="0.3">
      <c r="A209" s="258"/>
      <c r="B209" s="419"/>
      <c r="C209" s="419"/>
      <c r="D209" s="419"/>
      <c r="E209" s="419"/>
      <c r="F209" s="419"/>
      <c r="G209" s="419"/>
      <c r="H209" s="419"/>
      <c r="I209" s="419"/>
      <c r="J209" s="419"/>
      <c r="K209" s="419"/>
      <c r="L209" s="419"/>
      <c r="M209" s="419"/>
      <c r="N209" s="419"/>
      <c r="O209" s="419"/>
      <c r="P209" s="419"/>
      <c r="Q209" s="419"/>
      <c r="R209" s="419"/>
      <c r="S209" s="418"/>
      <c r="T209" s="256"/>
    </row>
    <row r="210" spans="1:20" ht="18.600000000000001" thickBot="1" x14ac:dyDescent="0.4">
      <c r="A210" s="348"/>
      <c r="B210" s="349" t="str">
        <f>B136</f>
        <v>PM23 INVESTOR REPORT QUARTER ENDING SEPTEMBER 2019</v>
      </c>
      <c r="C210" s="420"/>
      <c r="D210" s="420"/>
      <c r="E210" s="420"/>
      <c r="F210" s="420"/>
      <c r="G210" s="420"/>
      <c r="H210" s="420"/>
      <c r="I210" s="420"/>
      <c r="J210" s="420"/>
      <c r="K210" s="420"/>
      <c r="L210" s="420"/>
      <c r="M210" s="420"/>
      <c r="N210" s="420"/>
      <c r="O210" s="420"/>
      <c r="P210" s="420"/>
      <c r="Q210" s="420"/>
      <c r="R210" s="420"/>
      <c r="S210" s="421"/>
      <c r="T210" s="256"/>
    </row>
    <row r="211" spans="1:20" x14ac:dyDescent="0.3">
      <c r="A211" s="389"/>
      <c r="B211" s="390" t="s">
        <v>55</v>
      </c>
      <c r="C211" s="422"/>
      <c r="D211" s="423"/>
      <c r="E211" s="423"/>
      <c r="F211" s="423"/>
      <c r="G211" s="423"/>
      <c r="H211" s="423"/>
      <c r="I211" s="423"/>
      <c r="J211" s="423"/>
      <c r="K211" s="423"/>
      <c r="L211" s="423"/>
      <c r="M211" s="423"/>
      <c r="N211" s="423"/>
      <c r="O211" s="423"/>
      <c r="P211" s="423">
        <v>43738</v>
      </c>
      <c r="Q211" s="391"/>
      <c r="R211" s="391"/>
      <c r="S211" s="393"/>
      <c r="T211" s="256"/>
    </row>
    <row r="212" spans="1:20" x14ac:dyDescent="0.3">
      <c r="A212" s="424"/>
      <c r="B212" s="425"/>
      <c r="C212" s="426"/>
      <c r="D212" s="427"/>
      <c r="E212" s="427"/>
      <c r="F212" s="427"/>
      <c r="G212" s="427"/>
      <c r="H212" s="427"/>
      <c r="I212" s="427"/>
      <c r="J212" s="427"/>
      <c r="K212" s="427"/>
      <c r="L212" s="427"/>
      <c r="M212" s="427"/>
      <c r="N212" s="427"/>
      <c r="O212" s="427"/>
      <c r="P212" s="427"/>
      <c r="Q212" s="260"/>
      <c r="R212" s="260"/>
      <c r="S212" s="261"/>
      <c r="T212" s="256"/>
    </row>
    <row r="213" spans="1:20" s="275" customFormat="1" x14ac:dyDescent="0.3">
      <c r="A213" s="301"/>
      <c r="B213" s="294" t="s">
        <v>56</v>
      </c>
      <c r="C213" s="428"/>
      <c r="D213" s="337"/>
      <c r="E213" s="337"/>
      <c r="F213" s="337"/>
      <c r="G213" s="337"/>
      <c r="H213" s="337"/>
      <c r="I213" s="337"/>
      <c r="J213" s="337"/>
      <c r="K213" s="337"/>
      <c r="L213" s="337"/>
      <c r="M213" s="337"/>
      <c r="N213" s="337"/>
      <c r="O213" s="337"/>
      <c r="P213" s="329">
        <v>3.8339999999999999E-2</v>
      </c>
      <c r="Q213" s="294"/>
      <c r="R213" s="294"/>
      <c r="S213" s="297"/>
      <c r="T213" s="274"/>
    </row>
    <row r="214" spans="1:20" s="275" customFormat="1" x14ac:dyDescent="0.3">
      <c r="A214" s="301"/>
      <c r="B214" s="294" t="s">
        <v>158</v>
      </c>
      <c r="C214" s="428"/>
      <c r="D214" s="337"/>
      <c r="E214" s="337"/>
      <c r="F214" s="337"/>
      <c r="G214" s="337"/>
      <c r="H214" s="337"/>
      <c r="I214" s="337"/>
      <c r="J214" s="337"/>
      <c r="K214" s="337"/>
      <c r="L214" s="337"/>
      <c r="M214" s="337"/>
      <c r="N214" s="337"/>
      <c r="O214" s="337"/>
      <c r="P214" s="329">
        <v>1.8334780428558572E-2</v>
      </c>
      <c r="Q214" s="294"/>
      <c r="R214" s="294"/>
      <c r="S214" s="297"/>
      <c r="T214" s="274"/>
    </row>
    <row r="215" spans="1:20" s="275" customFormat="1" x14ac:dyDescent="0.3">
      <c r="A215" s="301"/>
      <c r="B215" s="294" t="s">
        <v>57</v>
      </c>
      <c r="C215" s="428"/>
      <c r="D215" s="337"/>
      <c r="E215" s="337"/>
      <c r="F215" s="337"/>
      <c r="G215" s="337"/>
      <c r="H215" s="337"/>
      <c r="I215" s="337"/>
      <c r="J215" s="337"/>
      <c r="K215" s="337"/>
      <c r="L215" s="337"/>
      <c r="M215" s="337"/>
      <c r="N215" s="337"/>
      <c r="O215" s="337"/>
      <c r="P215" s="329">
        <f>P213-P214</f>
        <v>2.0005219571441427E-2</v>
      </c>
      <c r="Q215" s="294"/>
      <c r="R215" s="294"/>
      <c r="S215" s="297"/>
      <c r="T215" s="274"/>
    </row>
    <row r="216" spans="1:20" s="275" customFormat="1" x14ac:dyDescent="0.3">
      <c r="A216" s="301"/>
      <c r="B216" s="294" t="s">
        <v>161</v>
      </c>
      <c r="C216" s="428"/>
      <c r="D216" s="337"/>
      <c r="E216" s="337"/>
      <c r="F216" s="337"/>
      <c r="G216" s="337"/>
      <c r="H216" s="337"/>
      <c r="I216" s="337"/>
      <c r="J216" s="337"/>
      <c r="K216" s="337"/>
      <c r="L216" s="337"/>
      <c r="M216" s="337"/>
      <c r="N216" s="337"/>
      <c r="O216" s="337"/>
      <c r="P216" s="329">
        <v>4.76713E-2</v>
      </c>
      <c r="Q216" s="294"/>
      <c r="R216" s="294"/>
      <c r="S216" s="297"/>
      <c r="T216" s="274"/>
    </row>
    <row r="217" spans="1:20" s="275" customFormat="1" x14ac:dyDescent="0.3">
      <c r="A217" s="301"/>
      <c r="B217" s="294" t="s">
        <v>58</v>
      </c>
      <c r="C217" s="428"/>
      <c r="D217" s="337"/>
      <c r="E217" s="337"/>
      <c r="F217" s="337"/>
      <c r="G217" s="337"/>
      <c r="H217" s="337"/>
      <c r="I217" s="337"/>
      <c r="J217" s="337"/>
      <c r="K217" s="337"/>
      <c r="L217" s="337"/>
      <c r="M217" s="337"/>
      <c r="N217" s="337"/>
      <c r="O217" s="337"/>
      <c r="P217" s="329">
        <v>0</v>
      </c>
      <c r="Q217" s="294"/>
      <c r="R217" s="294"/>
      <c r="S217" s="297"/>
      <c r="T217" s="274"/>
    </row>
    <row r="218" spans="1:20" s="275" customFormat="1" x14ac:dyDescent="0.3">
      <c r="A218" s="301"/>
      <c r="B218" s="294" t="s">
        <v>159</v>
      </c>
      <c r="C218" s="428"/>
      <c r="D218" s="337"/>
      <c r="E218" s="337"/>
      <c r="F218" s="337"/>
      <c r="G218" s="337"/>
      <c r="H218" s="337"/>
      <c r="I218" s="337"/>
      <c r="J218" s="337"/>
      <c r="K218" s="337"/>
      <c r="L218" s="337"/>
      <c r="M218" s="337"/>
      <c r="N218" s="337"/>
      <c r="O218" s="337"/>
      <c r="P218" s="329">
        <v>0</v>
      </c>
      <c r="Q218" s="294"/>
      <c r="R218" s="294"/>
      <c r="S218" s="297"/>
      <c r="T218" s="274"/>
    </row>
    <row r="219" spans="1:20" s="275" customFormat="1" x14ac:dyDescent="0.3">
      <c r="A219" s="301"/>
      <c r="B219" s="294" t="s">
        <v>59</v>
      </c>
      <c r="C219" s="428"/>
      <c r="D219" s="337"/>
      <c r="E219" s="337"/>
      <c r="F219" s="337"/>
      <c r="G219" s="337"/>
      <c r="H219" s="337"/>
      <c r="I219" s="337"/>
      <c r="J219" s="337"/>
      <c r="K219" s="337"/>
      <c r="L219" s="337"/>
      <c r="M219" s="337"/>
      <c r="N219" s="337"/>
      <c r="O219" s="337"/>
      <c r="P219" s="329">
        <f>P217-P218</f>
        <v>0</v>
      </c>
      <c r="Q219" s="294"/>
      <c r="R219" s="294"/>
      <c r="S219" s="297"/>
      <c r="T219" s="274"/>
    </row>
    <row r="220" spans="1:20" s="275" customFormat="1" x14ac:dyDescent="0.3">
      <c r="A220" s="301"/>
      <c r="B220" s="294" t="s">
        <v>139</v>
      </c>
      <c r="C220" s="428"/>
      <c r="D220" s="337"/>
      <c r="E220" s="337"/>
      <c r="F220" s="337"/>
      <c r="G220" s="337"/>
      <c r="H220" s="337"/>
      <c r="I220" s="337"/>
      <c r="J220" s="337"/>
      <c r="K220" s="337"/>
      <c r="L220" s="337"/>
      <c r="M220" s="337"/>
      <c r="N220" s="337"/>
      <c r="O220" s="337"/>
      <c r="P220" s="329">
        <v>0</v>
      </c>
      <c r="Q220" s="294"/>
      <c r="R220" s="294"/>
      <c r="S220" s="297"/>
      <c r="T220" s="274"/>
    </row>
    <row r="221" spans="1:20" s="275" customFormat="1" x14ac:dyDescent="0.3">
      <c r="A221" s="301"/>
      <c r="B221" s="294" t="s">
        <v>132</v>
      </c>
      <c r="C221" s="428"/>
      <c r="D221" s="337"/>
      <c r="E221" s="337"/>
      <c r="F221" s="337"/>
      <c r="G221" s="337"/>
      <c r="H221" s="337"/>
      <c r="I221" s="337"/>
      <c r="J221" s="337"/>
      <c r="K221" s="337"/>
      <c r="L221" s="337"/>
      <c r="M221" s="337"/>
      <c r="N221" s="337"/>
      <c r="O221" s="337"/>
      <c r="P221" s="429">
        <v>52246</v>
      </c>
      <c r="Q221" s="294"/>
      <c r="R221" s="294"/>
      <c r="S221" s="297"/>
      <c r="T221" s="274"/>
    </row>
    <row r="222" spans="1:20" s="275" customFormat="1" x14ac:dyDescent="0.3">
      <c r="A222" s="301"/>
      <c r="B222" s="294" t="s">
        <v>187</v>
      </c>
      <c r="C222" s="428"/>
      <c r="D222" s="337"/>
      <c r="E222" s="337"/>
      <c r="F222" s="337"/>
      <c r="G222" s="337"/>
      <c r="H222" s="337"/>
      <c r="I222" s="337"/>
      <c r="J222" s="337"/>
      <c r="K222" s="337"/>
      <c r="L222" s="337"/>
      <c r="M222" s="337"/>
      <c r="N222" s="337"/>
      <c r="O222" s="337"/>
      <c r="P222" s="429">
        <v>52246</v>
      </c>
      <c r="Q222" s="294"/>
      <c r="R222" s="294"/>
      <c r="S222" s="297"/>
      <c r="T222" s="274"/>
    </row>
    <row r="223" spans="1:20" s="275" customFormat="1" x14ac:dyDescent="0.3">
      <c r="A223" s="301"/>
      <c r="B223" s="294" t="s">
        <v>188</v>
      </c>
      <c r="C223" s="428"/>
      <c r="D223" s="337"/>
      <c r="E223" s="337"/>
      <c r="F223" s="337"/>
      <c r="G223" s="337"/>
      <c r="H223" s="337"/>
      <c r="I223" s="337"/>
      <c r="J223" s="337"/>
      <c r="K223" s="337"/>
      <c r="L223" s="337"/>
      <c r="M223" s="337"/>
      <c r="N223" s="337"/>
      <c r="O223" s="337"/>
      <c r="P223" s="429">
        <v>52246</v>
      </c>
      <c r="Q223" s="294"/>
      <c r="R223" s="294"/>
      <c r="S223" s="297"/>
      <c r="T223" s="274"/>
    </row>
    <row r="224" spans="1:20" s="275" customFormat="1" x14ac:dyDescent="0.3">
      <c r="A224" s="301"/>
      <c r="B224" s="294" t="s">
        <v>243</v>
      </c>
      <c r="C224" s="428"/>
      <c r="D224" s="337"/>
      <c r="E224" s="337"/>
      <c r="F224" s="337"/>
      <c r="G224" s="337"/>
      <c r="H224" s="337"/>
      <c r="I224" s="337"/>
      <c r="J224" s="337"/>
      <c r="K224" s="337"/>
      <c r="L224" s="337"/>
      <c r="M224" s="337"/>
      <c r="N224" s="337"/>
      <c r="O224" s="337"/>
      <c r="P224" s="429">
        <v>52246</v>
      </c>
      <c r="Q224" s="294"/>
      <c r="R224" s="294"/>
      <c r="S224" s="297"/>
      <c r="T224" s="274"/>
    </row>
    <row r="225" spans="1:20" s="275" customFormat="1" x14ac:dyDescent="0.3">
      <c r="A225" s="301"/>
      <c r="B225" s="294" t="s">
        <v>60</v>
      </c>
      <c r="C225" s="428"/>
      <c r="D225" s="337"/>
      <c r="E225" s="337"/>
      <c r="F225" s="337"/>
      <c r="G225" s="337"/>
      <c r="H225" s="337"/>
      <c r="I225" s="337"/>
      <c r="J225" s="337"/>
      <c r="K225" s="337"/>
      <c r="L225" s="337"/>
      <c r="M225" s="337"/>
      <c r="N225" s="337"/>
      <c r="O225" s="337"/>
      <c r="P225" s="335">
        <v>20.75</v>
      </c>
      <c r="Q225" s="294" t="s">
        <v>90</v>
      </c>
      <c r="R225" s="294"/>
      <c r="S225" s="297"/>
      <c r="T225" s="274"/>
    </row>
    <row r="226" spans="1:20" s="275" customFormat="1" x14ac:dyDescent="0.3">
      <c r="A226" s="301"/>
      <c r="B226" s="294" t="s">
        <v>61</v>
      </c>
      <c r="C226" s="428"/>
      <c r="D226" s="337"/>
      <c r="E226" s="337"/>
      <c r="F226" s="337"/>
      <c r="G226" s="337"/>
      <c r="H226" s="337"/>
      <c r="I226" s="337"/>
      <c r="J226" s="337"/>
      <c r="K226" s="337"/>
      <c r="L226" s="337"/>
      <c r="M226" s="337"/>
      <c r="N226" s="337"/>
      <c r="O226" s="337"/>
      <c r="P226" s="335">
        <v>0</v>
      </c>
      <c r="Q226" s="294" t="s">
        <v>90</v>
      </c>
      <c r="R226" s="294"/>
      <c r="S226" s="297"/>
      <c r="T226" s="274"/>
    </row>
    <row r="227" spans="1:20" s="275" customFormat="1" x14ac:dyDescent="0.3">
      <c r="A227" s="301"/>
      <c r="B227" s="294" t="s">
        <v>62</v>
      </c>
      <c r="C227" s="428"/>
      <c r="D227" s="337"/>
      <c r="E227" s="337"/>
      <c r="F227" s="337"/>
      <c r="G227" s="337"/>
      <c r="H227" s="337"/>
      <c r="I227" s="337"/>
      <c r="J227" s="337"/>
      <c r="K227" s="337"/>
      <c r="L227" s="337"/>
      <c r="M227" s="337"/>
      <c r="N227" s="337"/>
      <c r="O227" s="337"/>
      <c r="P227" s="329">
        <f>(+J64+L64+P64)/(H64+H77)</f>
        <v>1</v>
      </c>
      <c r="Q227" s="294"/>
      <c r="R227" s="294"/>
      <c r="S227" s="297"/>
      <c r="T227" s="274"/>
    </row>
    <row r="228" spans="1:20" s="275" customFormat="1" x14ac:dyDescent="0.3">
      <c r="A228" s="301"/>
      <c r="B228" s="294" t="s">
        <v>63</v>
      </c>
      <c r="C228" s="428"/>
      <c r="D228" s="337"/>
      <c r="E228" s="337"/>
      <c r="F228" s="337"/>
      <c r="G228" s="337"/>
      <c r="H228" s="337"/>
      <c r="I228" s="337"/>
      <c r="J228" s="337"/>
      <c r="K228" s="337"/>
      <c r="L228" s="337"/>
      <c r="M228" s="337"/>
      <c r="N228" s="337"/>
      <c r="O228" s="337"/>
      <c r="P228" s="329">
        <v>1</v>
      </c>
      <c r="Q228" s="294"/>
      <c r="R228" s="294"/>
      <c r="S228" s="297"/>
      <c r="T228" s="274"/>
    </row>
    <row r="229" spans="1:20" x14ac:dyDescent="0.3">
      <c r="A229" s="424"/>
      <c r="B229" s="430"/>
      <c r="C229" s="430"/>
      <c r="D229" s="343"/>
      <c r="E229" s="343"/>
      <c r="F229" s="343"/>
      <c r="G229" s="343"/>
      <c r="H229" s="343"/>
      <c r="I229" s="343"/>
      <c r="J229" s="343"/>
      <c r="K229" s="343"/>
      <c r="L229" s="343"/>
      <c r="M229" s="343"/>
      <c r="N229" s="343"/>
      <c r="O229" s="343"/>
      <c r="P229" s="396"/>
      <c r="Q229" s="343"/>
      <c r="R229" s="431"/>
      <c r="S229" s="261"/>
      <c r="T229" s="256"/>
    </row>
    <row r="230" spans="1:20" x14ac:dyDescent="0.3">
      <c r="A230" s="432"/>
      <c r="B230" s="369" t="s">
        <v>64</v>
      </c>
      <c r="C230" s="370"/>
      <c r="D230" s="370"/>
      <c r="E230" s="370"/>
      <c r="F230" s="370"/>
      <c r="G230" s="370"/>
      <c r="H230" s="370"/>
      <c r="I230" s="370"/>
      <c r="J230" s="370"/>
      <c r="K230" s="370"/>
      <c r="L230" s="370"/>
      <c r="M230" s="370"/>
      <c r="N230" s="370"/>
      <c r="O230" s="370" t="s">
        <v>83</v>
      </c>
      <c r="P230" s="433" t="s">
        <v>88</v>
      </c>
      <c r="Q230" s="287"/>
      <c r="R230" s="287"/>
      <c r="S230" s="290"/>
      <c r="T230" s="256"/>
    </row>
    <row r="231" spans="1:20" s="275" customFormat="1" x14ac:dyDescent="0.3">
      <c r="A231" s="434"/>
      <c r="B231" s="291" t="s">
        <v>65</v>
      </c>
      <c r="C231" s="373"/>
      <c r="D231" s="435"/>
      <c r="E231" s="435"/>
      <c r="F231" s="435"/>
      <c r="G231" s="435"/>
      <c r="H231" s="435"/>
      <c r="I231" s="435"/>
      <c r="J231" s="435"/>
      <c r="K231" s="435"/>
      <c r="L231" s="435"/>
      <c r="M231" s="435"/>
      <c r="N231" s="435"/>
      <c r="O231" s="435">
        <v>0</v>
      </c>
      <c r="P231" s="436">
        <v>0</v>
      </c>
      <c r="Q231" s="291"/>
      <c r="R231" s="437"/>
      <c r="S231" s="438"/>
      <c r="T231" s="274"/>
    </row>
    <row r="232" spans="1:20" s="275" customFormat="1" x14ac:dyDescent="0.3">
      <c r="A232" s="439"/>
      <c r="B232" s="294" t="s">
        <v>113</v>
      </c>
      <c r="C232" s="362"/>
      <c r="D232" s="302"/>
      <c r="E232" s="302"/>
      <c r="F232" s="302"/>
      <c r="G232" s="302"/>
      <c r="H232" s="302"/>
      <c r="I232" s="302"/>
      <c r="J232" s="302"/>
      <c r="K232" s="302"/>
      <c r="L232" s="302"/>
      <c r="M232" s="302"/>
      <c r="N232" s="302"/>
      <c r="O232" s="440">
        <f>+N284</f>
        <v>0</v>
      </c>
      <c r="P232" s="441">
        <f>+P284</f>
        <v>0</v>
      </c>
      <c r="Q232" s="294"/>
      <c r="R232" s="442"/>
      <c r="S232" s="443"/>
      <c r="T232" s="274"/>
    </row>
    <row r="233" spans="1:20" s="275" customFormat="1" x14ac:dyDescent="0.3">
      <c r="A233" s="439"/>
      <c r="B233" s="294" t="s">
        <v>66</v>
      </c>
      <c r="C233" s="362"/>
      <c r="D233" s="302"/>
      <c r="E233" s="302"/>
      <c r="F233" s="302"/>
      <c r="G233" s="302"/>
      <c r="H233" s="302"/>
      <c r="I233" s="302"/>
      <c r="J233" s="302"/>
      <c r="K233" s="302"/>
      <c r="L233" s="302"/>
      <c r="M233" s="302"/>
      <c r="N233" s="302"/>
      <c r="O233" s="440">
        <f>+N296</f>
        <v>0</v>
      </c>
      <c r="P233" s="441">
        <f>+P296</f>
        <v>0</v>
      </c>
      <c r="Q233" s="294"/>
      <c r="R233" s="442"/>
      <c r="S233" s="443"/>
      <c r="T233" s="274"/>
    </row>
    <row r="234" spans="1:20" x14ac:dyDescent="0.3">
      <c r="A234" s="444"/>
      <c r="B234" s="445" t="s">
        <v>281</v>
      </c>
      <c r="C234" s="446"/>
      <c r="D234" s="317"/>
      <c r="E234" s="317"/>
      <c r="F234" s="317"/>
      <c r="G234" s="317"/>
      <c r="H234" s="317"/>
      <c r="I234" s="317"/>
      <c r="J234" s="317"/>
      <c r="K234" s="317"/>
      <c r="L234" s="317"/>
      <c r="M234" s="317"/>
      <c r="N234" s="317"/>
      <c r="O234" s="380"/>
      <c r="P234" s="441">
        <f>+P64</f>
        <v>909</v>
      </c>
      <c r="Q234" s="317"/>
      <c r="R234" s="447"/>
      <c r="S234" s="448"/>
      <c r="T234" s="256"/>
    </row>
    <row r="235" spans="1:20" x14ac:dyDescent="0.3">
      <c r="A235" s="444"/>
      <c r="B235" s="445" t="s">
        <v>140</v>
      </c>
      <c r="C235" s="446"/>
      <c r="D235" s="317"/>
      <c r="E235" s="317"/>
      <c r="F235" s="317"/>
      <c r="G235" s="317"/>
      <c r="H235" s="317"/>
      <c r="I235" s="317"/>
      <c r="J235" s="317"/>
      <c r="K235" s="317"/>
      <c r="L235" s="317"/>
      <c r="M235" s="317"/>
      <c r="N235" s="317"/>
      <c r="O235" s="380"/>
      <c r="P235" s="441">
        <f>-J77</f>
        <v>0</v>
      </c>
      <c r="Q235" s="317"/>
      <c r="R235" s="447"/>
      <c r="S235" s="448"/>
      <c r="T235" s="256"/>
    </row>
    <row r="236" spans="1:20" x14ac:dyDescent="0.3">
      <c r="A236" s="449"/>
      <c r="B236" s="445" t="s">
        <v>67</v>
      </c>
      <c r="C236" s="450"/>
      <c r="D236" s="317"/>
      <c r="E236" s="317"/>
      <c r="F236" s="317"/>
      <c r="G236" s="317"/>
      <c r="H236" s="317"/>
      <c r="I236" s="317"/>
      <c r="J236" s="317"/>
      <c r="K236" s="317"/>
      <c r="L236" s="317"/>
      <c r="M236" s="317"/>
      <c r="N236" s="317"/>
      <c r="O236" s="380"/>
      <c r="P236" s="441"/>
      <c r="Q236" s="317"/>
      <c r="R236" s="447"/>
      <c r="S236" s="451"/>
      <c r="T236" s="256"/>
    </row>
    <row r="237" spans="1:20" s="275" customFormat="1" x14ac:dyDescent="0.3">
      <c r="A237" s="452"/>
      <c r="B237" s="294" t="s">
        <v>68</v>
      </c>
      <c r="C237" s="294"/>
      <c r="D237" s="294"/>
      <c r="E237" s="294"/>
      <c r="F237" s="294"/>
      <c r="G237" s="294"/>
      <c r="H237" s="294"/>
      <c r="I237" s="294"/>
      <c r="J237" s="294"/>
      <c r="K237" s="294"/>
      <c r="L237" s="294"/>
      <c r="M237" s="294"/>
      <c r="N237" s="294"/>
      <c r="O237" s="302"/>
      <c r="P237" s="441">
        <f>R167</f>
        <v>0</v>
      </c>
      <c r="Q237" s="294"/>
      <c r="R237" s="442"/>
      <c r="S237" s="453"/>
      <c r="T237" s="274"/>
    </row>
    <row r="238" spans="1:20" s="275" customFormat="1" x14ac:dyDescent="0.3">
      <c r="A238" s="439"/>
      <c r="B238" s="294" t="s">
        <v>69</v>
      </c>
      <c r="C238" s="362"/>
      <c r="D238" s="294"/>
      <c r="E238" s="294"/>
      <c r="F238" s="294"/>
      <c r="G238" s="294"/>
      <c r="H238" s="294"/>
      <c r="I238" s="294"/>
      <c r="J238" s="294"/>
      <c r="K238" s="294"/>
      <c r="L238" s="294"/>
      <c r="M238" s="294"/>
      <c r="N238" s="294"/>
      <c r="O238" s="302"/>
      <c r="P238" s="441">
        <f>'June 19'!P233+P237</f>
        <v>0</v>
      </c>
      <c r="Q238" s="294"/>
      <c r="R238" s="442"/>
      <c r="S238" s="453"/>
      <c r="T238" s="274"/>
    </row>
    <row r="239" spans="1:20" x14ac:dyDescent="0.3">
      <c r="A239" s="449"/>
      <c r="B239" s="445" t="s">
        <v>151</v>
      </c>
      <c r="C239" s="450"/>
      <c r="D239" s="317"/>
      <c r="E239" s="317"/>
      <c r="F239" s="317"/>
      <c r="G239" s="317"/>
      <c r="H239" s="317"/>
      <c r="I239" s="317"/>
      <c r="J239" s="317"/>
      <c r="K239" s="317"/>
      <c r="L239" s="317"/>
      <c r="M239" s="317"/>
      <c r="N239" s="317"/>
      <c r="O239" s="454"/>
      <c r="P239" s="455"/>
      <c r="Q239" s="317"/>
      <c r="R239" s="447"/>
      <c r="S239" s="451"/>
      <c r="T239" s="256"/>
    </row>
    <row r="240" spans="1:20" s="275" customFormat="1" x14ac:dyDescent="0.3">
      <c r="A240" s="452"/>
      <c r="B240" s="294" t="s">
        <v>160</v>
      </c>
      <c r="C240" s="294"/>
      <c r="D240" s="294"/>
      <c r="E240" s="294"/>
      <c r="F240" s="294"/>
      <c r="G240" s="294"/>
      <c r="H240" s="294"/>
      <c r="I240" s="294"/>
      <c r="J240" s="294"/>
      <c r="K240" s="294"/>
      <c r="L240" s="294"/>
      <c r="M240" s="294"/>
      <c r="N240" s="294"/>
      <c r="O240" s="302">
        <v>0</v>
      </c>
      <c r="P240" s="441">
        <v>0</v>
      </c>
      <c r="Q240" s="294"/>
      <c r="R240" s="442"/>
      <c r="S240" s="453"/>
      <c r="T240" s="274"/>
    </row>
    <row r="241" spans="1:20" s="275" customFormat="1" x14ac:dyDescent="0.3">
      <c r="A241" s="439"/>
      <c r="B241" s="294" t="s">
        <v>70</v>
      </c>
      <c r="C241" s="333"/>
      <c r="D241" s="294"/>
      <c r="E241" s="294"/>
      <c r="F241" s="294"/>
      <c r="G241" s="294"/>
      <c r="H241" s="294"/>
      <c r="I241" s="294"/>
      <c r="J241" s="294"/>
      <c r="K241" s="294"/>
      <c r="L241" s="294"/>
      <c r="M241" s="294"/>
      <c r="N241" s="294"/>
      <c r="O241" s="294"/>
      <c r="P241" s="456">
        <v>0</v>
      </c>
      <c r="Q241" s="294"/>
      <c r="R241" s="442"/>
      <c r="S241" s="453"/>
      <c r="T241" s="274"/>
    </row>
    <row r="242" spans="1:20" s="275" customFormat="1" x14ac:dyDescent="0.3">
      <c r="A242" s="439"/>
      <c r="B242" s="294" t="s">
        <v>71</v>
      </c>
      <c r="C242" s="333"/>
      <c r="D242" s="294"/>
      <c r="E242" s="294"/>
      <c r="F242" s="294"/>
      <c r="G242" s="294"/>
      <c r="H242" s="294"/>
      <c r="I242" s="294"/>
      <c r="J242" s="294"/>
      <c r="K242" s="294"/>
      <c r="L242" s="294"/>
      <c r="M242" s="294"/>
      <c r="N242" s="294"/>
      <c r="O242" s="294"/>
      <c r="P242" s="456">
        <v>0</v>
      </c>
      <c r="Q242" s="294"/>
      <c r="R242" s="442"/>
      <c r="S242" s="453"/>
      <c r="T242" s="274"/>
    </row>
    <row r="243" spans="1:20" x14ac:dyDescent="0.3">
      <c r="A243" s="444"/>
      <c r="B243" s="445" t="s">
        <v>136</v>
      </c>
      <c r="C243" s="457"/>
      <c r="D243" s="317"/>
      <c r="E243" s="317"/>
      <c r="F243" s="317"/>
      <c r="G243" s="317"/>
      <c r="H243" s="317"/>
      <c r="I243" s="317"/>
      <c r="J243" s="317"/>
      <c r="K243" s="317"/>
      <c r="L243" s="317"/>
      <c r="M243" s="317"/>
      <c r="N243" s="317"/>
      <c r="O243" s="380"/>
      <c r="P243" s="458"/>
      <c r="Q243" s="317"/>
      <c r="R243" s="447"/>
      <c r="S243" s="451"/>
      <c r="T243" s="256"/>
    </row>
    <row r="244" spans="1:20" s="275" customFormat="1" x14ac:dyDescent="0.3">
      <c r="A244" s="439"/>
      <c r="B244" s="294" t="s">
        <v>160</v>
      </c>
      <c r="C244" s="333"/>
      <c r="D244" s="294"/>
      <c r="E244" s="294"/>
      <c r="F244" s="294"/>
      <c r="G244" s="294"/>
      <c r="H244" s="294"/>
      <c r="I244" s="294"/>
      <c r="J244" s="294"/>
      <c r="K244" s="294"/>
      <c r="L244" s="294"/>
      <c r="M244" s="294"/>
      <c r="N244" s="294"/>
      <c r="O244" s="302">
        <v>0</v>
      </c>
      <c r="P244" s="441">
        <v>0</v>
      </c>
      <c r="Q244" s="294"/>
      <c r="R244" s="442"/>
      <c r="S244" s="453"/>
      <c r="T244" s="274"/>
    </row>
    <row r="245" spans="1:20" s="275" customFormat="1" x14ac:dyDescent="0.3">
      <c r="A245" s="439"/>
      <c r="B245" s="294" t="s">
        <v>137</v>
      </c>
      <c r="C245" s="333"/>
      <c r="D245" s="294"/>
      <c r="E245" s="294"/>
      <c r="F245" s="294"/>
      <c r="G245" s="294"/>
      <c r="H245" s="294"/>
      <c r="I245" s="294"/>
      <c r="J245" s="294"/>
      <c r="K245" s="294"/>
      <c r="L245" s="294"/>
      <c r="M245" s="294"/>
      <c r="N245" s="294"/>
      <c r="O245" s="294"/>
      <c r="P245" s="456">
        <v>0</v>
      </c>
      <c r="Q245" s="294"/>
      <c r="R245" s="442"/>
      <c r="S245" s="453"/>
      <c r="T245" s="274"/>
    </row>
    <row r="246" spans="1:20" x14ac:dyDescent="0.3">
      <c r="A246" s="444"/>
      <c r="B246" s="450"/>
      <c r="C246" s="457"/>
      <c r="D246" s="317"/>
      <c r="E246" s="317"/>
      <c r="F246" s="317"/>
      <c r="G246" s="317"/>
      <c r="H246" s="317"/>
      <c r="I246" s="317"/>
      <c r="J246" s="317"/>
      <c r="K246" s="317"/>
      <c r="L246" s="317"/>
      <c r="M246" s="317"/>
      <c r="N246" s="317"/>
      <c r="O246" s="380"/>
      <c r="P246" s="458"/>
      <c r="Q246" s="317"/>
      <c r="R246" s="447"/>
      <c r="S246" s="451"/>
      <c r="T246" s="256"/>
    </row>
    <row r="247" spans="1:20" x14ac:dyDescent="0.3">
      <c r="A247" s="444"/>
      <c r="B247" s="450"/>
      <c r="C247" s="457"/>
      <c r="D247" s="317"/>
      <c r="E247" s="317"/>
      <c r="F247" s="317"/>
      <c r="G247" s="317"/>
      <c r="H247" s="317"/>
      <c r="I247" s="317"/>
      <c r="J247" s="317"/>
      <c r="K247" s="317"/>
      <c r="L247" s="317"/>
      <c r="M247" s="317"/>
      <c r="N247" s="317"/>
      <c r="O247" s="317"/>
      <c r="P247" s="459"/>
      <c r="Q247" s="317"/>
      <c r="R247" s="447"/>
      <c r="S247" s="451"/>
      <c r="T247" s="256"/>
    </row>
    <row r="248" spans="1:20" ht="18" x14ac:dyDescent="0.35">
      <c r="A248" s="444"/>
      <c r="B248" s="460" t="s">
        <v>129</v>
      </c>
      <c r="C248" s="457"/>
      <c r="D248" s="317"/>
      <c r="E248" s="317"/>
      <c r="F248" s="317"/>
      <c r="G248" s="317"/>
      <c r="H248" s="317"/>
      <c r="I248" s="317"/>
      <c r="J248" s="317"/>
      <c r="K248" s="317"/>
      <c r="L248" s="461"/>
      <c r="M248" s="317"/>
      <c r="N248" s="462" t="s">
        <v>289</v>
      </c>
      <c r="O248" s="461"/>
      <c r="P248" s="459"/>
      <c r="Q248" s="317"/>
      <c r="R248" s="447"/>
      <c r="S248" s="451"/>
      <c r="T248" s="256"/>
    </row>
    <row r="249" spans="1:20" ht="18" x14ac:dyDescent="0.35">
      <c r="A249" s="463"/>
      <c r="B249" s="464"/>
      <c r="C249" s="465"/>
      <c r="D249" s="343"/>
      <c r="E249" s="343"/>
      <c r="F249" s="343"/>
      <c r="G249" s="343"/>
      <c r="H249" s="343"/>
      <c r="I249" s="343"/>
      <c r="J249" s="343"/>
      <c r="K249" s="343"/>
      <c r="L249" s="466"/>
      <c r="M249" s="343"/>
      <c r="N249" s="343"/>
      <c r="O249" s="343"/>
      <c r="P249" s="467"/>
      <c r="Q249" s="343"/>
      <c r="R249" s="431"/>
      <c r="S249" s="468"/>
      <c r="T249" s="256"/>
    </row>
    <row r="250" spans="1:20" x14ac:dyDescent="0.3">
      <c r="A250" s="286"/>
      <c r="B250" s="369" t="s">
        <v>152</v>
      </c>
      <c r="C250" s="370"/>
      <c r="D250" s="370"/>
      <c r="E250" s="370"/>
      <c r="F250" s="370"/>
      <c r="G250" s="370"/>
      <c r="H250" s="370"/>
      <c r="I250" s="370"/>
      <c r="J250" s="370"/>
      <c r="K250" s="370"/>
      <c r="L250" s="370"/>
      <c r="M250" s="370"/>
      <c r="N250" s="433" t="s">
        <v>83</v>
      </c>
      <c r="O250" s="370" t="s">
        <v>84</v>
      </c>
      <c r="P250" s="433" t="s">
        <v>89</v>
      </c>
      <c r="Q250" s="370" t="s">
        <v>84</v>
      </c>
      <c r="R250" s="287"/>
      <c r="S250" s="469"/>
      <c r="T250" s="256"/>
    </row>
    <row r="251" spans="1:20" s="275" customFormat="1" x14ac:dyDescent="0.3">
      <c r="A251" s="270"/>
      <c r="B251" s="373" t="s">
        <v>72</v>
      </c>
      <c r="C251" s="470"/>
      <c r="D251" s="470"/>
      <c r="E251" s="470"/>
      <c r="F251" s="470"/>
      <c r="G251" s="470"/>
      <c r="H251" s="470"/>
      <c r="I251" s="470"/>
      <c r="J251" s="470"/>
      <c r="K251" s="470"/>
      <c r="L251" s="470"/>
      <c r="M251" s="470"/>
      <c r="N251" s="373">
        <f>+N263+N275+N287</f>
        <v>0</v>
      </c>
      <c r="O251" s="471">
        <v>0</v>
      </c>
      <c r="P251" s="374">
        <f>+P263+P275+P287</f>
        <v>0</v>
      </c>
      <c r="Q251" s="471">
        <v>0</v>
      </c>
      <c r="R251" s="437"/>
      <c r="S251" s="472"/>
      <c r="T251" s="274"/>
    </row>
    <row r="252" spans="1:20" s="275" customFormat="1" x14ac:dyDescent="0.3">
      <c r="A252" s="301"/>
      <c r="B252" s="362" t="s">
        <v>73</v>
      </c>
      <c r="C252" s="473"/>
      <c r="D252" s="473"/>
      <c r="E252" s="473"/>
      <c r="F252" s="473"/>
      <c r="G252" s="473"/>
      <c r="H252" s="473"/>
      <c r="I252" s="473"/>
      <c r="J252" s="473"/>
      <c r="K252" s="473"/>
      <c r="L252" s="473"/>
      <c r="M252" s="473"/>
      <c r="N252" s="474">
        <f t="shared" ref="N252:N257" si="5">+N264+N276+N288</f>
        <v>0</v>
      </c>
      <c r="O252" s="475">
        <v>0</v>
      </c>
      <c r="P252" s="476">
        <f t="shared" ref="P252:P258" si="6">+P264+P276+P288</f>
        <v>0</v>
      </c>
      <c r="Q252" s="477">
        <v>0</v>
      </c>
      <c r="R252" s="442"/>
      <c r="S252" s="453"/>
      <c r="T252" s="274"/>
    </row>
    <row r="253" spans="1:20" s="275" customFormat="1" x14ac:dyDescent="0.3">
      <c r="A253" s="301"/>
      <c r="B253" s="362" t="s">
        <v>74</v>
      </c>
      <c r="C253" s="473"/>
      <c r="D253" s="473"/>
      <c r="E253" s="473"/>
      <c r="F253" s="473"/>
      <c r="G253" s="473"/>
      <c r="H253" s="473"/>
      <c r="I253" s="473"/>
      <c r="J253" s="473"/>
      <c r="K253" s="473"/>
      <c r="L253" s="473"/>
      <c r="M253" s="473"/>
      <c r="N253" s="478">
        <f t="shared" si="5"/>
        <v>0</v>
      </c>
      <c r="O253" s="479">
        <v>0</v>
      </c>
      <c r="P253" s="401">
        <f t="shared" si="6"/>
        <v>0</v>
      </c>
      <c r="Q253" s="477">
        <v>0</v>
      </c>
      <c r="R253" s="442"/>
      <c r="S253" s="453"/>
      <c r="T253" s="274"/>
    </row>
    <row r="254" spans="1:20" s="275" customFormat="1" x14ac:dyDescent="0.3">
      <c r="A254" s="301"/>
      <c r="B254" s="362" t="s">
        <v>119</v>
      </c>
      <c r="C254" s="473"/>
      <c r="D254" s="473"/>
      <c r="E254" s="473"/>
      <c r="F254" s="473"/>
      <c r="G254" s="473"/>
      <c r="H254" s="473"/>
      <c r="I254" s="473"/>
      <c r="J254" s="473"/>
      <c r="K254" s="473"/>
      <c r="L254" s="473"/>
      <c r="M254" s="473"/>
      <c r="N254" s="478">
        <f t="shared" si="5"/>
        <v>0</v>
      </c>
      <c r="O254" s="479">
        <v>0</v>
      </c>
      <c r="P254" s="401">
        <f t="shared" si="6"/>
        <v>0</v>
      </c>
      <c r="Q254" s="477">
        <v>0</v>
      </c>
      <c r="R254" s="442"/>
      <c r="S254" s="453"/>
      <c r="T254" s="274"/>
    </row>
    <row r="255" spans="1:20" s="275" customFormat="1" x14ac:dyDescent="0.3">
      <c r="A255" s="301"/>
      <c r="B255" s="362" t="s">
        <v>120</v>
      </c>
      <c r="C255" s="473"/>
      <c r="D255" s="473"/>
      <c r="E255" s="473"/>
      <c r="F255" s="473"/>
      <c r="G255" s="473"/>
      <c r="H255" s="473"/>
      <c r="I255" s="473"/>
      <c r="J255" s="473"/>
      <c r="K255" s="473"/>
      <c r="L255" s="473"/>
      <c r="M255" s="473"/>
      <c r="N255" s="478">
        <f t="shared" si="5"/>
        <v>0</v>
      </c>
      <c r="O255" s="479">
        <v>0</v>
      </c>
      <c r="P255" s="401">
        <f t="shared" si="6"/>
        <v>0</v>
      </c>
      <c r="Q255" s="477">
        <v>0</v>
      </c>
      <c r="R255" s="442"/>
      <c r="S255" s="453"/>
      <c r="T255" s="274"/>
    </row>
    <row r="256" spans="1:20" s="275" customFormat="1" x14ac:dyDescent="0.3">
      <c r="A256" s="301"/>
      <c r="B256" s="362" t="s">
        <v>121</v>
      </c>
      <c r="C256" s="473"/>
      <c r="D256" s="473"/>
      <c r="E256" s="473"/>
      <c r="F256" s="473"/>
      <c r="G256" s="473"/>
      <c r="H256" s="473"/>
      <c r="I256" s="473"/>
      <c r="J256" s="473"/>
      <c r="K256" s="473"/>
      <c r="L256" s="473"/>
      <c r="M256" s="473"/>
      <c r="N256" s="478">
        <f t="shared" si="5"/>
        <v>0</v>
      </c>
      <c r="O256" s="479">
        <v>0</v>
      </c>
      <c r="P256" s="401">
        <f t="shared" si="6"/>
        <v>0</v>
      </c>
      <c r="Q256" s="477">
        <v>0</v>
      </c>
      <c r="R256" s="442"/>
      <c r="S256" s="453"/>
      <c r="T256" s="274"/>
    </row>
    <row r="257" spans="1:21" s="275" customFormat="1" x14ac:dyDescent="0.3">
      <c r="A257" s="301"/>
      <c r="B257" s="362" t="s">
        <v>122</v>
      </c>
      <c r="C257" s="473"/>
      <c r="D257" s="473"/>
      <c r="E257" s="473"/>
      <c r="F257" s="473"/>
      <c r="G257" s="473"/>
      <c r="H257" s="473"/>
      <c r="I257" s="473"/>
      <c r="J257" s="473"/>
      <c r="K257" s="473"/>
      <c r="L257" s="473"/>
      <c r="M257" s="473"/>
      <c r="N257" s="480">
        <f t="shared" si="5"/>
        <v>0</v>
      </c>
      <c r="O257" s="481">
        <v>0</v>
      </c>
      <c r="P257" s="482">
        <f t="shared" si="6"/>
        <v>0</v>
      </c>
      <c r="Q257" s="477">
        <v>0</v>
      </c>
      <c r="R257" s="442"/>
      <c r="S257" s="453"/>
      <c r="T257" s="274"/>
    </row>
    <row r="258" spans="1:21" s="275" customFormat="1" x14ac:dyDescent="0.3">
      <c r="A258" s="301"/>
      <c r="B258" s="362" t="s">
        <v>123</v>
      </c>
      <c r="C258" s="473"/>
      <c r="D258" s="473"/>
      <c r="E258" s="473"/>
      <c r="F258" s="473"/>
      <c r="G258" s="473"/>
      <c r="H258" s="473"/>
      <c r="I258" s="473"/>
      <c r="J258" s="473"/>
      <c r="K258" s="473"/>
      <c r="L258" s="473"/>
      <c r="M258" s="473"/>
      <c r="N258" s="373">
        <f>+N270+N282+N294</f>
        <v>0</v>
      </c>
      <c r="O258" s="477">
        <v>0</v>
      </c>
      <c r="P258" s="374">
        <f t="shared" si="6"/>
        <v>0</v>
      </c>
      <c r="Q258" s="477">
        <v>0</v>
      </c>
      <c r="R258" s="442"/>
      <c r="S258" s="453"/>
      <c r="T258" s="274"/>
    </row>
    <row r="259" spans="1:21" s="275" customFormat="1" x14ac:dyDescent="0.3">
      <c r="A259" s="301"/>
      <c r="B259" s="362"/>
      <c r="C259" s="473"/>
      <c r="D259" s="473"/>
      <c r="E259" s="473"/>
      <c r="F259" s="473"/>
      <c r="G259" s="473"/>
      <c r="H259" s="473"/>
      <c r="I259" s="473"/>
      <c r="J259" s="473"/>
      <c r="K259" s="473"/>
      <c r="L259" s="473"/>
      <c r="M259" s="473"/>
      <c r="N259" s="362"/>
      <c r="O259" s="477"/>
      <c r="P259" s="363"/>
      <c r="Q259" s="477"/>
      <c r="R259" s="442"/>
      <c r="S259" s="453"/>
      <c r="T259" s="274"/>
    </row>
    <row r="260" spans="1:21" s="275" customFormat="1" x14ac:dyDescent="0.3">
      <c r="A260" s="301"/>
      <c r="B260" s="294" t="s">
        <v>94</v>
      </c>
      <c r="C260" s="294"/>
      <c r="D260" s="483"/>
      <c r="E260" s="483"/>
      <c r="F260" s="483"/>
      <c r="G260" s="483"/>
      <c r="H260" s="483"/>
      <c r="I260" s="483"/>
      <c r="J260" s="483"/>
      <c r="K260" s="483"/>
      <c r="L260" s="483"/>
      <c r="M260" s="483"/>
      <c r="N260" s="362">
        <f>SUM(N251:N259)</f>
        <v>0</v>
      </c>
      <c r="O260" s="477">
        <f>SUM(O251:O259)</f>
        <v>0</v>
      </c>
      <c r="P260" s="363">
        <f>SUM(P251:P259)</f>
        <v>0</v>
      </c>
      <c r="Q260" s="477">
        <f>SUM(Q251:Q259)</f>
        <v>0</v>
      </c>
      <c r="R260" s="294"/>
      <c r="S260" s="297"/>
      <c r="T260" s="274"/>
    </row>
    <row r="261" spans="1:21" x14ac:dyDescent="0.3">
      <c r="A261" s="258"/>
      <c r="B261" s="430"/>
      <c r="C261" s="465"/>
      <c r="D261" s="343"/>
      <c r="E261" s="343"/>
      <c r="F261" s="343"/>
      <c r="G261" s="343"/>
      <c r="H261" s="343"/>
      <c r="I261" s="343"/>
      <c r="J261" s="343"/>
      <c r="K261" s="343"/>
      <c r="L261" s="343"/>
      <c r="M261" s="343"/>
      <c r="N261" s="343"/>
      <c r="O261" s="343"/>
      <c r="P261" s="467"/>
      <c r="Q261" s="343"/>
      <c r="R261" s="343"/>
      <c r="S261" s="261"/>
      <c r="T261" s="256"/>
    </row>
    <row r="262" spans="1:21" x14ac:dyDescent="0.3">
      <c r="A262" s="286"/>
      <c r="B262" s="369" t="s">
        <v>124</v>
      </c>
      <c r="C262" s="370"/>
      <c r="D262" s="370"/>
      <c r="E262" s="370"/>
      <c r="F262" s="370"/>
      <c r="G262" s="370"/>
      <c r="H262" s="370"/>
      <c r="I262" s="370"/>
      <c r="J262" s="370"/>
      <c r="K262" s="370"/>
      <c r="L262" s="370"/>
      <c r="M262" s="370"/>
      <c r="N262" s="433" t="s">
        <v>83</v>
      </c>
      <c r="O262" s="370" t="s">
        <v>84</v>
      </c>
      <c r="P262" s="433" t="s">
        <v>89</v>
      </c>
      <c r="Q262" s="370" t="s">
        <v>84</v>
      </c>
      <c r="R262" s="287"/>
      <c r="S262" s="469"/>
      <c r="T262" s="256"/>
    </row>
    <row r="263" spans="1:21" s="275" customFormat="1" x14ac:dyDescent="0.3">
      <c r="A263" s="270"/>
      <c r="B263" s="373" t="s">
        <v>72</v>
      </c>
      <c r="C263" s="470"/>
      <c r="D263" s="470"/>
      <c r="E263" s="470"/>
      <c r="F263" s="470"/>
      <c r="G263" s="470"/>
      <c r="H263" s="470"/>
      <c r="I263" s="470"/>
      <c r="J263" s="470"/>
      <c r="K263" s="470"/>
      <c r="L263" s="470"/>
      <c r="M263" s="470"/>
      <c r="N263" s="373">
        <v>0</v>
      </c>
      <c r="O263" s="471">
        <v>0</v>
      </c>
      <c r="P263" s="374">
        <v>0</v>
      </c>
      <c r="Q263" s="471">
        <v>0</v>
      </c>
      <c r="R263" s="437"/>
      <c r="S263" s="472"/>
      <c r="T263" s="274"/>
    </row>
    <row r="264" spans="1:21" s="275" customFormat="1" x14ac:dyDescent="0.3">
      <c r="A264" s="301"/>
      <c r="B264" s="362" t="s">
        <v>73</v>
      </c>
      <c r="C264" s="473"/>
      <c r="D264" s="473"/>
      <c r="E264" s="473"/>
      <c r="F264" s="473"/>
      <c r="G264" s="473"/>
      <c r="H264" s="473"/>
      <c r="I264" s="473"/>
      <c r="J264" s="473"/>
      <c r="K264" s="473"/>
      <c r="L264" s="473"/>
      <c r="M264" s="473"/>
      <c r="N264" s="362">
        <v>0</v>
      </c>
      <c r="O264" s="477">
        <v>0</v>
      </c>
      <c r="P264" s="363">
        <v>0</v>
      </c>
      <c r="Q264" s="477">
        <v>0</v>
      </c>
      <c r="R264" s="442"/>
      <c r="S264" s="453"/>
      <c r="T264" s="274"/>
      <c r="U264" s="364"/>
    </row>
    <row r="265" spans="1:21" s="275" customFormat="1" x14ac:dyDescent="0.3">
      <c r="A265" s="301"/>
      <c r="B265" s="362" t="s">
        <v>74</v>
      </c>
      <c r="C265" s="473"/>
      <c r="D265" s="473"/>
      <c r="E265" s="473"/>
      <c r="F265" s="473"/>
      <c r="G265" s="473"/>
      <c r="H265" s="473"/>
      <c r="I265" s="473"/>
      <c r="J265" s="473"/>
      <c r="K265" s="473"/>
      <c r="L265" s="473"/>
      <c r="M265" s="473"/>
      <c r="N265" s="362">
        <v>0</v>
      </c>
      <c r="O265" s="477">
        <v>0</v>
      </c>
      <c r="P265" s="363">
        <v>0</v>
      </c>
      <c r="Q265" s="477">
        <v>0</v>
      </c>
      <c r="R265" s="442"/>
      <c r="S265" s="453"/>
      <c r="T265" s="274"/>
    </row>
    <row r="266" spans="1:21" s="275" customFormat="1" x14ac:dyDescent="0.3">
      <c r="A266" s="301"/>
      <c r="B266" s="362" t="s">
        <v>119</v>
      </c>
      <c r="C266" s="473"/>
      <c r="D266" s="473"/>
      <c r="E266" s="473"/>
      <c r="F266" s="473"/>
      <c r="G266" s="473"/>
      <c r="H266" s="473"/>
      <c r="I266" s="473"/>
      <c r="J266" s="473"/>
      <c r="K266" s="473"/>
      <c r="L266" s="473"/>
      <c r="M266" s="473"/>
      <c r="N266" s="362">
        <v>0</v>
      </c>
      <c r="O266" s="477">
        <v>0</v>
      </c>
      <c r="P266" s="363">
        <v>0</v>
      </c>
      <c r="Q266" s="477">
        <v>0</v>
      </c>
      <c r="R266" s="442"/>
      <c r="S266" s="453"/>
      <c r="T266" s="274"/>
      <c r="U266" s="364"/>
    </row>
    <row r="267" spans="1:21" s="275" customFormat="1" x14ac:dyDescent="0.3">
      <c r="A267" s="301"/>
      <c r="B267" s="362" t="s">
        <v>120</v>
      </c>
      <c r="C267" s="473"/>
      <c r="D267" s="473"/>
      <c r="E267" s="473"/>
      <c r="F267" s="473"/>
      <c r="G267" s="473"/>
      <c r="H267" s="473"/>
      <c r="I267" s="473"/>
      <c r="J267" s="473"/>
      <c r="K267" s="473"/>
      <c r="L267" s="473"/>
      <c r="M267" s="473"/>
      <c r="N267" s="362">
        <v>0</v>
      </c>
      <c r="O267" s="477">
        <v>0</v>
      </c>
      <c r="P267" s="363">
        <v>0</v>
      </c>
      <c r="Q267" s="477">
        <v>0</v>
      </c>
      <c r="R267" s="442"/>
      <c r="S267" s="453"/>
      <c r="T267" s="274"/>
    </row>
    <row r="268" spans="1:21" s="275" customFormat="1" x14ac:dyDescent="0.3">
      <c r="A268" s="301"/>
      <c r="B268" s="362" t="s">
        <v>121</v>
      </c>
      <c r="C268" s="473"/>
      <c r="D268" s="473"/>
      <c r="E268" s="473"/>
      <c r="F268" s="473"/>
      <c r="G268" s="473"/>
      <c r="H268" s="473"/>
      <c r="I268" s="473"/>
      <c r="J268" s="473"/>
      <c r="K268" s="473"/>
      <c r="L268" s="473"/>
      <c r="M268" s="473"/>
      <c r="N268" s="362">
        <v>0</v>
      </c>
      <c r="O268" s="477">
        <v>0</v>
      </c>
      <c r="P268" s="363">
        <v>0</v>
      </c>
      <c r="Q268" s="477">
        <v>0</v>
      </c>
      <c r="R268" s="442"/>
      <c r="S268" s="453"/>
      <c r="T268" s="274"/>
      <c r="U268" s="364"/>
    </row>
    <row r="269" spans="1:21" s="275" customFormat="1" x14ac:dyDescent="0.3">
      <c r="A269" s="301"/>
      <c r="B269" s="362" t="s">
        <v>122</v>
      </c>
      <c r="C269" s="473"/>
      <c r="D269" s="473"/>
      <c r="E269" s="473"/>
      <c r="F269" s="473"/>
      <c r="G269" s="473"/>
      <c r="H269" s="473"/>
      <c r="I269" s="473"/>
      <c r="J269" s="473"/>
      <c r="K269" s="473"/>
      <c r="L269" s="473"/>
      <c r="M269" s="473"/>
      <c r="N269" s="362">
        <v>0</v>
      </c>
      <c r="O269" s="477">
        <v>0</v>
      </c>
      <c r="P269" s="363">
        <v>0</v>
      </c>
      <c r="Q269" s="477">
        <v>0</v>
      </c>
      <c r="R269" s="442"/>
      <c r="S269" s="453"/>
      <c r="T269" s="274"/>
    </row>
    <row r="270" spans="1:21" s="275" customFormat="1" x14ac:dyDescent="0.3">
      <c r="A270" s="301"/>
      <c r="B270" s="362" t="s">
        <v>123</v>
      </c>
      <c r="C270" s="473"/>
      <c r="D270" s="473"/>
      <c r="E270" s="473"/>
      <c r="F270" s="473"/>
      <c r="G270" s="473"/>
      <c r="H270" s="473"/>
      <c r="I270" s="473"/>
      <c r="J270" s="473"/>
      <c r="K270" s="473"/>
      <c r="L270" s="473"/>
      <c r="M270" s="473"/>
      <c r="N270" s="362">
        <v>0</v>
      </c>
      <c r="O270" s="477">
        <v>0</v>
      </c>
      <c r="P270" s="363">
        <v>0</v>
      </c>
      <c r="Q270" s="477">
        <v>0</v>
      </c>
      <c r="R270" s="442"/>
      <c r="S270" s="453"/>
      <c r="T270" s="274"/>
      <c r="U270" s="364"/>
    </row>
    <row r="271" spans="1:21" s="275" customFormat="1" x14ac:dyDescent="0.3">
      <c r="A271" s="301"/>
      <c r="B271" s="362"/>
      <c r="C271" s="473"/>
      <c r="D271" s="473"/>
      <c r="E271" s="473"/>
      <c r="F271" s="473"/>
      <c r="G271" s="473"/>
      <c r="H271" s="473"/>
      <c r="I271" s="473"/>
      <c r="J271" s="473"/>
      <c r="K271" s="473"/>
      <c r="L271" s="473"/>
      <c r="M271" s="473"/>
      <c r="N271" s="362"/>
      <c r="O271" s="477"/>
      <c r="P271" s="363"/>
      <c r="Q271" s="477"/>
      <c r="R271" s="442"/>
      <c r="S271" s="453"/>
      <c r="T271" s="274"/>
    </row>
    <row r="272" spans="1:21" s="275" customFormat="1" x14ac:dyDescent="0.3">
      <c r="A272" s="301"/>
      <c r="B272" s="294" t="s">
        <v>94</v>
      </c>
      <c r="C272" s="294"/>
      <c r="D272" s="483"/>
      <c r="E272" s="483"/>
      <c r="F272" s="483"/>
      <c r="G272" s="483"/>
      <c r="H272" s="483"/>
      <c r="I272" s="483"/>
      <c r="J272" s="483"/>
      <c r="K272" s="483"/>
      <c r="L272" s="483"/>
      <c r="M272" s="483"/>
      <c r="N272" s="362">
        <f>SUM(N263:N271)</f>
        <v>0</v>
      </c>
      <c r="O272" s="477">
        <f>SUM(O263:O271)</f>
        <v>0</v>
      </c>
      <c r="P272" s="363">
        <f>SUM(P263:P271)</f>
        <v>0</v>
      </c>
      <c r="Q272" s="477">
        <f>SUM(Q263:Q271)</f>
        <v>0</v>
      </c>
      <c r="R272" s="294"/>
      <c r="S272" s="297"/>
      <c r="T272" s="274"/>
    </row>
    <row r="273" spans="1:20" x14ac:dyDescent="0.3">
      <c r="A273" s="258"/>
      <c r="B273" s="343"/>
      <c r="C273" s="343"/>
      <c r="D273" s="484"/>
      <c r="E273" s="484"/>
      <c r="F273" s="484"/>
      <c r="G273" s="484"/>
      <c r="H273" s="484"/>
      <c r="I273" s="484"/>
      <c r="J273" s="484"/>
      <c r="K273" s="484"/>
      <c r="L273" s="484"/>
      <c r="M273" s="484"/>
      <c r="N273" s="365"/>
      <c r="O273" s="485"/>
      <c r="P273" s="486"/>
      <c r="Q273" s="485"/>
      <c r="R273" s="343"/>
      <c r="S273" s="261"/>
      <c r="T273" s="256"/>
    </row>
    <row r="274" spans="1:20" x14ac:dyDescent="0.3">
      <c r="A274" s="286"/>
      <c r="B274" s="369" t="s">
        <v>146</v>
      </c>
      <c r="C274" s="370"/>
      <c r="D274" s="370"/>
      <c r="E274" s="370"/>
      <c r="F274" s="370"/>
      <c r="G274" s="370"/>
      <c r="H274" s="370"/>
      <c r="I274" s="370"/>
      <c r="J274" s="370"/>
      <c r="K274" s="370"/>
      <c r="L274" s="370"/>
      <c r="M274" s="370"/>
      <c r="N274" s="433" t="s">
        <v>83</v>
      </c>
      <c r="O274" s="370" t="s">
        <v>84</v>
      </c>
      <c r="P274" s="433" t="s">
        <v>89</v>
      </c>
      <c r="Q274" s="370" t="s">
        <v>84</v>
      </c>
      <c r="R274" s="287"/>
      <c r="S274" s="290"/>
      <c r="T274" s="256"/>
    </row>
    <row r="275" spans="1:20" s="275" customFormat="1" x14ac:dyDescent="0.3">
      <c r="A275" s="270"/>
      <c r="B275" s="373" t="s">
        <v>72</v>
      </c>
      <c r="C275" s="470"/>
      <c r="D275" s="470"/>
      <c r="E275" s="470"/>
      <c r="F275" s="470"/>
      <c r="G275" s="470"/>
      <c r="H275" s="470"/>
      <c r="I275" s="470"/>
      <c r="J275" s="470"/>
      <c r="K275" s="470"/>
      <c r="L275" s="470"/>
      <c r="M275" s="470"/>
      <c r="N275" s="373">
        <v>0</v>
      </c>
      <c r="O275" s="471">
        <v>0</v>
      </c>
      <c r="P275" s="374">
        <v>0</v>
      </c>
      <c r="Q275" s="471">
        <v>0</v>
      </c>
      <c r="R275" s="291"/>
      <c r="S275" s="273"/>
      <c r="T275" s="274"/>
    </row>
    <row r="276" spans="1:20" s="275" customFormat="1" x14ac:dyDescent="0.3">
      <c r="A276" s="301"/>
      <c r="B276" s="362" t="s">
        <v>73</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74</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t="s">
        <v>119</v>
      </c>
      <c r="C278" s="473"/>
      <c r="D278" s="473"/>
      <c r="E278" s="473"/>
      <c r="F278" s="473"/>
      <c r="G278" s="473"/>
      <c r="H278" s="473"/>
      <c r="I278" s="473"/>
      <c r="J278" s="473"/>
      <c r="K278" s="473"/>
      <c r="L278" s="473"/>
      <c r="M278" s="473"/>
      <c r="N278" s="362">
        <v>0</v>
      </c>
      <c r="O278" s="477">
        <v>0</v>
      </c>
      <c r="P278" s="363">
        <v>0</v>
      </c>
      <c r="Q278" s="477">
        <v>0</v>
      </c>
      <c r="R278" s="294"/>
      <c r="S278" s="297"/>
      <c r="T278" s="274"/>
    </row>
    <row r="279" spans="1:20" s="275" customFormat="1" x14ac:dyDescent="0.3">
      <c r="A279" s="301"/>
      <c r="B279" s="362" t="s">
        <v>120</v>
      </c>
      <c r="C279" s="473"/>
      <c r="D279" s="473"/>
      <c r="E279" s="473"/>
      <c r="F279" s="473"/>
      <c r="G279" s="473"/>
      <c r="H279" s="473"/>
      <c r="I279" s="473"/>
      <c r="J279" s="473"/>
      <c r="K279" s="473"/>
      <c r="L279" s="473"/>
      <c r="M279" s="473"/>
      <c r="N279" s="362">
        <v>0</v>
      </c>
      <c r="O279" s="477">
        <v>0</v>
      </c>
      <c r="P279" s="363">
        <v>0</v>
      </c>
      <c r="Q279" s="477">
        <v>0</v>
      </c>
      <c r="R279" s="294"/>
      <c r="S279" s="297"/>
      <c r="T279" s="274"/>
    </row>
    <row r="280" spans="1:20" s="275" customFormat="1" x14ac:dyDescent="0.3">
      <c r="A280" s="301"/>
      <c r="B280" s="362" t="s">
        <v>121</v>
      </c>
      <c r="C280" s="473"/>
      <c r="D280" s="473"/>
      <c r="E280" s="473"/>
      <c r="F280" s="473"/>
      <c r="G280" s="473"/>
      <c r="H280" s="473"/>
      <c r="I280" s="473"/>
      <c r="J280" s="473"/>
      <c r="K280" s="473"/>
      <c r="L280" s="473"/>
      <c r="M280" s="473"/>
      <c r="N280" s="362">
        <v>0</v>
      </c>
      <c r="O280" s="477">
        <v>0</v>
      </c>
      <c r="P280" s="363">
        <v>0</v>
      </c>
      <c r="Q280" s="477">
        <v>0</v>
      </c>
      <c r="R280" s="294"/>
      <c r="S280" s="297"/>
      <c r="T280" s="274"/>
    </row>
    <row r="281" spans="1:20" s="275" customFormat="1" x14ac:dyDescent="0.3">
      <c r="A281" s="301"/>
      <c r="B281" s="362" t="s">
        <v>122</v>
      </c>
      <c r="C281" s="473"/>
      <c r="D281" s="473"/>
      <c r="E281" s="473"/>
      <c r="F281" s="473"/>
      <c r="G281" s="473"/>
      <c r="H281" s="473"/>
      <c r="I281" s="473"/>
      <c r="J281" s="473"/>
      <c r="K281" s="473"/>
      <c r="L281" s="473"/>
      <c r="M281" s="473"/>
      <c r="N281" s="362">
        <v>0</v>
      </c>
      <c r="O281" s="477">
        <v>0</v>
      </c>
      <c r="P281" s="363">
        <v>0</v>
      </c>
      <c r="Q281" s="477">
        <v>0</v>
      </c>
      <c r="R281" s="294"/>
      <c r="S281" s="297"/>
      <c r="T281" s="274"/>
    </row>
    <row r="282" spans="1:20" s="275" customFormat="1" x14ac:dyDescent="0.3">
      <c r="A282" s="301"/>
      <c r="B282" s="362" t="s">
        <v>123</v>
      </c>
      <c r="C282" s="473"/>
      <c r="D282" s="473"/>
      <c r="E282" s="473"/>
      <c r="F282" s="473"/>
      <c r="G282" s="473"/>
      <c r="H282" s="473"/>
      <c r="I282" s="473"/>
      <c r="J282" s="473"/>
      <c r="K282" s="473"/>
      <c r="L282" s="473"/>
      <c r="M282" s="473"/>
      <c r="N282" s="362">
        <v>0</v>
      </c>
      <c r="O282" s="477">
        <v>0</v>
      </c>
      <c r="P282" s="363">
        <v>0</v>
      </c>
      <c r="Q282" s="477">
        <v>0</v>
      </c>
      <c r="R282" s="294"/>
      <c r="S282" s="297"/>
      <c r="T282" s="274"/>
    </row>
    <row r="283" spans="1:20" s="275" customFormat="1" x14ac:dyDescent="0.3">
      <c r="A283" s="301"/>
      <c r="B283" s="362"/>
      <c r="C283" s="473"/>
      <c r="D283" s="473"/>
      <c r="E283" s="473"/>
      <c r="F283" s="473"/>
      <c r="G283" s="473"/>
      <c r="H283" s="473"/>
      <c r="I283" s="473"/>
      <c r="J283" s="473"/>
      <c r="K283" s="473"/>
      <c r="L283" s="473"/>
      <c r="M283" s="473"/>
      <c r="N283" s="362"/>
      <c r="O283" s="477"/>
      <c r="P283" s="363"/>
      <c r="Q283" s="477"/>
      <c r="R283" s="294"/>
      <c r="S283" s="297"/>
      <c r="T283" s="274"/>
    </row>
    <row r="284" spans="1:20" s="275" customFormat="1" x14ac:dyDescent="0.3">
      <c r="A284" s="301"/>
      <c r="B284" s="294" t="s">
        <v>94</v>
      </c>
      <c r="C284" s="294"/>
      <c r="D284" s="483"/>
      <c r="E284" s="483"/>
      <c r="F284" s="483"/>
      <c r="G284" s="483"/>
      <c r="H284" s="483"/>
      <c r="I284" s="483"/>
      <c r="J284" s="483"/>
      <c r="K284" s="483"/>
      <c r="L284" s="483"/>
      <c r="M284" s="483"/>
      <c r="N284" s="362">
        <f>SUM(N275:N283)</f>
        <v>0</v>
      </c>
      <c r="O284" s="477">
        <f>SUM(O275:O283)</f>
        <v>0</v>
      </c>
      <c r="P284" s="363">
        <f>SUM(P275:P283)</f>
        <v>0</v>
      </c>
      <c r="Q284" s="477">
        <f>SUM(Q275:Q283)</f>
        <v>0</v>
      </c>
      <c r="R284" s="294"/>
      <c r="S284" s="297"/>
      <c r="T284" s="274"/>
    </row>
    <row r="285" spans="1:20" x14ac:dyDescent="0.3">
      <c r="A285" s="258"/>
      <c r="B285" s="343"/>
      <c r="C285" s="343"/>
      <c r="D285" s="484"/>
      <c r="E285" s="484"/>
      <c r="F285" s="484"/>
      <c r="G285" s="484"/>
      <c r="H285" s="484"/>
      <c r="I285" s="484"/>
      <c r="J285" s="484"/>
      <c r="K285" s="484"/>
      <c r="L285" s="484"/>
      <c r="M285" s="484"/>
      <c r="N285" s="365"/>
      <c r="O285" s="485"/>
      <c r="P285" s="486"/>
      <c r="Q285" s="485"/>
      <c r="R285" s="343"/>
      <c r="S285" s="261"/>
      <c r="T285" s="256"/>
    </row>
    <row r="286" spans="1:20" x14ac:dyDescent="0.3">
      <c r="A286" s="286"/>
      <c r="B286" s="369" t="s">
        <v>125</v>
      </c>
      <c r="C286" s="287"/>
      <c r="D286" s="487"/>
      <c r="E286" s="487"/>
      <c r="F286" s="487"/>
      <c r="G286" s="487"/>
      <c r="H286" s="487"/>
      <c r="I286" s="487"/>
      <c r="J286" s="487"/>
      <c r="K286" s="487"/>
      <c r="L286" s="487"/>
      <c r="M286" s="487"/>
      <c r="N286" s="433" t="s">
        <v>83</v>
      </c>
      <c r="O286" s="370" t="s">
        <v>84</v>
      </c>
      <c r="P286" s="433" t="s">
        <v>89</v>
      </c>
      <c r="Q286" s="370" t="s">
        <v>84</v>
      </c>
      <c r="R286" s="287"/>
      <c r="S286" s="290"/>
      <c r="T286" s="256"/>
    </row>
    <row r="287" spans="1:20" s="275" customFormat="1" x14ac:dyDescent="0.3">
      <c r="A287" s="270"/>
      <c r="B287" s="373" t="s">
        <v>72</v>
      </c>
      <c r="C287" s="291"/>
      <c r="D287" s="488"/>
      <c r="E287" s="488"/>
      <c r="F287" s="488"/>
      <c r="G287" s="488"/>
      <c r="H287" s="488"/>
      <c r="I287" s="488"/>
      <c r="J287" s="488"/>
      <c r="K287" s="488"/>
      <c r="L287" s="488"/>
      <c r="M287" s="488"/>
      <c r="N287" s="373">
        <v>0</v>
      </c>
      <c r="O287" s="471">
        <v>0</v>
      </c>
      <c r="P287" s="374">
        <v>0</v>
      </c>
      <c r="Q287" s="471">
        <v>0</v>
      </c>
      <c r="R287" s="291"/>
      <c r="S287" s="273"/>
      <c r="T287" s="274"/>
    </row>
    <row r="288" spans="1:20" s="275" customFormat="1" x14ac:dyDescent="0.3">
      <c r="A288" s="301"/>
      <c r="B288" s="362" t="s">
        <v>73</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74</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t="s">
        <v>119</v>
      </c>
      <c r="C290" s="294"/>
      <c r="D290" s="483"/>
      <c r="E290" s="483"/>
      <c r="F290" s="483"/>
      <c r="G290" s="483"/>
      <c r="H290" s="483"/>
      <c r="I290" s="483"/>
      <c r="J290" s="483"/>
      <c r="K290" s="483"/>
      <c r="L290" s="483"/>
      <c r="M290" s="483"/>
      <c r="N290" s="362">
        <v>0</v>
      </c>
      <c r="O290" s="477">
        <v>0</v>
      </c>
      <c r="P290" s="363">
        <v>0</v>
      </c>
      <c r="Q290" s="477">
        <v>0</v>
      </c>
      <c r="R290" s="294"/>
      <c r="S290" s="297"/>
      <c r="T290" s="274"/>
    </row>
    <row r="291" spans="1:20" s="275" customFormat="1" x14ac:dyDescent="0.3">
      <c r="A291" s="301"/>
      <c r="B291" s="362" t="s">
        <v>120</v>
      </c>
      <c r="C291" s="294"/>
      <c r="D291" s="483"/>
      <c r="E291" s="483"/>
      <c r="F291" s="483"/>
      <c r="G291" s="483"/>
      <c r="H291" s="483"/>
      <c r="I291" s="483"/>
      <c r="J291" s="483"/>
      <c r="K291" s="483"/>
      <c r="L291" s="483"/>
      <c r="M291" s="483"/>
      <c r="N291" s="362">
        <v>0</v>
      </c>
      <c r="O291" s="477">
        <v>0</v>
      </c>
      <c r="P291" s="363">
        <v>0</v>
      </c>
      <c r="Q291" s="477">
        <v>0</v>
      </c>
      <c r="R291" s="294"/>
      <c r="S291" s="297"/>
      <c r="T291" s="274"/>
    </row>
    <row r="292" spans="1:20" s="275" customFormat="1" x14ac:dyDescent="0.3">
      <c r="A292" s="301"/>
      <c r="B292" s="362" t="s">
        <v>121</v>
      </c>
      <c r="C292" s="294"/>
      <c r="D292" s="483"/>
      <c r="E292" s="483"/>
      <c r="F292" s="483"/>
      <c r="G292" s="483"/>
      <c r="H292" s="483"/>
      <c r="I292" s="483"/>
      <c r="J292" s="483"/>
      <c r="K292" s="483"/>
      <c r="L292" s="483"/>
      <c r="M292" s="483"/>
      <c r="N292" s="362">
        <v>0</v>
      </c>
      <c r="O292" s="477">
        <v>0</v>
      </c>
      <c r="P292" s="363">
        <v>0</v>
      </c>
      <c r="Q292" s="477">
        <v>0</v>
      </c>
      <c r="R292" s="294"/>
      <c r="S292" s="297"/>
      <c r="T292" s="274"/>
    </row>
    <row r="293" spans="1:20" s="275" customFormat="1" x14ac:dyDescent="0.3">
      <c r="A293" s="301"/>
      <c r="B293" s="362" t="s">
        <v>122</v>
      </c>
      <c r="C293" s="294"/>
      <c r="D293" s="483"/>
      <c r="E293" s="483"/>
      <c r="F293" s="483"/>
      <c r="G293" s="483"/>
      <c r="H293" s="483"/>
      <c r="I293" s="483"/>
      <c r="J293" s="483"/>
      <c r="K293" s="483"/>
      <c r="L293" s="483"/>
      <c r="M293" s="483"/>
      <c r="N293" s="362">
        <v>0</v>
      </c>
      <c r="O293" s="477">
        <v>0</v>
      </c>
      <c r="P293" s="363">
        <v>0</v>
      </c>
      <c r="Q293" s="477">
        <v>0</v>
      </c>
      <c r="R293" s="294"/>
      <c r="S293" s="297"/>
      <c r="T293" s="274"/>
    </row>
    <row r="294" spans="1:20" s="275" customFormat="1" x14ac:dyDescent="0.3">
      <c r="A294" s="301"/>
      <c r="B294" s="362" t="s">
        <v>123</v>
      </c>
      <c r="C294" s="294"/>
      <c r="D294" s="483"/>
      <c r="E294" s="483"/>
      <c r="F294" s="483"/>
      <c r="G294" s="483"/>
      <c r="H294" s="483"/>
      <c r="I294" s="483"/>
      <c r="J294" s="483"/>
      <c r="K294" s="483"/>
      <c r="L294" s="483"/>
      <c r="M294" s="483"/>
      <c r="N294" s="362">
        <v>0</v>
      </c>
      <c r="O294" s="477">
        <v>0</v>
      </c>
      <c r="P294" s="363">
        <v>0</v>
      </c>
      <c r="Q294" s="477">
        <v>0</v>
      </c>
      <c r="R294" s="294"/>
      <c r="S294" s="297"/>
      <c r="T294" s="274"/>
    </row>
    <row r="295" spans="1:20" s="275" customFormat="1" x14ac:dyDescent="0.3">
      <c r="A295" s="301"/>
      <c r="B295" s="362"/>
      <c r="C295" s="294"/>
      <c r="D295" s="483"/>
      <c r="E295" s="483"/>
      <c r="F295" s="483"/>
      <c r="G295" s="483"/>
      <c r="H295" s="483"/>
      <c r="I295" s="483"/>
      <c r="J295" s="483"/>
      <c r="K295" s="483"/>
      <c r="L295" s="483"/>
      <c r="M295" s="483"/>
      <c r="N295" s="362"/>
      <c r="O295" s="477"/>
      <c r="P295" s="363"/>
      <c r="Q295" s="477"/>
      <c r="R295" s="294"/>
      <c r="S295" s="297"/>
      <c r="T295" s="274"/>
    </row>
    <row r="296" spans="1:20" s="275" customFormat="1" x14ac:dyDescent="0.3">
      <c r="A296" s="301"/>
      <c r="B296" s="294" t="s">
        <v>94</v>
      </c>
      <c r="C296" s="294"/>
      <c r="D296" s="483"/>
      <c r="E296" s="483"/>
      <c r="F296" s="483"/>
      <c r="G296" s="483"/>
      <c r="H296" s="483"/>
      <c r="I296" s="483"/>
      <c r="J296" s="483"/>
      <c r="K296" s="483"/>
      <c r="L296" s="483"/>
      <c r="M296" s="483"/>
      <c r="N296" s="362">
        <f>SUM(N287:N294)</f>
        <v>0</v>
      </c>
      <c r="O296" s="477">
        <f>SUM(O287:O294)</f>
        <v>0</v>
      </c>
      <c r="P296" s="363">
        <f>SUM(P287:P294)</f>
        <v>0</v>
      </c>
      <c r="Q296" s="477">
        <f>SUM(Q287:Q294)</f>
        <v>0</v>
      </c>
      <c r="R296" s="294"/>
      <c r="S296" s="297"/>
      <c r="T296" s="274"/>
    </row>
    <row r="297" spans="1:20" s="275" customFormat="1" x14ac:dyDescent="0.3">
      <c r="A297" s="301"/>
      <c r="B297" s="294"/>
      <c r="C297" s="294"/>
      <c r="D297" s="483"/>
      <c r="E297" s="483"/>
      <c r="F297" s="483"/>
      <c r="G297" s="483"/>
      <c r="H297" s="483"/>
      <c r="I297" s="483"/>
      <c r="J297" s="483"/>
      <c r="K297" s="483"/>
      <c r="L297" s="483"/>
      <c r="M297" s="483"/>
      <c r="N297" s="362"/>
      <c r="O297" s="477"/>
      <c r="P297" s="363"/>
      <c r="Q297" s="477"/>
      <c r="R297" s="294"/>
      <c r="S297" s="297"/>
      <c r="T297" s="274"/>
    </row>
    <row r="298" spans="1:20" s="275" customFormat="1" x14ac:dyDescent="0.3">
      <c r="A298" s="301"/>
      <c r="B298" s="298" t="s">
        <v>177</v>
      </c>
      <c r="C298" s="294"/>
      <c r="D298" s="483"/>
      <c r="E298" s="483"/>
      <c r="F298" s="483"/>
      <c r="G298" s="483"/>
      <c r="H298" s="483"/>
      <c r="I298" s="483"/>
      <c r="J298" s="483"/>
      <c r="K298" s="483"/>
      <c r="L298" s="483"/>
      <c r="M298" s="483"/>
      <c r="N298" s="489">
        <f>N296+N284+N272</f>
        <v>0</v>
      </c>
      <c r="O298" s="477"/>
      <c r="P298" s="490">
        <f>+P296+P284+P272</f>
        <v>0</v>
      </c>
      <c r="Q298" s="477"/>
      <c r="R298" s="294"/>
      <c r="S298" s="297"/>
      <c r="T298" s="274"/>
    </row>
    <row r="299" spans="1:20" s="275" customFormat="1" x14ac:dyDescent="0.3">
      <c r="A299" s="301"/>
      <c r="B299" s="298" t="s">
        <v>218</v>
      </c>
      <c r="C299" s="298"/>
      <c r="D299" s="491"/>
      <c r="E299" s="491"/>
      <c r="F299" s="491"/>
      <c r="G299" s="491"/>
      <c r="H299" s="491"/>
      <c r="I299" s="491"/>
      <c r="J299" s="491"/>
      <c r="K299" s="491"/>
      <c r="L299" s="491"/>
      <c r="M299" s="491"/>
      <c r="N299" s="489"/>
      <c r="O299" s="492"/>
      <c r="P299" s="490">
        <f>+R185</f>
        <v>0</v>
      </c>
      <c r="Q299" s="477"/>
      <c r="R299" s="294"/>
      <c r="S299" s="297"/>
      <c r="T299" s="274"/>
    </row>
    <row r="300" spans="1:20" s="275" customFormat="1" x14ac:dyDescent="0.3">
      <c r="A300" s="301"/>
      <c r="B300" s="298" t="s">
        <v>126</v>
      </c>
      <c r="C300" s="298"/>
      <c r="D300" s="491"/>
      <c r="E300" s="491"/>
      <c r="F300" s="491"/>
      <c r="G300" s="491"/>
      <c r="H300" s="491"/>
      <c r="I300" s="491"/>
      <c r="J300" s="491"/>
      <c r="K300" s="491"/>
      <c r="L300" s="491"/>
      <c r="M300" s="491"/>
      <c r="N300" s="489"/>
      <c r="O300" s="492"/>
      <c r="P300" s="490">
        <f>+P298+P299</f>
        <v>0</v>
      </c>
      <c r="Q300" s="477"/>
      <c r="R300" s="294"/>
      <c r="S300" s="297"/>
      <c r="T300" s="274"/>
    </row>
    <row r="301" spans="1:20" s="275" customFormat="1" x14ac:dyDescent="0.3">
      <c r="A301" s="301"/>
      <c r="B301" s="298" t="s">
        <v>176</v>
      </c>
      <c r="C301" s="294"/>
      <c r="D301" s="483"/>
      <c r="E301" s="483"/>
      <c r="F301" s="483"/>
      <c r="G301" s="483"/>
      <c r="H301" s="483"/>
      <c r="I301" s="483"/>
      <c r="J301" s="483"/>
      <c r="K301" s="483"/>
      <c r="L301" s="483"/>
      <c r="M301" s="483"/>
      <c r="N301" s="489"/>
      <c r="O301" s="477"/>
      <c r="P301" s="490">
        <f>+R80</f>
        <v>0</v>
      </c>
      <c r="Q301" s="477"/>
      <c r="R301" s="294"/>
      <c r="S301" s="297"/>
      <c r="T301" s="274"/>
    </row>
    <row r="302" spans="1:20" s="275" customFormat="1" x14ac:dyDescent="0.3">
      <c r="A302" s="301"/>
      <c r="B302" s="298"/>
      <c r="C302" s="294"/>
      <c r="D302" s="483"/>
      <c r="E302" s="483"/>
      <c r="F302" s="483"/>
      <c r="G302" s="483"/>
      <c r="H302" s="483"/>
      <c r="I302" s="483"/>
      <c r="J302" s="483"/>
      <c r="K302" s="483"/>
      <c r="L302" s="483"/>
      <c r="M302" s="483"/>
      <c r="N302" s="489"/>
      <c r="O302" s="477"/>
      <c r="P302" s="490"/>
      <c r="Q302" s="477"/>
      <c r="R302" s="294"/>
      <c r="S302" s="297"/>
      <c r="T302" s="274"/>
    </row>
    <row r="303" spans="1:20" s="275" customFormat="1" x14ac:dyDescent="0.3">
      <c r="A303" s="301"/>
      <c r="B303" s="298" t="s">
        <v>202</v>
      </c>
      <c r="C303" s="294"/>
      <c r="D303" s="483"/>
      <c r="E303" s="483"/>
      <c r="F303" s="483"/>
      <c r="G303" s="483"/>
      <c r="H303" s="483"/>
      <c r="I303" s="483"/>
      <c r="J303" s="483"/>
      <c r="K303" s="483"/>
      <c r="L303" s="483"/>
      <c r="M303" s="483"/>
      <c r="N303" s="489"/>
      <c r="O303" s="477"/>
      <c r="P303" s="493" t="s">
        <v>97</v>
      </c>
      <c r="Q303" s="477"/>
      <c r="R303" s="294"/>
      <c r="S303" s="297"/>
      <c r="T303" s="274"/>
    </row>
    <row r="304" spans="1:20" s="275" customFormat="1" x14ac:dyDescent="0.3">
      <c r="A304" s="270"/>
      <c r="B304" s="272"/>
      <c r="C304" s="272"/>
      <c r="D304" s="494"/>
      <c r="E304" s="494"/>
      <c r="F304" s="494"/>
      <c r="G304" s="494"/>
      <c r="H304" s="494"/>
      <c r="I304" s="494"/>
      <c r="J304" s="494"/>
      <c r="K304" s="494"/>
      <c r="L304" s="494"/>
      <c r="M304" s="494"/>
      <c r="N304" s="494"/>
      <c r="O304" s="494"/>
      <c r="P304" s="495"/>
      <c r="Q304" s="494"/>
      <c r="R304" s="272"/>
      <c r="S304" s="273"/>
      <c r="T304" s="274"/>
    </row>
    <row r="305" spans="1:20" s="275" customFormat="1" x14ac:dyDescent="0.3">
      <c r="A305" s="270"/>
      <c r="B305" s="271" t="s">
        <v>75</v>
      </c>
      <c r="C305" s="272"/>
      <c r="D305" s="496" t="s">
        <v>79</v>
      </c>
      <c r="E305" s="271"/>
      <c r="F305" s="271" t="s">
        <v>80</v>
      </c>
      <c r="G305" s="272"/>
      <c r="H305" s="271"/>
      <c r="I305" s="272"/>
      <c r="J305" s="272"/>
      <c r="K305" s="272"/>
      <c r="L305" s="272"/>
      <c r="M305" s="272"/>
      <c r="N305" s="272"/>
      <c r="O305" s="272"/>
      <c r="P305" s="272"/>
      <c r="Q305" s="272"/>
      <c r="R305" s="272"/>
      <c r="S305" s="273"/>
      <c r="T305" s="274"/>
    </row>
    <row r="306" spans="1:20" s="275" customFormat="1" x14ac:dyDescent="0.3">
      <c r="A306" s="270"/>
      <c r="B306" s="272"/>
      <c r="C306" s="272"/>
      <c r="D306" s="272"/>
      <c r="E306" s="272"/>
      <c r="F306" s="272"/>
      <c r="G306" s="272"/>
      <c r="H306" s="272"/>
      <c r="I306" s="272"/>
      <c r="J306" s="272"/>
      <c r="K306" s="272"/>
      <c r="L306" s="272"/>
      <c r="M306" s="272"/>
      <c r="N306" s="272"/>
      <c r="O306" s="272"/>
      <c r="P306" s="272"/>
      <c r="Q306" s="272"/>
      <c r="R306" s="272"/>
      <c r="S306" s="273"/>
      <c r="T306" s="274"/>
    </row>
    <row r="307" spans="1:20" s="275" customFormat="1" x14ac:dyDescent="0.3">
      <c r="A307" s="270"/>
      <c r="B307" s="271" t="s">
        <v>193</v>
      </c>
      <c r="C307" s="271"/>
      <c r="D307" s="497" t="s">
        <v>147</v>
      </c>
      <c r="E307" s="271"/>
      <c r="F307" s="271" t="s">
        <v>290</v>
      </c>
      <c r="G307" s="271"/>
      <c r="H307" s="271"/>
      <c r="I307" s="272"/>
      <c r="J307" s="272"/>
      <c r="K307" s="272"/>
      <c r="L307" s="272"/>
      <c r="M307" s="272"/>
      <c r="N307" s="272"/>
      <c r="O307" s="272"/>
      <c r="P307" s="272"/>
      <c r="Q307" s="272"/>
      <c r="R307" s="272"/>
      <c r="S307" s="273"/>
      <c r="T307" s="274"/>
    </row>
    <row r="308" spans="1:20" s="275" customFormat="1" x14ac:dyDescent="0.3">
      <c r="A308" s="270"/>
      <c r="B308" s="271" t="s">
        <v>194</v>
      </c>
      <c r="C308" s="271"/>
      <c r="D308" s="497" t="s">
        <v>114</v>
      </c>
      <c r="E308" s="271"/>
      <c r="F308" s="271" t="s">
        <v>291</v>
      </c>
      <c r="G308" s="271"/>
      <c r="H308" s="271"/>
      <c r="I308" s="272"/>
      <c r="J308" s="272"/>
      <c r="K308" s="272"/>
      <c r="L308" s="272"/>
      <c r="M308" s="272"/>
      <c r="N308" s="272"/>
      <c r="O308" s="272"/>
      <c r="P308" s="272"/>
      <c r="Q308" s="272"/>
      <c r="R308" s="272"/>
      <c r="S308" s="273"/>
      <c r="T308" s="274"/>
    </row>
    <row r="309" spans="1:20" s="275" customFormat="1" x14ac:dyDescent="0.3">
      <c r="A309" s="270"/>
      <c r="B309" s="271"/>
      <c r="C309" s="271"/>
      <c r="D309" s="272"/>
      <c r="E309" s="272"/>
      <c r="F309" s="272"/>
      <c r="G309" s="272"/>
      <c r="H309" s="272"/>
      <c r="I309" s="272"/>
      <c r="J309" s="272"/>
      <c r="K309" s="272"/>
      <c r="L309" s="272"/>
      <c r="M309" s="272"/>
      <c r="N309" s="272"/>
      <c r="O309" s="272"/>
      <c r="P309" s="272"/>
      <c r="Q309" s="272"/>
      <c r="R309" s="272"/>
      <c r="S309" s="273"/>
      <c r="T309" s="274"/>
    </row>
    <row r="310" spans="1:20" s="275" customFormat="1" x14ac:dyDescent="0.3">
      <c r="A310" s="270"/>
      <c r="B310" s="271"/>
      <c r="C310" s="271"/>
      <c r="D310" s="272"/>
      <c r="E310" s="272"/>
      <c r="F310" s="272"/>
      <c r="G310" s="272"/>
      <c r="H310" s="272"/>
      <c r="I310" s="272"/>
      <c r="J310" s="272"/>
      <c r="K310" s="272"/>
      <c r="L310" s="272"/>
      <c r="M310" s="272"/>
      <c r="N310" s="272"/>
      <c r="O310" s="272"/>
      <c r="P310" s="272"/>
      <c r="Q310" s="272"/>
      <c r="R310" s="272"/>
      <c r="S310" s="273"/>
      <c r="T310" s="274"/>
    </row>
    <row r="311" spans="1:20" s="275" customFormat="1" ht="18.600000000000001" thickBot="1" x14ac:dyDescent="0.4">
      <c r="A311" s="270"/>
      <c r="B311" s="498" t="str">
        <f>B210</f>
        <v>PM23 INVESTOR REPORT QUARTER ENDING SEPTEMBER 2019</v>
      </c>
      <c r="C311" s="271"/>
      <c r="D311" s="272"/>
      <c r="E311" s="272"/>
      <c r="F311" s="272"/>
      <c r="G311" s="272"/>
      <c r="H311" s="272"/>
      <c r="I311" s="272"/>
      <c r="J311" s="272"/>
      <c r="K311" s="272"/>
      <c r="L311" s="272"/>
      <c r="M311" s="272"/>
      <c r="N311" s="272"/>
      <c r="O311" s="272"/>
      <c r="P311" s="272"/>
      <c r="Q311" s="272"/>
      <c r="R311" s="272"/>
      <c r="S311" s="388"/>
      <c r="T311" s="274"/>
    </row>
    <row r="312" spans="1:20" x14ac:dyDescent="0.3">
      <c r="A312" s="499"/>
      <c r="B312" s="499"/>
      <c r="C312" s="499"/>
      <c r="D312" s="499"/>
      <c r="E312" s="499"/>
      <c r="F312" s="499"/>
      <c r="G312" s="499"/>
      <c r="H312" s="499"/>
      <c r="I312" s="499"/>
      <c r="J312" s="499"/>
      <c r="K312" s="499"/>
      <c r="L312" s="499"/>
      <c r="M312" s="499"/>
      <c r="N312" s="499"/>
      <c r="O312" s="499"/>
      <c r="P312" s="499"/>
      <c r="Q312" s="499"/>
      <c r="R312" s="499"/>
      <c r="S312" s="499"/>
    </row>
  </sheetData>
  <hyperlinks>
    <hyperlink ref="N248" r:id="rId1" display="http://www.paragon-group.co.uk" xr:uid="{1FCEBF97-46AD-4749-8972-CBBC299BDAC6}"/>
    <hyperlink ref="K9" r:id="rId2" display="http://www.paragon-group.co.uk" xr:uid="{D21ADBCF-FA8D-47C9-9319-24FE2781451E}"/>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6" max="18" man="1"/>
    <brk id="210"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9CB31"/>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42391</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104413.14449999999</v>
      </c>
      <c r="E29" s="130"/>
      <c r="F29" s="201">
        <f>F28*F35</f>
        <v>187545.89574000001</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103186.06200000001</v>
      </c>
      <c r="E30" s="202"/>
      <c r="F30" s="202">
        <f t="shared" ref="F30" si="0">F28*F34</f>
        <v>185341.82184000002</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72914.184831599996</v>
      </c>
      <c r="E32" s="201"/>
      <c r="F32" s="201">
        <f>F31*F35</f>
        <v>187545.89574000001</v>
      </c>
      <c r="G32" s="201"/>
      <c r="H32" s="201">
        <f>H31</f>
        <v>14800</v>
      </c>
      <c r="I32" s="201"/>
      <c r="J32" s="201">
        <f>J31</f>
        <v>15800</v>
      </c>
      <c r="K32" s="201"/>
      <c r="L32" s="201">
        <f>L31</f>
        <v>7505</v>
      </c>
      <c r="M32" s="126"/>
      <c r="N32" s="133"/>
      <c r="O32" s="126"/>
      <c r="P32" s="126"/>
      <c r="Q32" s="127"/>
      <c r="R32" s="126">
        <f>SUM(D32:L32)</f>
        <v>298565.0805716</v>
      </c>
      <c r="S32" s="128"/>
      <c r="T32" s="2"/>
    </row>
    <row r="33" spans="1:20" ht="15.6" x14ac:dyDescent="0.3">
      <c r="A33" s="122"/>
      <c r="B33" s="124" t="s">
        <v>226</v>
      </c>
      <c r="C33" s="125"/>
      <c r="D33" s="237">
        <f>D31*D34</f>
        <v>72057.283905600008</v>
      </c>
      <c r="E33" s="237"/>
      <c r="F33" s="237">
        <f t="shared" ref="F33:L33" si="4">F31*F34</f>
        <v>185341.82184000002</v>
      </c>
      <c r="G33" s="237"/>
      <c r="H33" s="237">
        <f t="shared" si="4"/>
        <v>14800</v>
      </c>
      <c r="I33" s="237"/>
      <c r="J33" s="237">
        <f t="shared" si="4"/>
        <v>15800</v>
      </c>
      <c r="K33" s="237"/>
      <c r="L33" s="237">
        <f t="shared" si="4"/>
        <v>7505</v>
      </c>
      <c r="M33" s="131"/>
      <c r="N33" s="133"/>
      <c r="O33" s="126"/>
      <c r="P33" s="126"/>
      <c r="Q33" s="127"/>
      <c r="R33" s="203">
        <f>SUM(D33:L33)</f>
        <v>295504.10574560001</v>
      </c>
      <c r="S33" s="128"/>
      <c r="T33" s="2"/>
    </row>
    <row r="34" spans="1:20" ht="15.6" x14ac:dyDescent="0.3">
      <c r="A34" s="112"/>
      <c r="B34" s="134" t="s">
        <v>103</v>
      </c>
      <c r="C34" s="135"/>
      <c r="D34" s="136">
        <v>0.98272440000000005</v>
      </c>
      <c r="E34" s="136"/>
      <c r="F34" s="136">
        <v>0.98272440000000005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0.99441089999999999</v>
      </c>
      <c r="E35" s="136"/>
      <c r="F35" s="136">
        <v>0.99441089999999999</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6.5100000000000002E-3</v>
      </c>
      <c r="E37" s="143"/>
      <c r="F37" s="143">
        <v>1.6793800000000001E-2</v>
      </c>
      <c r="G37" s="143"/>
      <c r="H37" s="143">
        <v>2.2293799999999999E-2</v>
      </c>
      <c r="I37" s="143"/>
      <c r="J37" s="143">
        <v>2.77938E-2</v>
      </c>
      <c r="K37" s="143"/>
      <c r="L37" s="143">
        <v>3.1293799999999997E-2</v>
      </c>
      <c r="M37" s="142"/>
      <c r="N37" s="143"/>
      <c r="O37" s="123"/>
      <c r="P37" s="123"/>
      <c r="Q37" s="115"/>
      <c r="R37" s="142"/>
      <c r="S37" s="116"/>
      <c r="T37" s="2"/>
    </row>
    <row r="38" spans="1:20" ht="15.6" x14ac:dyDescent="0.3">
      <c r="A38" s="112"/>
      <c r="B38" s="113" t="s">
        <v>10</v>
      </c>
      <c r="C38" s="144"/>
      <c r="D38" s="143">
        <v>6.7600000000000004E-3</v>
      </c>
      <c r="E38" s="143"/>
      <c r="F38" s="143">
        <v>1.67268E-2</v>
      </c>
      <c r="G38" s="143"/>
      <c r="H38" s="143">
        <v>2.2226800000000001E-2</v>
      </c>
      <c r="I38" s="143"/>
      <c r="J38" s="143">
        <v>2.7726799999999999E-2</v>
      </c>
      <c r="K38" s="143"/>
      <c r="L38" s="143">
        <v>3.1226799999999999E-2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1.8408799999999999E-2</v>
      </c>
      <c r="E40" s="143"/>
      <c r="F40" s="143">
        <f>+F37</f>
        <v>1.6793800000000001E-2</v>
      </c>
      <c r="G40" s="143"/>
      <c r="H40" s="143">
        <f>+H37</f>
        <v>2.2293799999999999E-2</v>
      </c>
      <c r="I40" s="143"/>
      <c r="J40" s="143">
        <f>+J37</f>
        <v>2.77938E-2</v>
      </c>
      <c r="K40" s="143"/>
      <c r="L40" s="143">
        <f>+L37</f>
        <v>3.1293799999999997E-2</v>
      </c>
      <c r="M40" s="142"/>
      <c r="N40" s="143"/>
      <c r="O40" s="123"/>
      <c r="P40" s="123"/>
      <c r="Q40" s="115"/>
      <c r="R40" s="142">
        <f>SUMPRODUCT(D40:L40,D32:L32)/R32</f>
        <v>1.8407447877309271E-2</v>
      </c>
      <c r="S40" s="116"/>
      <c r="T40" s="2"/>
    </row>
    <row r="41" spans="1:20" ht="15.6" x14ac:dyDescent="0.3">
      <c r="A41" s="112"/>
      <c r="B41" s="113" t="s">
        <v>232</v>
      </c>
      <c r="C41" s="144"/>
      <c r="D41" s="143">
        <v>1.8341799999999998E-2</v>
      </c>
      <c r="E41" s="143"/>
      <c r="F41" s="143">
        <f>+F38</f>
        <v>1.67268E-2</v>
      </c>
      <c r="G41" s="143"/>
      <c r="H41" s="143">
        <f>+H38</f>
        <v>2.2226800000000001E-2</v>
      </c>
      <c r="I41" s="143"/>
      <c r="J41" s="143">
        <f>+J38</f>
        <v>2.7726799999999999E-2</v>
      </c>
      <c r="K41" s="143"/>
      <c r="L41" s="143">
        <f>+L38</f>
        <v>3.1226799999999999E-2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0.14803858735104158</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42384</v>
      </c>
      <c r="S52" s="116"/>
      <c r="T52" s="2"/>
    </row>
    <row r="53" spans="1:21" ht="15.6" x14ac:dyDescent="0.3">
      <c r="A53" s="112"/>
      <c r="B53" s="113" t="s">
        <v>99</v>
      </c>
      <c r="C53" s="113"/>
      <c r="D53" s="150"/>
      <c r="E53" s="150"/>
      <c r="F53" s="150"/>
      <c r="G53" s="150"/>
      <c r="H53" s="150"/>
      <c r="I53" s="150"/>
      <c r="J53" s="150"/>
      <c r="K53" s="150"/>
      <c r="L53" s="150"/>
      <c r="M53" s="150"/>
      <c r="N53" s="113">
        <f>+R53-P53+1</f>
        <v>84</v>
      </c>
      <c r="O53" s="113"/>
      <c r="P53" s="151">
        <v>42208</v>
      </c>
      <c r="Q53" s="152"/>
      <c r="R53" s="151">
        <v>42291</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42292</v>
      </c>
      <c r="Q54" s="152"/>
      <c r="R54" s="151">
        <v>42383</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42373</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277</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297065</v>
      </c>
      <c r="I64" s="155"/>
      <c r="J64" s="156">
        <v>194</v>
      </c>
      <c r="K64" s="155"/>
      <c r="L64" s="155">
        <f>2948+92-7</f>
        <v>3033</v>
      </c>
      <c r="M64" s="155"/>
      <c r="N64" s="155">
        <f>34+166</f>
        <v>200</v>
      </c>
      <c r="O64" s="155"/>
      <c r="P64" s="155">
        <v>0</v>
      </c>
      <c r="Q64" s="155"/>
      <c r="R64" s="156">
        <f>H64-J64-L64+N64-P64</f>
        <v>294038</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297065</v>
      </c>
      <c r="I67" s="155"/>
      <c r="J67" s="155">
        <f>J64+J65</f>
        <v>194</v>
      </c>
      <c r="K67" s="155"/>
      <c r="L67" s="155">
        <f>SUM(L64:L66)</f>
        <v>3033</v>
      </c>
      <c r="M67" s="155"/>
      <c r="N67" s="155">
        <f>SUM(N64:N66)</f>
        <v>200</v>
      </c>
      <c r="O67" s="155"/>
      <c r="P67" s="155">
        <f>SUM(P64:P66)</f>
        <v>0</v>
      </c>
      <c r="Q67" s="155"/>
      <c r="R67" s="155">
        <f>SUM(R64:R66)</f>
        <v>294038</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1500</v>
      </c>
      <c r="G78" s="155"/>
      <c r="H78" s="155">
        <v>1500</v>
      </c>
      <c r="I78" s="155"/>
      <c r="J78" s="155"/>
      <c r="K78" s="155"/>
      <c r="L78" s="155"/>
      <c r="M78" s="155"/>
      <c r="N78" s="155">
        <v>-34</v>
      </c>
      <c r="O78" s="155"/>
      <c r="P78" s="155"/>
      <c r="Q78" s="155"/>
      <c r="R78" s="155">
        <f>+H78+N78</f>
        <v>1466</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298565</v>
      </c>
      <c r="I80" s="155"/>
      <c r="J80" s="155"/>
      <c r="K80" s="155"/>
      <c r="L80" s="155"/>
      <c r="M80" s="155"/>
      <c r="N80" s="155"/>
      <c r="O80" s="155"/>
      <c r="P80" s="155"/>
      <c r="Q80" s="155"/>
      <c r="R80" s="155">
        <f>SUM(R67:R79)</f>
        <v>295504</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42369</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34</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f>-P85</f>
        <v>-34</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3227</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3091-279</f>
        <v>2812</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23</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8</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107</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707</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3227</v>
      </c>
      <c r="Q97" s="113"/>
      <c r="R97" s="155">
        <f>SUM(R84:R96)</f>
        <v>3657</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3227</v>
      </c>
      <c r="Q100" s="113"/>
      <c r="R100" s="155">
        <f>R97+R98+R99</f>
        <v>3657</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247</v>
      </c>
      <c r="C104" s="113"/>
      <c r="D104" s="135"/>
      <c r="E104" s="135"/>
      <c r="F104" s="135"/>
      <c r="G104" s="135"/>
      <c r="H104" s="135"/>
      <c r="I104" s="135"/>
      <c r="J104" s="135"/>
      <c r="K104" s="135"/>
      <c r="L104" s="135"/>
      <c r="M104" s="135"/>
      <c r="N104" s="135"/>
      <c r="O104" s="135"/>
      <c r="P104" s="113"/>
      <c r="Q104" s="113"/>
      <c r="R104" s="156">
        <f>-113-1-4</f>
        <v>-118</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-280</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-338</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-794</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-83</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-111</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-3</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-112</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-33-173</f>
        <v>-206</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-1550</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-166</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-857</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-2204</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-3227</v>
      </c>
      <c r="Q128" s="155"/>
      <c r="R128" s="155">
        <f>SUM(R101:R127)</f>
        <v>-3657</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DECEMBER 2015</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301.02235635999932</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7199.9776436400007</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+'Sept 15'!R160</f>
        <v>1500</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+N78</f>
        <v>-34</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1466</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+'Sept 15'!R175</f>
        <v>758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276</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107</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651</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294038</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1466</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295504</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295504</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+'Sept 15'!O191</f>
        <v>0</v>
      </c>
      <c r="P187" s="156">
        <f>+'Sept 15'!P191</f>
        <v>256</v>
      </c>
      <c r="Q187" s="113"/>
      <c r="R187" s="156">
        <f>O187+P187</f>
        <v>256</v>
      </c>
      <c r="S187" s="116"/>
      <c r="T187" s="2"/>
    </row>
    <row r="188" spans="1:20" ht="15.6" x14ac:dyDescent="0.3">
      <c r="A188" s="112"/>
      <c r="B188" s="113" t="s">
        <v>49</v>
      </c>
      <c r="C188" s="113"/>
      <c r="D188" s="113"/>
      <c r="E188" s="113"/>
      <c r="F188" s="113"/>
      <c r="G188" s="113"/>
      <c r="H188" s="113"/>
      <c r="I188" s="113"/>
      <c r="J188" s="113"/>
      <c r="K188" s="113"/>
      <c r="L188" s="113"/>
      <c r="M188" s="113"/>
      <c r="N188" s="113"/>
      <c r="O188" s="155">
        <v>34</v>
      </c>
      <c r="P188" s="155">
        <v>166</v>
      </c>
      <c r="Q188" s="113"/>
      <c r="R188" s="156">
        <f>O188+P188</f>
        <v>200</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34</v>
      </c>
      <c r="P189" s="156">
        <f>P188+P187</f>
        <v>422</v>
      </c>
      <c r="Q189" s="113"/>
      <c r="R189" s="156">
        <f>O189+P189</f>
        <v>456</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23546.32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2.8763250883392226</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2.62</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25.590361445783131</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22.04</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18.387387387387388</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15.78</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32.66101694915254</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27.47</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DECEMBER 2015</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42369</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4.5793800000000003E-2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3.8190000000000002E-2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1.8407447877309271E-2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1.9782552122690731E-2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1.2248589084453972E-2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20.41</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1.0862942453671755E-2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3.4099999999999998E-2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+'Sept 15'!P235+P232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1861</v>
      </c>
      <c r="O246" s="81">
        <f>N246/$N$255</f>
        <v>1</v>
      </c>
      <c r="P246" s="82">
        <f>+P258+P270+P282</f>
        <v>294038</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1861</v>
      </c>
      <c r="O255" s="192">
        <f>SUM(O246:O254)</f>
        <v>1</v>
      </c>
      <c r="P255" s="156">
        <f>SUM(P246:P254)</f>
        <v>294038</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1861</v>
      </c>
      <c r="O258" s="81">
        <f>N258/$N$267</f>
        <v>1</v>
      </c>
      <c r="P258" s="82">
        <v>294038</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1861</v>
      </c>
      <c r="O267" s="192">
        <f>SUM(O258:O266)</f>
        <v>1</v>
      </c>
      <c r="P267" s="156">
        <f>SUM(P258:P266)</f>
        <v>294038</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1861</v>
      </c>
      <c r="O293" s="192"/>
      <c r="P293" s="197">
        <f>+P291+P279+P267</f>
        <v>294038</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1466</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295504</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295504</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5.0781020325039714E-2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PM23 INVESTOR REPORT QUARTER ENDING DECEMBER 2015</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100-000000000000}"/>
    <hyperlink ref="K9" r:id="rId2" xr:uid="{00000000-0004-0000-01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D2926"/>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42481</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103186.06200000001</v>
      </c>
      <c r="E29" s="130"/>
      <c r="F29" s="201">
        <f>F28*F35</f>
        <v>185341.82184000002</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101899.875</v>
      </c>
      <c r="E30" s="202"/>
      <c r="F30" s="202">
        <f t="shared" ref="F30" si="0">F28*F34</f>
        <v>183031.58499999999</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72057.283905600008</v>
      </c>
      <c r="E32" s="201"/>
      <c r="F32" s="201">
        <f>F31*F35</f>
        <v>185341.82184000002</v>
      </c>
      <c r="G32" s="201"/>
      <c r="H32" s="201">
        <f>H31</f>
        <v>14800</v>
      </c>
      <c r="I32" s="201"/>
      <c r="J32" s="201">
        <f>J31</f>
        <v>15800</v>
      </c>
      <c r="K32" s="201"/>
      <c r="L32" s="201">
        <f>L31</f>
        <v>7505</v>
      </c>
      <c r="M32" s="126"/>
      <c r="N32" s="133"/>
      <c r="O32" s="126"/>
      <c r="P32" s="126"/>
      <c r="Q32" s="127"/>
      <c r="R32" s="126">
        <f>SUM(D32:L32)</f>
        <v>295504.10574560001</v>
      </c>
      <c r="S32" s="128"/>
      <c r="T32" s="2"/>
    </row>
    <row r="33" spans="1:20" ht="15.6" x14ac:dyDescent="0.3">
      <c r="A33" s="122"/>
      <c r="B33" s="124" t="s">
        <v>226</v>
      </c>
      <c r="C33" s="125"/>
      <c r="D33" s="237">
        <f>D31*D34</f>
        <v>71159.108899999992</v>
      </c>
      <c r="E33" s="237"/>
      <c r="F33" s="237">
        <f t="shared" ref="F33:L33" si="4">F31*F34</f>
        <v>183031.58499999999</v>
      </c>
      <c r="G33" s="237"/>
      <c r="H33" s="237">
        <f t="shared" si="4"/>
        <v>14800</v>
      </c>
      <c r="I33" s="237"/>
      <c r="J33" s="237">
        <f t="shared" si="4"/>
        <v>15800</v>
      </c>
      <c r="K33" s="237"/>
      <c r="L33" s="237">
        <f t="shared" si="4"/>
        <v>7505</v>
      </c>
      <c r="M33" s="131"/>
      <c r="N33" s="133"/>
      <c r="O33" s="126"/>
      <c r="P33" s="126"/>
      <c r="Q33" s="127"/>
      <c r="R33" s="203">
        <f>SUM(D33:L33)</f>
        <v>292295.69389999995</v>
      </c>
      <c r="S33" s="128"/>
      <c r="T33" s="2"/>
    </row>
    <row r="34" spans="1:20" ht="15.6" x14ac:dyDescent="0.3">
      <c r="A34" s="112"/>
      <c r="B34" s="134" t="s">
        <v>103</v>
      </c>
      <c r="C34" s="135"/>
      <c r="D34" s="136">
        <v>0.97047499999999998</v>
      </c>
      <c r="E34" s="136"/>
      <c r="F34" s="136">
        <v>0.97047499999999998</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0.98272440000000005</v>
      </c>
      <c r="E35" s="136"/>
      <c r="F35" s="136">
        <v>0.98272440000000005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5.5599999999999998E-3</v>
      </c>
      <c r="E37" s="143"/>
      <c r="F37" s="143">
        <v>1.6906299999999999E-2</v>
      </c>
      <c r="G37" s="143"/>
      <c r="H37" s="143">
        <v>2.2406300000000001E-2</v>
      </c>
      <c r="I37" s="143"/>
      <c r="J37" s="143">
        <v>2.7906299999999998E-2</v>
      </c>
      <c r="K37" s="143"/>
      <c r="L37" s="143">
        <v>3.1406299999999998E-2</v>
      </c>
      <c r="M37" s="142"/>
      <c r="N37" s="143"/>
      <c r="O37" s="123"/>
      <c r="P37" s="123"/>
      <c r="Q37" s="115"/>
      <c r="R37" s="142"/>
      <c r="S37" s="116"/>
      <c r="T37" s="2"/>
    </row>
    <row r="38" spans="1:20" ht="15.6" x14ac:dyDescent="0.3">
      <c r="A38" s="112"/>
      <c r="B38" s="113" t="s">
        <v>10</v>
      </c>
      <c r="C38" s="144"/>
      <c r="D38" s="143">
        <v>6.5100000000000002E-3</v>
      </c>
      <c r="E38" s="143"/>
      <c r="F38" s="143">
        <v>1.6793800000000001E-2</v>
      </c>
      <c r="G38" s="143"/>
      <c r="H38" s="143">
        <v>2.2293799999999999E-2</v>
      </c>
      <c r="I38" s="143"/>
      <c r="J38" s="143">
        <v>2.77938E-2</v>
      </c>
      <c r="K38" s="143"/>
      <c r="L38" s="143">
        <v>3.1293799999999997E-2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1.8521300000000001E-2</v>
      </c>
      <c r="E40" s="143"/>
      <c r="F40" s="143">
        <f>+F37</f>
        <v>1.6906299999999999E-2</v>
      </c>
      <c r="G40" s="143"/>
      <c r="H40" s="143">
        <f>+H37</f>
        <v>2.2406300000000001E-2</v>
      </c>
      <c r="I40" s="143"/>
      <c r="J40" s="143">
        <f>+J37</f>
        <v>2.7906299999999998E-2</v>
      </c>
      <c r="K40" s="143"/>
      <c r="L40" s="143">
        <f>+L37</f>
        <v>3.1406299999999998E-2</v>
      </c>
      <c r="M40" s="142"/>
      <c r="N40" s="143"/>
      <c r="O40" s="123"/>
      <c r="P40" s="123"/>
      <c r="Q40" s="115"/>
      <c r="R40" s="142">
        <f>SUMPRODUCT(D40:L40,D32:L32)/R32</f>
        <v>1.8531979657801834E-2</v>
      </c>
      <c r="S40" s="116"/>
      <c r="T40" s="2"/>
    </row>
    <row r="41" spans="1:20" ht="15.6" x14ac:dyDescent="0.3">
      <c r="A41" s="112"/>
      <c r="B41" s="113" t="s">
        <v>232</v>
      </c>
      <c r="C41" s="144"/>
      <c r="D41" s="143">
        <v>1.8408799999999999E-2</v>
      </c>
      <c r="E41" s="143"/>
      <c r="F41" s="143">
        <f>+F38</f>
        <v>1.6793800000000001E-2</v>
      </c>
      <c r="G41" s="143"/>
      <c r="H41" s="143">
        <f>+H38</f>
        <v>2.2293799999999999E-2</v>
      </c>
      <c r="I41" s="143"/>
      <c r="J41" s="143">
        <f>+J38</f>
        <v>2.77938E-2</v>
      </c>
      <c r="K41" s="143"/>
      <c r="L41" s="143">
        <f>+L38</f>
        <v>3.1293799999999997E-2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0.14990714024719851</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42475</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42292</v>
      </c>
      <c r="Q53" s="152"/>
      <c r="R53" s="151">
        <v>42383</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42384</v>
      </c>
      <c r="Q54" s="152"/>
      <c r="R54" s="151">
        <v>42474</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42461</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278</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294038</v>
      </c>
      <c r="I64" s="155"/>
      <c r="J64" s="156">
        <v>194</v>
      </c>
      <c r="K64" s="155"/>
      <c r="L64" s="155">
        <f>2854+247</f>
        <v>3101</v>
      </c>
      <c r="M64" s="155"/>
      <c r="N64" s="155">
        <f>234+87</f>
        <v>321</v>
      </c>
      <c r="O64" s="155"/>
      <c r="P64" s="155">
        <v>0</v>
      </c>
      <c r="Q64" s="155"/>
      <c r="R64" s="156">
        <f>H64-J64-L64+N64-P64</f>
        <v>291064</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294038</v>
      </c>
      <c r="I67" s="155"/>
      <c r="J67" s="155">
        <f>J64+J65</f>
        <v>194</v>
      </c>
      <c r="K67" s="155"/>
      <c r="L67" s="155">
        <f>SUM(L64:L66)</f>
        <v>3101</v>
      </c>
      <c r="M67" s="155"/>
      <c r="N67" s="155">
        <f>SUM(N64:N66)</f>
        <v>321</v>
      </c>
      <c r="O67" s="155"/>
      <c r="P67" s="155">
        <f>SUM(P64:P66)</f>
        <v>0</v>
      </c>
      <c r="Q67" s="155"/>
      <c r="R67" s="155">
        <f>SUM(R64:R66)</f>
        <v>291064</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1500</v>
      </c>
      <c r="G78" s="155"/>
      <c r="H78" s="155">
        <v>1466</v>
      </c>
      <c r="I78" s="155"/>
      <c r="J78" s="155"/>
      <c r="K78" s="155"/>
      <c r="L78" s="155"/>
      <c r="M78" s="155"/>
      <c r="N78" s="155">
        <v>-234</v>
      </c>
      <c r="O78" s="155"/>
      <c r="P78" s="155"/>
      <c r="Q78" s="155"/>
      <c r="R78" s="155">
        <f>+H78+N78</f>
        <v>1232</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295504</v>
      </c>
      <c r="I80" s="155"/>
      <c r="J80" s="155"/>
      <c r="K80" s="155"/>
      <c r="L80" s="155"/>
      <c r="M80" s="155"/>
      <c r="N80" s="155"/>
      <c r="O80" s="155"/>
      <c r="P80" s="155"/>
      <c r="Q80" s="155"/>
      <c r="R80" s="155">
        <f>SUM(R67:R79)</f>
        <v>292296</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42460</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234</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f>-P85</f>
        <v>-234</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3295</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3054-441</f>
        <v>2613</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235</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15</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113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471</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3295</v>
      </c>
      <c r="Q97" s="113"/>
      <c r="R97" s="155">
        <f>SUM(R84:R96)</f>
        <v>3447</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3295</v>
      </c>
      <c r="Q100" s="113"/>
      <c r="R100" s="155">
        <f>R97+R98+R99</f>
        <v>3447</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247</v>
      </c>
      <c r="C104" s="113"/>
      <c r="D104" s="135"/>
      <c r="E104" s="135"/>
      <c r="F104" s="135"/>
      <c r="G104" s="135"/>
      <c r="H104" s="135"/>
      <c r="I104" s="135"/>
      <c r="J104" s="135"/>
      <c r="K104" s="135"/>
      <c r="L104" s="135"/>
      <c r="M104" s="135"/>
      <c r="N104" s="135"/>
      <c r="O104" s="135"/>
      <c r="P104" s="113"/>
      <c r="Q104" s="113"/>
      <c r="R104" s="156">
        <f>-110-1-4</f>
        <v>-115</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-269</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-333</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-781</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-83</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-110</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-110</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-31-173</f>
        <v>-204</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-1360</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-87</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-898</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-2310</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-3295</v>
      </c>
      <c r="Q128" s="155"/>
      <c r="R128" s="155">
        <f>SUM(R101:R127)</f>
        <v>-3447</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MARCH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381.23265250000077</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7119.7673474999992</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+'Dec 15'!R158</f>
        <v>1466</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+N78</f>
        <v>-234</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1232</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+'Dec 15'!R173</f>
        <v>651</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276</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113</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538</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291064</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1232</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292296</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292296</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+'Dec 15'!O189</f>
        <v>34</v>
      </c>
      <c r="P187" s="156">
        <f>+'Dec 15'!P189</f>
        <v>422</v>
      </c>
      <c r="Q187" s="113"/>
      <c r="R187" s="156">
        <f>O187+P187</f>
        <v>456</v>
      </c>
      <c r="S187" s="116"/>
      <c r="T187" s="2"/>
    </row>
    <row r="188" spans="1:20" ht="15.6" x14ac:dyDescent="0.3">
      <c r="A188" s="112"/>
      <c r="B188" s="113" t="s">
        <v>49</v>
      </c>
      <c r="C188" s="113"/>
      <c r="D188" s="113"/>
      <c r="E188" s="113"/>
      <c r="F188" s="113"/>
      <c r="G188" s="113"/>
      <c r="H188" s="113"/>
      <c r="I188" s="113"/>
      <c r="J188" s="113"/>
      <c r="K188" s="113"/>
      <c r="L188" s="113"/>
      <c r="M188" s="113"/>
      <c r="N188" s="113"/>
      <c r="O188" s="155">
        <v>234</v>
      </c>
      <c r="P188" s="155">
        <v>87</v>
      </c>
      <c r="Q188" s="113"/>
      <c r="R188" s="156">
        <f>O188+P188</f>
        <v>321</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268</v>
      </c>
      <c r="P189" s="156">
        <f>P188+P187</f>
        <v>509</v>
      </c>
      <c r="Q189" s="113"/>
      <c r="R189" s="156">
        <f>O189+P189</f>
        <v>777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23225.32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2.746858168761221</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2.66</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23.445783132530121</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22.52</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16.936363636363637</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16.170000000000002</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29.372881355932204</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28.12</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MARCH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42460</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4.5906299999999997E-2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3.8159999999999999E-2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1.8531979657801834E-2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1.9628020342198165E-2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1.1664816719909037E-2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20.16</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1.12060345941681E-2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3.7499999999999999E-2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'Dec 15'!P233+P232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1843</v>
      </c>
      <c r="O246" s="81">
        <f>N246/$N$255</f>
        <v>1</v>
      </c>
      <c r="P246" s="82">
        <f>+P258+P270+P282</f>
        <v>291064</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1843</v>
      </c>
      <c r="O255" s="192">
        <f>SUM(O246:O254)</f>
        <v>1</v>
      </c>
      <c r="P255" s="156">
        <f>SUM(P246:P254)</f>
        <v>291064</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1843</v>
      </c>
      <c r="O258" s="81">
        <f>N258/$N$267</f>
        <v>1</v>
      </c>
      <c r="P258" s="82">
        <v>291064</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1843</v>
      </c>
      <c r="O267" s="192">
        <f>SUM(O258:O266)</f>
        <v>1</v>
      </c>
      <c r="P267" s="156">
        <f>SUM(P258:P266)</f>
        <v>291064</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1843</v>
      </c>
      <c r="O293" s="192"/>
      <c r="P293" s="197">
        <f>+P291+P279+P267</f>
        <v>291064</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1232</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292296</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292296</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5.1338423087183227E-2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PM23 INVESTOR REPORT QUARTER ENDING MARCH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200-000000000000}"/>
    <hyperlink ref="K9" r:id="rId2" xr:uid="{00000000-0004-0000-02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9CB31"/>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42572</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101899.875</v>
      </c>
      <c r="E29" s="130"/>
      <c r="F29" s="201">
        <f>F28*F35</f>
        <v>183031.58499999999</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100115.1375</v>
      </c>
      <c r="E30" s="202"/>
      <c r="F30" s="202">
        <f t="shared" ref="F30" si="0">F28*F34</f>
        <v>179825.85649999999</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71159.108899999992</v>
      </c>
      <c r="E32" s="201"/>
      <c r="F32" s="201">
        <f>F31*F35</f>
        <v>183031.58499999999</v>
      </c>
      <c r="G32" s="201"/>
      <c r="H32" s="201">
        <f>H31</f>
        <v>14800</v>
      </c>
      <c r="I32" s="201"/>
      <c r="J32" s="201">
        <f>J31</f>
        <v>15800</v>
      </c>
      <c r="K32" s="201"/>
      <c r="L32" s="201">
        <f>L31</f>
        <v>7505</v>
      </c>
      <c r="M32" s="126"/>
      <c r="N32" s="133"/>
      <c r="O32" s="126"/>
      <c r="P32" s="126"/>
      <c r="Q32" s="127"/>
      <c r="R32" s="126">
        <f>SUM(D32:L32)</f>
        <v>292295.69389999995</v>
      </c>
      <c r="S32" s="128"/>
      <c r="T32" s="2"/>
    </row>
    <row r="33" spans="1:20" ht="15.6" x14ac:dyDescent="0.3">
      <c r="A33" s="122"/>
      <c r="B33" s="124" t="s">
        <v>226</v>
      </c>
      <c r="C33" s="125"/>
      <c r="D33" s="237">
        <f>D31*D34</f>
        <v>69912.784209999998</v>
      </c>
      <c r="E33" s="237"/>
      <c r="F33" s="237">
        <f t="shared" ref="F33:L33" si="4">F31*F34</f>
        <v>179825.85649999999</v>
      </c>
      <c r="G33" s="237"/>
      <c r="H33" s="237">
        <f t="shared" si="4"/>
        <v>14800</v>
      </c>
      <c r="I33" s="237"/>
      <c r="J33" s="237">
        <f t="shared" si="4"/>
        <v>15800</v>
      </c>
      <c r="K33" s="237"/>
      <c r="L33" s="237">
        <f t="shared" si="4"/>
        <v>7505</v>
      </c>
      <c r="M33" s="131"/>
      <c r="N33" s="133"/>
      <c r="O33" s="126"/>
      <c r="P33" s="126"/>
      <c r="Q33" s="127"/>
      <c r="R33" s="203">
        <f>SUM(D33:L33)</f>
        <v>287843.64071000001</v>
      </c>
      <c r="S33" s="128"/>
      <c r="T33" s="2"/>
    </row>
    <row r="34" spans="1:20" ht="15.6" x14ac:dyDescent="0.3">
      <c r="A34" s="112"/>
      <c r="B34" s="134" t="s">
        <v>103</v>
      </c>
      <c r="C34" s="135"/>
      <c r="D34" s="136">
        <v>0.95347749999999998</v>
      </c>
      <c r="E34" s="136"/>
      <c r="F34" s="136">
        <v>0.95347749999999998</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0.97047499999999998</v>
      </c>
      <c r="E35" s="136"/>
      <c r="F35" s="136">
        <v>0.97047499999999998</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4.5100000000000001E-3</v>
      </c>
      <c r="E37" s="143"/>
      <c r="F37" s="143">
        <v>1.68781E-2</v>
      </c>
      <c r="G37" s="143"/>
      <c r="H37" s="143">
        <v>2.2378100000000001E-2</v>
      </c>
      <c r="I37" s="143"/>
      <c r="J37" s="143">
        <v>2.7878099999999999E-2</v>
      </c>
      <c r="K37" s="143"/>
      <c r="L37" s="143">
        <v>3.1378099999999999E-2</v>
      </c>
      <c r="M37" s="142"/>
      <c r="N37" s="143"/>
      <c r="O37" s="123"/>
      <c r="P37" s="123"/>
      <c r="Q37" s="115"/>
      <c r="R37" s="142"/>
      <c r="S37" s="116"/>
      <c r="T37" s="2"/>
    </row>
    <row r="38" spans="1:20" ht="15.6" x14ac:dyDescent="0.3">
      <c r="A38" s="112"/>
      <c r="B38" s="113" t="s">
        <v>10</v>
      </c>
      <c r="C38" s="144"/>
      <c r="D38" s="143">
        <v>5.5599999999999998E-3</v>
      </c>
      <c r="E38" s="143"/>
      <c r="F38" s="143">
        <v>1.6906299999999999E-2</v>
      </c>
      <c r="G38" s="143"/>
      <c r="H38" s="143">
        <v>2.2406300000000001E-2</v>
      </c>
      <c r="I38" s="143"/>
      <c r="J38" s="143">
        <v>2.7906299999999998E-2</v>
      </c>
      <c r="K38" s="143"/>
      <c r="L38" s="143">
        <v>3.1406299999999998E-2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1.8493099999999998E-2</v>
      </c>
      <c r="E40" s="143"/>
      <c r="F40" s="143">
        <f>+F37</f>
        <v>1.68781E-2</v>
      </c>
      <c r="G40" s="143"/>
      <c r="H40" s="143">
        <f>+H37</f>
        <v>2.2378100000000001E-2</v>
      </c>
      <c r="I40" s="143"/>
      <c r="J40" s="143">
        <f>+J37</f>
        <v>2.7878099999999999E-2</v>
      </c>
      <c r="K40" s="143"/>
      <c r="L40" s="143">
        <f>+L37</f>
        <v>3.1378099999999999E-2</v>
      </c>
      <c r="M40" s="142"/>
      <c r="N40" s="143"/>
      <c r="O40" s="123"/>
      <c r="P40" s="123"/>
      <c r="Q40" s="115"/>
      <c r="R40" s="142">
        <f>SUMPRODUCT(D40:L40,D32:L32)/R32</f>
        <v>1.8516661466585805E-2</v>
      </c>
      <c r="S40" s="116"/>
      <c r="T40" s="2"/>
    </row>
    <row r="41" spans="1:20" ht="15.6" x14ac:dyDescent="0.3">
      <c r="A41" s="112"/>
      <c r="B41" s="113" t="s">
        <v>232</v>
      </c>
      <c r="C41" s="144"/>
      <c r="D41" s="143">
        <v>1.8521300000000001E-2</v>
      </c>
      <c r="E41" s="143"/>
      <c r="F41" s="143">
        <f>+F38</f>
        <v>1.6906299999999999E-2</v>
      </c>
      <c r="G41" s="143"/>
      <c r="H41" s="143">
        <f>+H38</f>
        <v>2.2406300000000001E-2</v>
      </c>
      <c r="I41" s="143"/>
      <c r="J41" s="143">
        <f>+J38</f>
        <v>2.7906299999999998E-2</v>
      </c>
      <c r="K41" s="143"/>
      <c r="L41" s="143">
        <f>+L38</f>
        <v>3.1406299999999998E-2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0.15257951229200473</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42566</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42384</v>
      </c>
      <c r="Q53" s="152"/>
      <c r="R53" s="151">
        <v>42474</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42475</v>
      </c>
      <c r="Q54" s="152"/>
      <c r="R54" s="151">
        <v>42565</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42552</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279</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291064</v>
      </c>
      <c r="I64" s="155"/>
      <c r="J64" s="156">
        <v>197</v>
      </c>
      <c r="K64" s="155"/>
      <c r="L64" s="155">
        <f>3993+275</f>
        <v>4268</v>
      </c>
      <c r="M64" s="155"/>
      <c r="N64" s="155">
        <f>166+13</f>
        <v>179</v>
      </c>
      <c r="O64" s="155"/>
      <c r="P64" s="155">
        <v>0</v>
      </c>
      <c r="Q64" s="155"/>
      <c r="R64" s="156">
        <f>H64-J64-L64+N64-P64</f>
        <v>286778</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291064</v>
      </c>
      <c r="I67" s="155"/>
      <c r="J67" s="155">
        <f>J64+J65</f>
        <v>197</v>
      </c>
      <c r="K67" s="155"/>
      <c r="L67" s="155">
        <f>SUM(L64:L66)</f>
        <v>4268</v>
      </c>
      <c r="M67" s="155"/>
      <c r="N67" s="155">
        <f>SUM(N64:N66)</f>
        <v>179</v>
      </c>
      <c r="O67" s="155"/>
      <c r="P67" s="155">
        <f>SUM(P64:P66)</f>
        <v>0</v>
      </c>
      <c r="Q67" s="155"/>
      <c r="R67" s="155">
        <f>SUM(R64:R66)</f>
        <v>286778</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1500</v>
      </c>
      <c r="G78" s="155"/>
      <c r="H78" s="155">
        <v>1232</v>
      </c>
      <c r="I78" s="155"/>
      <c r="J78" s="155"/>
      <c r="K78" s="155"/>
      <c r="L78" s="155"/>
      <c r="M78" s="155"/>
      <c r="N78" s="155">
        <v>-166</v>
      </c>
      <c r="O78" s="155"/>
      <c r="P78" s="155"/>
      <c r="Q78" s="155"/>
      <c r="R78" s="155">
        <f>+H78+N78</f>
        <v>1066</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292296</v>
      </c>
      <c r="I80" s="155"/>
      <c r="J80" s="155"/>
      <c r="K80" s="155"/>
      <c r="L80" s="155"/>
      <c r="M80" s="155"/>
      <c r="N80" s="155"/>
      <c r="O80" s="155"/>
      <c r="P80" s="155"/>
      <c r="Q80" s="155"/>
      <c r="R80" s="155">
        <f>SUM(R67:R79)</f>
        <v>287844</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42551</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166</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f>-P85</f>
        <v>-166</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4465</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3140-472</f>
        <v>2668</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138</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18</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113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558</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4465</v>
      </c>
      <c r="Q97" s="113"/>
      <c r="R97" s="155">
        <f>SUM(R84:R96)</f>
        <v>3495</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4465</v>
      </c>
      <c r="Q100" s="113"/>
      <c r="R100" s="155">
        <f>R97+R98+R99</f>
        <v>3495</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247</v>
      </c>
      <c r="C104" s="113"/>
      <c r="D104" s="135"/>
      <c r="E104" s="135"/>
      <c r="F104" s="135"/>
      <c r="G104" s="135"/>
      <c r="H104" s="135"/>
      <c r="I104" s="135"/>
      <c r="J104" s="135"/>
      <c r="K104" s="135"/>
      <c r="L104" s="135"/>
      <c r="M104" s="135"/>
      <c r="N104" s="135"/>
      <c r="O104" s="135"/>
      <c r="P104" s="113"/>
      <c r="Q104" s="113"/>
      <c r="R104" s="156">
        <f>-109-4-4</f>
        <v>-117</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-271</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-328</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-770</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-83</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-110</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-109</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-27-161</f>
        <v>-188</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-1437</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-13</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-1246</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-3206</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-4465</v>
      </c>
      <c r="Q128" s="155"/>
      <c r="R128" s="155">
        <f>SUM(R101:R127)</f>
        <v>-3495</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JUNE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492.5339822499991</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7008.4660177500009</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+'March 16'!R158</f>
        <v>1232</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+N78</f>
        <v>-166</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1066</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+'March 16'!R173</f>
        <v>538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276</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113</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425</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286778</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1066</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287844</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287844</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+'March 16'!O189</f>
        <v>268</v>
      </c>
      <c r="P187" s="156">
        <f>+'March 16'!P189</f>
        <v>509</v>
      </c>
      <c r="Q187" s="113"/>
      <c r="R187" s="156">
        <f>O187+P187</f>
        <v>777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166</v>
      </c>
      <c r="P188" s="155">
        <v>13</v>
      </c>
      <c r="Q188" s="113"/>
      <c r="R188" s="156">
        <f>O188+P188</f>
        <v>179</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434</v>
      </c>
      <c r="P189" s="156">
        <f>P188+P187</f>
        <v>522</v>
      </c>
      <c r="Q189" s="113"/>
      <c r="R189" s="156">
        <f>O189+P189</f>
        <v>956</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23046.32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2.8269581056466304</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2.7</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24.168674698795179</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22.94</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17.481818181818181</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16.510000000000002</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30.389830508474578</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28.7</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JUNE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42551</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4.5878099999999998E-2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3.8120000000000001E-2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1.8516661466585805E-2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1.9603338533414196E-2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1.1957057229657607E-2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19.95</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1.5340268806860347E-2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4.3299999999999998E-2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'March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1821</v>
      </c>
      <c r="O246" s="81">
        <f>N246/$N$255</f>
        <v>1</v>
      </c>
      <c r="P246" s="82">
        <f>+P258+P270+P282</f>
        <v>286778</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1821</v>
      </c>
      <c r="O255" s="192">
        <f>SUM(O246:O254)</f>
        <v>1</v>
      </c>
      <c r="P255" s="156">
        <f>SUM(P246:P254)</f>
        <v>286778</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1821</v>
      </c>
      <c r="O258" s="81">
        <f>N258/$N$267</f>
        <v>1</v>
      </c>
      <c r="P258" s="82">
        <v>286778</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1821</v>
      </c>
      <c r="O267" s="192">
        <f>SUM(O258:O266)</f>
        <v>1</v>
      </c>
      <c r="P267" s="156">
        <f>SUM(P258:P266)</f>
        <v>286778</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1821</v>
      </c>
      <c r="O293" s="192"/>
      <c r="P293" s="197">
        <f>+P291+P279+P267</f>
        <v>286778</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1066</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287844</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287844</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5.2132470125051039E-2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PM23 INVESTOR REPORT QUARTER ENDING JUNE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300-000000000000}"/>
    <hyperlink ref="K9" r:id="rId2" xr:uid="{00000000-0004-0000-03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D2926"/>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42663</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100115.1375</v>
      </c>
      <c r="E29" s="130"/>
      <c r="F29" s="201">
        <f>F28*F35</f>
        <v>179825.85649999999</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98703.055499999988</v>
      </c>
      <c r="E30" s="202"/>
      <c r="F30" s="202">
        <f t="shared" ref="F30" si="0">F28*F34</f>
        <v>177289.48825999998</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69912.784209999998</v>
      </c>
      <c r="E32" s="201"/>
      <c r="F32" s="201">
        <f>F31*F35</f>
        <v>179825.85649999999</v>
      </c>
      <c r="G32" s="201"/>
      <c r="H32" s="201">
        <f>H31</f>
        <v>14800</v>
      </c>
      <c r="I32" s="201"/>
      <c r="J32" s="201">
        <f>J31</f>
        <v>15800</v>
      </c>
      <c r="K32" s="201"/>
      <c r="L32" s="201">
        <f>L31</f>
        <v>7505</v>
      </c>
      <c r="M32" s="126"/>
      <c r="N32" s="133"/>
      <c r="O32" s="126"/>
      <c r="P32" s="126"/>
      <c r="Q32" s="127"/>
      <c r="R32" s="126">
        <f>SUM(D32:L32)</f>
        <v>287843.64071000001</v>
      </c>
      <c r="S32" s="128"/>
      <c r="T32" s="2"/>
    </row>
    <row r="33" spans="1:20" ht="15.6" x14ac:dyDescent="0.3">
      <c r="A33" s="122"/>
      <c r="B33" s="124" t="s">
        <v>226</v>
      </c>
      <c r="C33" s="125"/>
      <c r="D33" s="237">
        <f>D31*D34</f>
        <v>68926.693728400001</v>
      </c>
      <c r="E33" s="237"/>
      <c r="F33" s="237">
        <f t="shared" ref="F33:L33" si="4">F31*F34</f>
        <v>177289.48825999998</v>
      </c>
      <c r="G33" s="237"/>
      <c r="H33" s="237">
        <f t="shared" si="4"/>
        <v>14800</v>
      </c>
      <c r="I33" s="237"/>
      <c r="J33" s="237">
        <f t="shared" si="4"/>
        <v>15800</v>
      </c>
      <c r="K33" s="237"/>
      <c r="L33" s="237">
        <f t="shared" si="4"/>
        <v>7505</v>
      </c>
      <c r="M33" s="131"/>
      <c r="N33" s="133"/>
      <c r="O33" s="126"/>
      <c r="P33" s="126"/>
      <c r="Q33" s="127"/>
      <c r="R33" s="203">
        <f>SUM(D33:L33)</f>
        <v>284321.1819884</v>
      </c>
      <c r="S33" s="128"/>
      <c r="T33" s="2"/>
    </row>
    <row r="34" spans="1:20" ht="15.6" x14ac:dyDescent="0.3">
      <c r="A34" s="112"/>
      <c r="B34" s="134" t="s">
        <v>103</v>
      </c>
      <c r="C34" s="135"/>
      <c r="D34" s="136">
        <v>0.94002909999999995</v>
      </c>
      <c r="E34" s="136"/>
      <c r="F34" s="136">
        <v>0.94002909999999995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0.95347749999999998</v>
      </c>
      <c r="E35" s="136"/>
      <c r="F35" s="136">
        <v>0.95347749999999998</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4.0499999999999998E-3</v>
      </c>
      <c r="E37" s="143"/>
      <c r="F37" s="143">
        <v>1.6275000000000001E-2</v>
      </c>
      <c r="G37" s="143"/>
      <c r="H37" s="143">
        <v>2.1774999999999999E-2</v>
      </c>
      <c r="I37" s="143"/>
      <c r="J37" s="143">
        <v>2.7275000000000001E-2</v>
      </c>
      <c r="K37" s="143"/>
      <c r="L37" s="143">
        <v>3.0775E-2</v>
      </c>
      <c r="M37" s="142"/>
      <c r="N37" s="143"/>
      <c r="O37" s="123"/>
      <c r="P37" s="123"/>
      <c r="Q37" s="115"/>
      <c r="R37" s="142"/>
      <c r="S37" s="116"/>
      <c r="T37" s="2"/>
    </row>
    <row r="38" spans="1:20" ht="15.6" x14ac:dyDescent="0.3">
      <c r="A38" s="112"/>
      <c r="B38" s="113" t="s">
        <v>10</v>
      </c>
      <c r="C38" s="144"/>
      <c r="D38" s="143">
        <v>4.5100000000000001E-3</v>
      </c>
      <c r="E38" s="143"/>
      <c r="F38" s="143">
        <v>1.68781E-2</v>
      </c>
      <c r="G38" s="143"/>
      <c r="H38" s="143">
        <v>2.2378100000000001E-2</v>
      </c>
      <c r="I38" s="143"/>
      <c r="J38" s="143">
        <v>2.7878099999999999E-2</v>
      </c>
      <c r="K38" s="143"/>
      <c r="L38" s="143">
        <v>3.1378099999999999E-2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1.789E-2</v>
      </c>
      <c r="E40" s="143"/>
      <c r="F40" s="143">
        <f>+F37</f>
        <v>1.6275000000000001E-2</v>
      </c>
      <c r="G40" s="143"/>
      <c r="H40" s="143">
        <f>+H37</f>
        <v>2.1774999999999999E-2</v>
      </c>
      <c r="I40" s="143"/>
      <c r="J40" s="143">
        <f>+J37</f>
        <v>2.7275000000000001E-2</v>
      </c>
      <c r="K40" s="143"/>
      <c r="L40" s="143">
        <f>+L37</f>
        <v>3.0775E-2</v>
      </c>
      <c r="M40" s="142"/>
      <c r="N40" s="143"/>
      <c r="O40" s="123"/>
      <c r="P40" s="123"/>
      <c r="Q40" s="115"/>
      <c r="R40" s="142">
        <f>SUMPRODUCT(D40:L40,D32:L32)/R32</f>
        <v>1.7931912222631505E-2</v>
      </c>
      <c r="S40" s="116"/>
      <c r="T40" s="2"/>
    </row>
    <row r="41" spans="1:20" ht="15.6" x14ac:dyDescent="0.3">
      <c r="A41" s="112"/>
      <c r="B41" s="113" t="s">
        <v>232</v>
      </c>
      <c r="C41" s="144"/>
      <c r="D41" s="143">
        <v>1.8493099999999998E-2</v>
      </c>
      <c r="E41" s="143"/>
      <c r="F41" s="143">
        <f>+F38</f>
        <v>1.68781E-2</v>
      </c>
      <c r="G41" s="143"/>
      <c r="H41" s="143">
        <f>+H38</f>
        <v>2.2378100000000001E-2</v>
      </c>
      <c r="I41" s="143"/>
      <c r="J41" s="143">
        <f>+J38</f>
        <v>2.7878099999999999E-2</v>
      </c>
      <c r="K41" s="143"/>
      <c r="L41" s="143">
        <f>+L38</f>
        <v>3.1378099999999999E-2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0.15476237058129366</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42660</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42475</v>
      </c>
      <c r="Q53" s="152"/>
      <c r="R53" s="151">
        <v>42565</v>
      </c>
      <c r="S53" s="116"/>
      <c r="T53" s="2"/>
    </row>
    <row r="54" spans="1:21" ht="15.6" x14ac:dyDescent="0.3">
      <c r="A54" s="112"/>
      <c r="B54" s="113" t="s">
        <v>100</v>
      </c>
      <c r="C54" s="113"/>
      <c r="D54" s="113"/>
      <c r="E54" s="113"/>
      <c r="F54" s="113"/>
      <c r="G54" s="113"/>
      <c r="H54" s="113"/>
      <c r="I54" s="113"/>
      <c r="J54" s="113"/>
      <c r="K54" s="113"/>
      <c r="L54" s="113"/>
      <c r="M54" s="113"/>
      <c r="N54" s="113">
        <f>+R54-P54+1</f>
        <v>94</v>
      </c>
      <c r="O54" s="113"/>
      <c r="P54" s="151">
        <v>42566</v>
      </c>
      <c r="Q54" s="152"/>
      <c r="R54" s="151">
        <v>42659</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42646</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280</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286778</v>
      </c>
      <c r="I64" s="155"/>
      <c r="J64" s="156">
        <v>197</v>
      </c>
      <c r="K64" s="155"/>
      <c r="L64" s="155">
        <f>3013+335+1</f>
        <v>3349</v>
      </c>
      <c r="M64" s="155"/>
      <c r="N64" s="155">
        <f>193+23</f>
        <v>216</v>
      </c>
      <c r="O64" s="155"/>
      <c r="P64" s="155">
        <v>0</v>
      </c>
      <c r="Q64" s="155"/>
      <c r="R64" s="156">
        <f>H64-J64-L64+N64-P64</f>
        <v>283448</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286778</v>
      </c>
      <c r="I67" s="155"/>
      <c r="J67" s="155">
        <f>J64+J65</f>
        <v>197</v>
      </c>
      <c r="K67" s="155"/>
      <c r="L67" s="155">
        <f>SUM(L64:L66)</f>
        <v>3349</v>
      </c>
      <c r="M67" s="155"/>
      <c r="N67" s="155">
        <f>SUM(N64:N66)</f>
        <v>216</v>
      </c>
      <c r="O67" s="155"/>
      <c r="P67" s="155">
        <f>SUM(P64:P66)</f>
        <v>0</v>
      </c>
      <c r="Q67" s="155"/>
      <c r="R67" s="155">
        <f>SUM(R64:R66)</f>
        <v>283448</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1500</v>
      </c>
      <c r="G78" s="155"/>
      <c r="H78" s="155">
        <v>1066</v>
      </c>
      <c r="I78" s="155"/>
      <c r="J78" s="155"/>
      <c r="K78" s="155"/>
      <c r="L78" s="155"/>
      <c r="M78" s="155"/>
      <c r="N78" s="155">
        <v>-193</v>
      </c>
      <c r="O78" s="155"/>
      <c r="P78" s="155"/>
      <c r="Q78" s="155"/>
      <c r="R78" s="155">
        <f>+H78+N78</f>
        <v>873</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287844</v>
      </c>
      <c r="I80" s="155"/>
      <c r="J80" s="155"/>
      <c r="K80" s="155"/>
      <c r="L80" s="155"/>
      <c r="M80" s="155"/>
      <c r="N80" s="155"/>
      <c r="O80" s="155"/>
      <c r="P80" s="155"/>
      <c r="Q80" s="155"/>
      <c r="R80" s="155">
        <f>SUM(R67:R79)</f>
        <v>284321</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42643</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193</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f>-P85</f>
        <v>-193</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3546</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3270-532</f>
        <v>2738</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73</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14</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112</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636</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3546</v>
      </c>
      <c r="Q97" s="113"/>
      <c r="R97" s="155">
        <f>SUM(R84:R96)</f>
        <v>3573</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3546</v>
      </c>
      <c r="Q100" s="113"/>
      <c r="R100" s="155">
        <f>R97+R98+R99</f>
        <v>3573</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247</v>
      </c>
      <c r="C104" s="113"/>
      <c r="D104" s="135"/>
      <c r="E104" s="135"/>
      <c r="F104" s="135"/>
      <c r="G104" s="135"/>
      <c r="H104" s="135"/>
      <c r="I104" s="135"/>
      <c r="J104" s="135"/>
      <c r="K104" s="135"/>
      <c r="L104" s="135"/>
      <c r="M104" s="135"/>
      <c r="N104" s="135"/>
      <c r="O104" s="135"/>
      <c r="P104" s="113"/>
      <c r="Q104" s="113"/>
      <c r="R104" s="156">
        <f>-109-3-4</f>
        <v>-116</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-321</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-322</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-754</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-83</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-111</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-108</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-25-160</f>
        <v>-185</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-1491</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-23</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-986</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-2537</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-3546</v>
      </c>
      <c r="Q128" s="155"/>
      <c r="R128" s="155">
        <f>SUM(R101:R127)</f>
        <v>-3573</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SEPTEMBER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580.59545028999946</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6920.4045497100005</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+'June 16'!R158</f>
        <v>1066</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+N78</f>
        <v>-193</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873</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+'June 16'!R173</f>
        <v>425</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276</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112</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313</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283448</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873</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284321</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284321</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+'June 16'!O189</f>
        <v>434</v>
      </c>
      <c r="P187" s="156">
        <f>+'June 16'!P189</f>
        <v>522</v>
      </c>
      <c r="Q187" s="113"/>
      <c r="R187" s="156">
        <f>O187+P187</f>
        <v>956</v>
      </c>
      <c r="S187" s="116"/>
      <c r="T187" s="2"/>
    </row>
    <row r="188" spans="1:20" ht="15.6" x14ac:dyDescent="0.3">
      <c r="A188" s="112"/>
      <c r="B188" s="113" t="s">
        <v>49</v>
      </c>
      <c r="C188" s="113"/>
      <c r="D188" s="113"/>
      <c r="E188" s="113"/>
      <c r="F188" s="113"/>
      <c r="G188" s="113"/>
      <c r="H188" s="113"/>
      <c r="I188" s="113"/>
      <c r="J188" s="113"/>
      <c r="K188" s="113"/>
      <c r="L188" s="113"/>
      <c r="M188" s="113"/>
      <c r="N188" s="113"/>
      <c r="O188" s="155">
        <v>193</v>
      </c>
      <c r="P188" s="155">
        <v>23</v>
      </c>
      <c r="Q188" s="113"/>
      <c r="R188" s="156">
        <f>O188+P188</f>
        <v>216</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627</v>
      </c>
      <c r="P189" s="156">
        <f>P188+P187</f>
        <v>545</v>
      </c>
      <c r="Q189" s="113"/>
      <c r="R189" s="156">
        <f>O189+P189</f>
        <v>1172</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22830.32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2.9117100371747213</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2.74</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24.783132530120483</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23.32</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17.783783783783782</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16.77</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31.237288135593221</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29.22</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SEPTEMBER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42643</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4.5275000000000003E-2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3.8120000000000001E-2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1.7931912222631505E-2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2.0188087777368496E-2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1.2412973694084296E-2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19.71</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1.2364965234432208E-2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4.4400000000000002E-2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'June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1798</v>
      </c>
      <c r="O246" s="81">
        <f>N246/$N$255</f>
        <v>1</v>
      </c>
      <c r="P246" s="82">
        <f>+P258+P270+P282</f>
        <v>283448</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1798</v>
      </c>
      <c r="O255" s="192">
        <f>SUM(O246:O254)</f>
        <v>1</v>
      </c>
      <c r="P255" s="156">
        <f>SUM(P246:P254)</f>
        <v>283448</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1798</v>
      </c>
      <c r="O258" s="81">
        <f>N258/$N$267</f>
        <v>1</v>
      </c>
      <c r="P258" s="82">
        <v>283448</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1798</v>
      </c>
      <c r="O267" s="192">
        <f>SUM(O258:O266)</f>
        <v>1</v>
      </c>
      <c r="P267" s="156">
        <f>SUM(P258:P266)</f>
        <v>283448</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1798</v>
      </c>
      <c r="O293" s="192"/>
      <c r="P293" s="197">
        <f>+P291+P279+P267</f>
        <v>283448</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873</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284321</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284321</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5.2778339957141249E-2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PM23 INVESTOR REPORT QUARTER ENDING SEPTEMBER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400-000000000000}"/>
    <hyperlink ref="K9" r:id="rId2" xr:uid="{00000000-0004-0000-04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9CB31"/>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42758</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98703.055499999988</v>
      </c>
      <c r="E29" s="130"/>
      <c r="F29" s="201">
        <f>F28*F35</f>
        <v>177289.48825999998</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96500.3655</v>
      </c>
      <c r="E30" s="202"/>
      <c r="F30" s="202">
        <f t="shared" ref="F30" si="0">F28*F34</f>
        <v>173333.03745999999</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68926.693728400001</v>
      </c>
      <c r="E32" s="201"/>
      <c r="F32" s="201">
        <f>F31*F35</f>
        <v>177289.48825999998</v>
      </c>
      <c r="G32" s="201"/>
      <c r="H32" s="201">
        <f>H31</f>
        <v>14800</v>
      </c>
      <c r="I32" s="201"/>
      <c r="J32" s="201">
        <f>J31</f>
        <v>15800</v>
      </c>
      <c r="K32" s="201"/>
      <c r="L32" s="201">
        <f>L31</f>
        <v>7505</v>
      </c>
      <c r="M32" s="126"/>
      <c r="N32" s="133"/>
      <c r="O32" s="126"/>
      <c r="P32" s="126"/>
      <c r="Q32" s="127"/>
      <c r="R32" s="126">
        <f>SUM(D32:L32)</f>
        <v>284321.1819884</v>
      </c>
      <c r="S32" s="128"/>
      <c r="T32" s="2"/>
    </row>
    <row r="33" spans="1:20" ht="15.6" x14ac:dyDescent="0.3">
      <c r="A33" s="122"/>
      <c r="B33" s="124" t="s">
        <v>226</v>
      </c>
      <c r="C33" s="125"/>
      <c r="D33" s="237">
        <f>D31*D34</f>
        <v>67388.502856399995</v>
      </c>
      <c r="E33" s="237"/>
      <c r="F33" s="237">
        <f t="shared" ref="F33:L33" si="4">F31*F34</f>
        <v>173333.03745999999</v>
      </c>
      <c r="G33" s="237"/>
      <c r="H33" s="237">
        <f t="shared" si="4"/>
        <v>14800</v>
      </c>
      <c r="I33" s="237"/>
      <c r="J33" s="237">
        <f t="shared" si="4"/>
        <v>15800</v>
      </c>
      <c r="K33" s="237"/>
      <c r="L33" s="237">
        <f t="shared" si="4"/>
        <v>7505</v>
      </c>
      <c r="M33" s="131"/>
      <c r="N33" s="133"/>
      <c r="O33" s="126"/>
      <c r="P33" s="126"/>
      <c r="Q33" s="127"/>
      <c r="R33" s="203">
        <f>SUM(D33:L33)</f>
        <v>278826.5403164</v>
      </c>
      <c r="S33" s="128"/>
      <c r="T33" s="2"/>
    </row>
    <row r="34" spans="1:20" ht="15.6" x14ac:dyDescent="0.3">
      <c r="A34" s="112"/>
      <c r="B34" s="134" t="s">
        <v>103</v>
      </c>
      <c r="C34" s="135"/>
      <c r="D34" s="136">
        <v>0.91905110000000001</v>
      </c>
      <c r="E34" s="136"/>
      <c r="F34" s="136">
        <v>0.91905110000000001</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0.94002909999999995</v>
      </c>
      <c r="E35" s="136"/>
      <c r="F35" s="136">
        <v>0.94002909999999995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3.8899999999999998E-3</v>
      </c>
      <c r="E37" s="143"/>
      <c r="F37" s="143">
        <v>1.5010000000000001E-2</v>
      </c>
      <c r="G37" s="143"/>
      <c r="H37" s="143">
        <v>2.051E-2</v>
      </c>
      <c r="I37" s="143"/>
      <c r="J37" s="143">
        <v>2.6009999999999998E-2</v>
      </c>
      <c r="K37" s="143"/>
      <c r="L37" s="143">
        <v>2.9510000000000002E-2</v>
      </c>
      <c r="M37" s="142"/>
      <c r="N37" s="143"/>
      <c r="O37" s="123"/>
      <c r="P37" s="123"/>
      <c r="Q37" s="115"/>
      <c r="R37" s="142"/>
      <c r="S37" s="116"/>
      <c r="T37" s="2"/>
    </row>
    <row r="38" spans="1:20" ht="15.6" x14ac:dyDescent="0.3">
      <c r="A38" s="112"/>
      <c r="B38" s="113" t="s">
        <v>10</v>
      </c>
      <c r="C38" s="144"/>
      <c r="D38" s="143">
        <v>4.0499999999999998E-3</v>
      </c>
      <c r="E38" s="143"/>
      <c r="F38" s="143">
        <v>1.6275000000000001E-2</v>
      </c>
      <c r="G38" s="143"/>
      <c r="H38" s="143">
        <v>2.1774999999999999E-2</v>
      </c>
      <c r="I38" s="143"/>
      <c r="J38" s="143">
        <v>2.7275000000000001E-2</v>
      </c>
      <c r="K38" s="143"/>
      <c r="L38" s="143">
        <v>3.0775E-2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1.6625000000000001E-2</v>
      </c>
      <c r="E40" s="143"/>
      <c r="F40" s="143">
        <f>+F37</f>
        <v>1.5010000000000001E-2</v>
      </c>
      <c r="G40" s="143"/>
      <c r="H40" s="143">
        <f>+H37</f>
        <v>2.051E-2</v>
      </c>
      <c r="I40" s="143"/>
      <c r="J40" s="143">
        <f>+J37</f>
        <v>2.6009999999999998E-2</v>
      </c>
      <c r="K40" s="143"/>
      <c r="L40" s="143">
        <f>+L37</f>
        <v>2.9510000000000002E-2</v>
      </c>
      <c r="M40" s="142"/>
      <c r="N40" s="143"/>
      <c r="O40" s="123"/>
      <c r="P40" s="123"/>
      <c r="Q40" s="115"/>
      <c r="R40" s="142">
        <f>SUMPRODUCT(D40:L40,D32:L32)/R32</f>
        <v>1.6681838542056845E-2</v>
      </c>
      <c r="S40" s="116"/>
      <c r="T40" s="2"/>
    </row>
    <row r="41" spans="1:20" ht="15.6" x14ac:dyDescent="0.3">
      <c r="A41" s="112"/>
      <c r="B41" s="113" t="s">
        <v>232</v>
      </c>
      <c r="C41" s="144"/>
      <c r="D41" s="143">
        <v>1.789E-2</v>
      </c>
      <c r="E41" s="143"/>
      <c r="F41" s="143">
        <f>+F38</f>
        <v>1.6275000000000001E-2</v>
      </c>
      <c r="G41" s="143"/>
      <c r="H41" s="143">
        <f>+H38</f>
        <v>2.1774999999999999E-2</v>
      </c>
      <c r="I41" s="143"/>
      <c r="J41" s="143">
        <f>+J38</f>
        <v>2.7275000000000001E-2</v>
      </c>
      <c r="K41" s="143"/>
      <c r="L41" s="143">
        <f>+L38</f>
        <v>3.0775E-2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0.15829493260102723</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42751</v>
      </c>
      <c r="S52" s="116"/>
      <c r="T52" s="2"/>
    </row>
    <row r="53" spans="1:21" ht="15.6" x14ac:dyDescent="0.3">
      <c r="A53" s="112"/>
      <c r="B53" s="113" t="s">
        <v>99</v>
      </c>
      <c r="C53" s="113"/>
      <c r="D53" s="150"/>
      <c r="E53" s="150"/>
      <c r="F53" s="150"/>
      <c r="G53" s="150"/>
      <c r="H53" s="150"/>
      <c r="I53" s="150"/>
      <c r="J53" s="150"/>
      <c r="K53" s="150"/>
      <c r="L53" s="150"/>
      <c r="M53" s="150"/>
      <c r="N53" s="113">
        <f>+R53-P53+1</f>
        <v>94</v>
      </c>
      <c r="O53" s="113"/>
      <c r="P53" s="151">
        <v>42566</v>
      </c>
      <c r="Q53" s="152"/>
      <c r="R53" s="151">
        <v>42659</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42660</v>
      </c>
      <c r="Q54" s="152"/>
      <c r="R54" s="151">
        <v>42750</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42738</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282</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283448</v>
      </c>
      <c r="I64" s="155"/>
      <c r="J64" s="156">
        <v>199</v>
      </c>
      <c r="K64" s="155"/>
      <c r="L64" s="155">
        <f>4499+259-1</f>
        <v>4757</v>
      </c>
      <c r="M64" s="155"/>
      <c r="N64" s="155">
        <f>323+12</f>
        <v>335</v>
      </c>
      <c r="O64" s="155"/>
      <c r="P64" s="155">
        <v>0</v>
      </c>
      <c r="Q64" s="155"/>
      <c r="R64" s="156">
        <f>H64-J64-L64+N64-P64</f>
        <v>278827</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283448</v>
      </c>
      <c r="I67" s="155"/>
      <c r="J67" s="155">
        <f>J64+J65</f>
        <v>199</v>
      </c>
      <c r="K67" s="155"/>
      <c r="L67" s="155">
        <f>SUM(L64:L66)</f>
        <v>4757</v>
      </c>
      <c r="M67" s="155"/>
      <c r="N67" s="155">
        <f>SUM(N64:N66)</f>
        <v>335</v>
      </c>
      <c r="O67" s="155"/>
      <c r="P67" s="155">
        <f>SUM(P64:P66)</f>
        <v>0</v>
      </c>
      <c r="Q67" s="155"/>
      <c r="R67" s="155">
        <f>SUM(R64:R66)</f>
        <v>278827</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1500</v>
      </c>
      <c r="G78" s="155"/>
      <c r="H78" s="155">
        <v>873</v>
      </c>
      <c r="I78" s="155"/>
      <c r="J78" s="155"/>
      <c r="K78" s="155"/>
      <c r="L78" s="155"/>
      <c r="M78" s="155"/>
      <c r="N78" s="155">
        <v>-873</v>
      </c>
      <c r="O78" s="155"/>
      <c r="P78" s="155"/>
      <c r="Q78" s="155"/>
      <c r="R78" s="155">
        <f>+H78+N78</f>
        <v>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284321</v>
      </c>
      <c r="I80" s="155"/>
      <c r="J80" s="155"/>
      <c r="K80" s="155"/>
      <c r="L80" s="155"/>
      <c r="M80" s="155"/>
      <c r="N80" s="155"/>
      <c r="O80" s="155"/>
      <c r="P80" s="155"/>
      <c r="Q80" s="155"/>
      <c r="R80" s="155">
        <f>SUM(R67:R79)</f>
        <v>278827</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42734</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873</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v>-323</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4956</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3138-459</f>
        <v>2679</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132</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12</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108</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569</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5506</v>
      </c>
      <c r="Q97" s="113"/>
      <c r="R97" s="155">
        <f>SUM(R84:R96)</f>
        <v>3500</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5506</v>
      </c>
      <c r="Q100" s="113"/>
      <c r="R100" s="155">
        <f>R97+R98+R99</f>
        <v>3500</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284</v>
      </c>
      <c r="C104" s="113"/>
      <c r="D104" s="135"/>
      <c r="E104" s="135"/>
      <c r="F104" s="135"/>
      <c r="G104" s="135"/>
      <c r="H104" s="135"/>
      <c r="I104" s="135"/>
      <c r="J104" s="135"/>
      <c r="K104" s="135"/>
      <c r="L104" s="135"/>
      <c r="M104" s="135"/>
      <c r="N104" s="135"/>
      <c r="O104" s="135"/>
      <c r="P104" s="113"/>
      <c r="Q104" s="113"/>
      <c r="R104" s="156">
        <f>-107-2-4</f>
        <v>-113</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-391</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-286</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-663</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-76</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-102</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-55</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-107</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-22-160</f>
        <v>-182</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-1502</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-12</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-1538</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-3956</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-5506</v>
      </c>
      <c r="Q128" s="155"/>
      <c r="R128" s="155">
        <f>SUM(R101:R127)</f>
        <v>-3500</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DECEMBER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717.96149208999941</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6783.0385079100006</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+'Sept 16'!R158</f>
        <v>873</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+P86</f>
        <v>-323</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-550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+'Sept 16'!R173</f>
        <v>313</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276</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108</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205</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278827</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278827</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278827</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+'Sept 16'!O189</f>
        <v>627</v>
      </c>
      <c r="P187" s="156">
        <f>+'Sept 16'!P189</f>
        <v>545</v>
      </c>
      <c r="Q187" s="113"/>
      <c r="R187" s="156">
        <f>O187+P187</f>
        <v>1172</v>
      </c>
      <c r="S187" s="116"/>
      <c r="T187" s="2"/>
    </row>
    <row r="188" spans="1:20" ht="15.6" x14ac:dyDescent="0.3">
      <c r="A188" s="112"/>
      <c r="B188" s="113" t="s">
        <v>49</v>
      </c>
      <c r="C188" s="113"/>
      <c r="D188" s="113"/>
      <c r="E188" s="113"/>
      <c r="F188" s="113"/>
      <c r="G188" s="113"/>
      <c r="H188" s="113"/>
      <c r="I188" s="113"/>
      <c r="J188" s="113"/>
      <c r="K188" s="113"/>
      <c r="L188" s="113"/>
      <c r="M188" s="113"/>
      <c r="N188" s="113"/>
      <c r="O188" s="155">
        <v>323</v>
      </c>
      <c r="P188" s="155">
        <v>12</v>
      </c>
      <c r="Q188" s="113"/>
      <c r="R188" s="156">
        <f>O188+P188</f>
        <v>335</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950</v>
      </c>
      <c r="P189" s="156">
        <f>P188+P187</f>
        <v>557</v>
      </c>
      <c r="Q189" s="113"/>
      <c r="R189" s="156">
        <f>O189+P189</f>
        <v>1507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22495.32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3.1538461538461537</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2.8</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26.894736842105264</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23.88</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19.294117647058822</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17.170000000000002</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33.563636363636363</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29.91</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DECEMBER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42734</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4.4010000000000001E-2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3.798E-2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1.6681838542056845E-2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2.1298161457943155E-2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1.2310029860615291E-2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19.43</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1.7484688549575231E-2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4.8399999999999999E-2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'Sept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1772</v>
      </c>
      <c r="O246" s="81">
        <f>N246/$N$255</f>
        <v>1</v>
      </c>
      <c r="P246" s="82">
        <f>+P258+P270+P282</f>
        <v>278827</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1772</v>
      </c>
      <c r="O255" s="192">
        <f>SUM(O246:O254)</f>
        <v>1</v>
      </c>
      <c r="P255" s="156">
        <f>SUM(P246:P254)</f>
        <v>278827</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1772</v>
      </c>
      <c r="O258" s="81">
        <f>N258/$N$267</f>
        <v>1</v>
      </c>
      <c r="P258" s="82">
        <v>278827</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1772</v>
      </c>
      <c r="O267" s="192">
        <f>SUM(O258:O266)</f>
        <v>1</v>
      </c>
      <c r="P267" s="156">
        <f>SUM(P258:P266)</f>
        <v>278827</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1772</v>
      </c>
      <c r="O293" s="192"/>
      <c r="P293" s="197">
        <f>+P291+P279+P267</f>
        <v>278827</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278827</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278827</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5.3818406178163157E-2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PM23 INVESTOR REPORT QUARTER ENDING DECEMBER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500-000000000000}"/>
    <hyperlink ref="K9" r:id="rId2" xr:uid="{00000000-0004-0000-05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D2926"/>
  </sheetPr>
  <dimension ref="A1:IR307"/>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42845</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96500.3655</v>
      </c>
      <c r="E29" s="130"/>
      <c r="F29" s="201">
        <f>F28*F35</f>
        <v>173333.03745999999</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93505.544999999998</v>
      </c>
      <c r="E30" s="202"/>
      <c r="F30" s="202">
        <f t="shared" ref="F30" si="0">F28*F34</f>
        <v>167953.76939999999</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67388.502856399995</v>
      </c>
      <c r="E32" s="201"/>
      <c r="F32" s="201">
        <f>F31*F35</f>
        <v>173333.03745999999</v>
      </c>
      <c r="G32" s="201"/>
      <c r="H32" s="201">
        <f>H31</f>
        <v>14800</v>
      </c>
      <c r="I32" s="201"/>
      <c r="J32" s="201">
        <f>J31</f>
        <v>15800</v>
      </c>
      <c r="K32" s="201"/>
      <c r="L32" s="201">
        <f>L31</f>
        <v>7505</v>
      </c>
      <c r="M32" s="126"/>
      <c r="N32" s="133"/>
      <c r="O32" s="126"/>
      <c r="P32" s="126"/>
      <c r="Q32" s="127"/>
      <c r="R32" s="126">
        <f>SUM(D32:L32)</f>
        <v>278826.5403164</v>
      </c>
      <c r="S32" s="128"/>
      <c r="T32" s="2"/>
    </row>
    <row r="33" spans="1:20" ht="15.6" x14ac:dyDescent="0.3">
      <c r="A33" s="122"/>
      <c r="B33" s="124" t="s">
        <v>226</v>
      </c>
      <c r="C33" s="125"/>
      <c r="D33" s="237">
        <f>D31*D34</f>
        <v>65297.148396000004</v>
      </c>
      <c r="E33" s="237"/>
      <c r="F33" s="237">
        <f t="shared" ref="F33:L33" si="4">F31*F34</f>
        <v>167953.76939999999</v>
      </c>
      <c r="G33" s="237"/>
      <c r="H33" s="237">
        <f t="shared" si="4"/>
        <v>14800</v>
      </c>
      <c r="I33" s="237"/>
      <c r="J33" s="237">
        <f t="shared" si="4"/>
        <v>15800</v>
      </c>
      <c r="K33" s="237"/>
      <c r="L33" s="237">
        <f t="shared" si="4"/>
        <v>7505</v>
      </c>
      <c r="M33" s="131"/>
      <c r="N33" s="133"/>
      <c r="O33" s="126"/>
      <c r="P33" s="126"/>
      <c r="Q33" s="127"/>
      <c r="R33" s="203">
        <f>SUM(D33:L33)</f>
        <v>271355.91779600002</v>
      </c>
      <c r="S33" s="128"/>
      <c r="T33" s="2"/>
    </row>
    <row r="34" spans="1:20" ht="15.6" x14ac:dyDescent="0.3">
      <c r="A34" s="112"/>
      <c r="B34" s="134" t="s">
        <v>103</v>
      </c>
      <c r="C34" s="135"/>
      <c r="D34" s="136">
        <v>0.89052900000000002</v>
      </c>
      <c r="E34" s="136"/>
      <c r="F34" s="136">
        <v>0.89052900000000002</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0.91905110000000001</v>
      </c>
      <c r="E35" s="136"/>
      <c r="F35" s="136">
        <v>0.91905110000000001</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3.7299999999999998E-3</v>
      </c>
      <c r="E37" s="143"/>
      <c r="F37" s="143">
        <v>1.4566300000000001E-2</v>
      </c>
      <c r="G37" s="143"/>
      <c r="H37" s="143">
        <v>2.0066299999999999E-2</v>
      </c>
      <c r="I37" s="143"/>
      <c r="J37" s="143">
        <v>2.55663E-2</v>
      </c>
      <c r="K37" s="143"/>
      <c r="L37" s="143">
        <v>2.90663E-2</v>
      </c>
      <c r="M37" s="142"/>
      <c r="N37" s="143"/>
      <c r="O37" s="123"/>
      <c r="P37" s="123"/>
      <c r="Q37" s="115"/>
      <c r="R37" s="142"/>
      <c r="S37" s="116"/>
      <c r="T37" s="2"/>
    </row>
    <row r="38" spans="1:20" ht="15.6" x14ac:dyDescent="0.3">
      <c r="A38" s="112"/>
      <c r="B38" s="113" t="s">
        <v>10</v>
      </c>
      <c r="C38" s="144"/>
      <c r="D38" s="143">
        <v>3.8899999999999998E-3</v>
      </c>
      <c r="E38" s="143"/>
      <c r="F38" s="143">
        <v>1.5010000000000001E-2</v>
      </c>
      <c r="G38" s="143"/>
      <c r="H38" s="143">
        <v>2.051E-2</v>
      </c>
      <c r="I38" s="143"/>
      <c r="J38" s="143">
        <v>2.6009999999999998E-2</v>
      </c>
      <c r="K38" s="143"/>
      <c r="L38" s="143">
        <v>2.9510000000000002E-2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1.6181299999999999E-2</v>
      </c>
      <c r="E40" s="143"/>
      <c r="F40" s="143">
        <f>+F37</f>
        <v>1.4566300000000001E-2</v>
      </c>
      <c r="G40" s="143"/>
      <c r="H40" s="143">
        <f>+H37</f>
        <v>2.0066299999999999E-2</v>
      </c>
      <c r="I40" s="143"/>
      <c r="J40" s="143">
        <f>+J37</f>
        <v>2.55663E-2</v>
      </c>
      <c r="K40" s="143"/>
      <c r="L40" s="143">
        <f>+L37</f>
        <v>2.90663E-2</v>
      </c>
      <c r="M40" s="142"/>
      <c r="N40" s="143"/>
      <c r="O40" s="123"/>
      <c r="P40" s="123"/>
      <c r="Q40" s="115"/>
      <c r="R40" s="142">
        <f>SUMPRODUCT(D40:L40,D32:L32)/R32</f>
        <v>1.6262174903359312E-2</v>
      </c>
      <c r="S40" s="116"/>
      <c r="T40" s="2"/>
    </row>
    <row r="41" spans="1:20" ht="15.6" x14ac:dyDescent="0.3">
      <c r="A41" s="112"/>
      <c r="B41" s="113" t="s">
        <v>232</v>
      </c>
      <c r="C41" s="144"/>
      <c r="D41" s="143">
        <v>1.6625000000000001E-2</v>
      </c>
      <c r="E41" s="143"/>
      <c r="F41" s="143">
        <f>+F38</f>
        <v>1.5010000000000001E-2</v>
      </c>
      <c r="G41" s="143"/>
      <c r="H41" s="143">
        <f>+H38</f>
        <v>2.051E-2</v>
      </c>
      <c r="I41" s="143"/>
      <c r="J41" s="143">
        <f>+J38</f>
        <v>2.6009999999999998E-2</v>
      </c>
      <c r="K41" s="143"/>
      <c r="L41" s="143">
        <f>+L38</f>
        <v>2.9510000000000002E-2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0.16336484486344627</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42843</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42660</v>
      </c>
      <c r="Q53" s="152"/>
      <c r="R53" s="151">
        <v>42750</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42751</v>
      </c>
      <c r="Q54" s="152"/>
      <c r="R54" s="151">
        <v>42842</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42828</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285</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278827</v>
      </c>
      <c r="I64" s="155"/>
      <c r="J64" s="156">
        <v>196</v>
      </c>
      <c r="K64" s="155"/>
      <c r="L64" s="155">
        <v>7275</v>
      </c>
      <c r="M64" s="155"/>
      <c r="N64" s="155">
        <v>0</v>
      </c>
      <c r="O64" s="155"/>
      <c r="P64" s="155">
        <v>0</v>
      </c>
      <c r="Q64" s="155"/>
      <c r="R64" s="156">
        <f>H64-J64-L64+N64-P64</f>
        <v>271356</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281184</v>
      </c>
      <c r="G67" s="155"/>
      <c r="H67" s="155">
        <f>H64+H65</f>
        <v>278827</v>
      </c>
      <c r="I67" s="155"/>
      <c r="J67" s="155">
        <f>J64+J65</f>
        <v>196</v>
      </c>
      <c r="K67" s="155"/>
      <c r="L67" s="155">
        <f>SUM(L64:L66)</f>
        <v>7275</v>
      </c>
      <c r="M67" s="155"/>
      <c r="N67" s="155">
        <f>SUM(N64:N66)</f>
        <v>0</v>
      </c>
      <c r="O67" s="155"/>
      <c r="P67" s="155">
        <f>SUM(P64:P66)</f>
        <v>0</v>
      </c>
      <c r="Q67" s="155"/>
      <c r="R67" s="155">
        <f>SUM(R64:R66)</f>
        <v>271356</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1500</v>
      </c>
      <c r="G78" s="155"/>
      <c r="H78" s="155">
        <v>0</v>
      </c>
      <c r="I78" s="155"/>
      <c r="J78" s="155"/>
      <c r="K78" s="155"/>
      <c r="L78" s="155"/>
      <c r="M78" s="155"/>
      <c r="N78" s="155">
        <v>0</v>
      </c>
      <c r="O78" s="155"/>
      <c r="P78" s="155"/>
      <c r="Q78" s="155"/>
      <c r="R78" s="155">
        <f>+H78+N78</f>
        <v>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300029</v>
      </c>
      <c r="G80" s="155"/>
      <c r="H80" s="155">
        <f>SUM(H67:H79)</f>
        <v>278827</v>
      </c>
      <c r="I80" s="155"/>
      <c r="J80" s="155"/>
      <c r="K80" s="155"/>
      <c r="L80" s="155"/>
      <c r="M80" s="155"/>
      <c r="N80" s="155"/>
      <c r="O80" s="155"/>
      <c r="P80" s="155"/>
      <c r="Q80" s="155"/>
      <c r="R80" s="155">
        <f>SUM(R67:R79)</f>
        <v>271356</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42825</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0</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7471</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3395-736</f>
        <v>2659</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66</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10</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56</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628</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7471</v>
      </c>
      <c r="Q97" s="113"/>
      <c r="R97" s="155">
        <f>SUM(R84:R96)</f>
        <v>3419</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7471</v>
      </c>
      <c r="Q100" s="113"/>
      <c r="R100" s="155">
        <f>R97+R98+R99</f>
        <v>3419</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284</v>
      </c>
      <c r="C104" s="113"/>
      <c r="D104" s="135"/>
      <c r="E104" s="135"/>
      <c r="F104" s="135"/>
      <c r="G104" s="135"/>
      <c r="H104" s="135"/>
      <c r="I104" s="135"/>
      <c r="J104" s="135"/>
      <c r="K104" s="135"/>
      <c r="L104" s="135"/>
      <c r="M104" s="135"/>
      <c r="N104" s="135"/>
      <c r="O104" s="135"/>
      <c r="P104" s="113"/>
      <c r="Q104" s="113"/>
      <c r="R104" s="156">
        <f>-103-3-3</f>
        <v>-109</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-401</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-275</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-636</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-75</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-102</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-55</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-103</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-20-160</f>
        <v>-180</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-1460</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0</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-2091</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-5380</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-7471</v>
      </c>
      <c r="Q128" s="155"/>
      <c r="R128" s="155">
        <f>SUM(R101:R127)</f>
        <v>-3419</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MARCH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904.72705509999923</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6596.2729449000008</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+'Dec 16'!R158</f>
        <v>0</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+'Dec 16'!R173</f>
        <v>205</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286</v>
      </c>
      <c r="C171" s="113"/>
      <c r="D171" s="113"/>
      <c r="E171" s="113"/>
      <c r="F171" s="113"/>
      <c r="G171" s="113"/>
      <c r="H171" s="113"/>
      <c r="I171" s="113"/>
      <c r="J171" s="113"/>
      <c r="K171" s="113"/>
      <c r="L171" s="113"/>
      <c r="M171" s="113"/>
      <c r="N171" s="113"/>
      <c r="O171" s="113"/>
      <c r="P171" s="113"/>
      <c r="Q171" s="113"/>
      <c r="R171" s="156">
        <v>229</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56</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378</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271356</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271356</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271356</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+'Dec 16'!O189</f>
        <v>950</v>
      </c>
      <c r="P187" s="156">
        <f>+'Dec 16'!P189</f>
        <v>557</v>
      </c>
      <c r="Q187" s="113"/>
      <c r="R187" s="156">
        <f>O187+P187</f>
        <v>1507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0</v>
      </c>
      <c r="P188" s="155">
        <v>0</v>
      </c>
      <c r="Q188" s="113"/>
      <c r="R188" s="156">
        <f>O188+P188</f>
        <v>0</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950</v>
      </c>
      <c r="P189" s="156">
        <f>P188+P187</f>
        <v>557</v>
      </c>
      <c r="Q189" s="113"/>
      <c r="R189" s="156">
        <f>O189+P189</f>
        <v>1507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22495.32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3.1899012074643247</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2.85</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26.6</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24.24</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18.823529411764707</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17.39</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32.690909090909088</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30.29</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MARCH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42825</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4.3566300000000002E-2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3.8460000000000001E-2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1.6262174903359312E-2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2.2197825096640689E-2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1.2262083657608482E-2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19.2</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2.6794392221700193E-2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5.6500000000000002E-2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'Dec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1729</v>
      </c>
      <c r="O246" s="81">
        <f>N246/$N$255</f>
        <v>1</v>
      </c>
      <c r="P246" s="82">
        <f>+P258+P270+P282</f>
        <v>271356</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1729</v>
      </c>
      <c r="O255" s="192">
        <f>SUM(O246:O254)</f>
        <v>1</v>
      </c>
      <c r="P255" s="156">
        <f>SUM(P246:P254)</f>
        <v>271356</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1729</v>
      </c>
      <c r="O258" s="81">
        <f>N258/$N$267</f>
        <v>1</v>
      </c>
      <c r="P258" s="82">
        <v>271356</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1729</v>
      </c>
      <c r="O267" s="192">
        <f>SUM(O258:O266)</f>
        <v>1</v>
      </c>
      <c r="P267" s="156">
        <f>SUM(P258:P266)</f>
        <v>271356</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1729</v>
      </c>
      <c r="O293" s="192"/>
      <c r="P293" s="197">
        <f>+P291+P279+P267</f>
        <v>271356</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271356</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271356</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5.5300065397067229E-2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PM23 INVESTOR REPORT QUARTER ENDING MARCH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xr:uid="{00000000-0004-0000-0600-000000000000}"/>
    <hyperlink ref="K9" r:id="rId2" xr:uid="{00000000-0004-0000-06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9CB31"/>
  </sheetPr>
  <dimension ref="A1:IR307"/>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257</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258</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259</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42208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42934</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227</v>
      </c>
      <c r="E22" s="55"/>
      <c r="F22" s="55" t="s">
        <v>228</v>
      </c>
      <c r="G22" s="55"/>
      <c r="H22" s="55" t="s">
        <v>179</v>
      </c>
      <c r="I22" s="55"/>
      <c r="J22" s="55" t="s">
        <v>180</v>
      </c>
      <c r="K22" s="55"/>
      <c r="L22" s="55" t="s">
        <v>229</v>
      </c>
      <c r="M22" s="55"/>
      <c r="N22" s="55"/>
      <c r="O22" s="56"/>
      <c r="P22" s="57"/>
      <c r="Q22" s="58"/>
      <c r="R22" s="58"/>
      <c r="S22" s="219"/>
      <c r="T22" s="2"/>
    </row>
    <row r="23" spans="1:23" ht="15.6" x14ac:dyDescent="0.3">
      <c r="A23" s="24"/>
      <c r="B23" s="79" t="s">
        <v>222</v>
      </c>
      <c r="C23" s="109"/>
      <c r="D23" s="109" t="s">
        <v>112</v>
      </c>
      <c r="E23" s="109"/>
      <c r="F23" s="109" t="s">
        <v>112</v>
      </c>
      <c r="G23" s="109"/>
      <c r="H23" s="109" t="s">
        <v>178</v>
      </c>
      <c r="I23" s="109"/>
      <c r="J23" s="109" t="s">
        <v>235</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223</v>
      </c>
      <c r="C25" s="119"/>
      <c r="D25" s="119" t="s">
        <v>112</v>
      </c>
      <c r="E25" s="119"/>
      <c r="F25" s="119" t="s">
        <v>112</v>
      </c>
      <c r="G25" s="119"/>
      <c r="H25" s="119" t="s">
        <v>178</v>
      </c>
      <c r="I25" s="119"/>
      <c r="J25" s="119" t="s">
        <v>235</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266</v>
      </c>
      <c r="E27" s="114"/>
      <c r="F27" s="114" t="s">
        <v>267</v>
      </c>
      <c r="G27" s="114"/>
      <c r="H27" s="114" t="s">
        <v>268</v>
      </c>
      <c r="I27" s="114"/>
      <c r="J27" s="114" t="s">
        <v>269</v>
      </c>
      <c r="K27" s="114"/>
      <c r="L27" s="114" t="s">
        <v>270</v>
      </c>
      <c r="M27" s="114"/>
      <c r="N27" s="114"/>
      <c r="O27" s="126"/>
      <c r="P27" s="126"/>
      <c r="Q27" s="127"/>
      <c r="R27" s="126"/>
      <c r="S27" s="128"/>
      <c r="T27" s="2"/>
      <c r="U27" s="211"/>
      <c r="W27" s="212"/>
    </row>
    <row r="28" spans="1:23" ht="15.6" x14ac:dyDescent="0.3">
      <c r="A28" s="120"/>
      <c r="B28" s="113" t="s">
        <v>106</v>
      </c>
      <c r="C28" s="129"/>
      <c r="D28" s="235">
        <v>105000</v>
      </c>
      <c r="E28" s="130"/>
      <c r="F28" s="201">
        <v>188600</v>
      </c>
      <c r="G28" s="198"/>
      <c r="H28" s="201">
        <v>14800</v>
      </c>
      <c r="I28" s="198"/>
      <c r="J28" s="201">
        <v>15800</v>
      </c>
      <c r="K28" s="126"/>
      <c r="L28" s="201">
        <v>7505</v>
      </c>
      <c r="M28" s="126"/>
      <c r="N28" s="130"/>
      <c r="O28" s="131"/>
      <c r="P28" s="131"/>
      <c r="Q28" s="132"/>
      <c r="R28" s="126"/>
      <c r="S28" s="128"/>
      <c r="T28" s="2"/>
    </row>
    <row r="29" spans="1:23" ht="15.6" x14ac:dyDescent="0.3">
      <c r="A29" s="122"/>
      <c r="B29" s="113" t="s">
        <v>105</v>
      </c>
      <c r="C29" s="125"/>
      <c r="D29" s="235">
        <f>D28*D35</f>
        <v>93505.544999999998</v>
      </c>
      <c r="E29" s="130"/>
      <c r="F29" s="201">
        <f>F28*F35</f>
        <v>167953.76939999999</v>
      </c>
      <c r="G29" s="201"/>
      <c r="H29" s="201">
        <f>H28</f>
        <v>14800</v>
      </c>
      <c r="I29" s="201"/>
      <c r="J29" s="201">
        <f>J28</f>
        <v>15800</v>
      </c>
      <c r="K29" s="126"/>
      <c r="L29" s="201">
        <f>L28</f>
        <v>7505</v>
      </c>
      <c r="M29" s="126"/>
      <c r="N29" s="130"/>
      <c r="O29" s="126"/>
      <c r="P29" s="126"/>
      <c r="Q29" s="127"/>
      <c r="R29" s="126"/>
      <c r="S29" s="128"/>
      <c r="T29" s="2"/>
    </row>
    <row r="30" spans="1:23" ht="15.6" x14ac:dyDescent="0.3">
      <c r="A30" s="122"/>
      <c r="B30" s="121" t="s">
        <v>107</v>
      </c>
      <c r="C30" s="125"/>
      <c r="D30" s="236">
        <f>D28*D34</f>
        <v>60495.519</v>
      </c>
      <c r="E30" s="202"/>
      <c r="F30" s="202">
        <f t="shared" ref="F30" si="0">F28*F34</f>
        <v>108661.47508</v>
      </c>
      <c r="G30" s="202"/>
      <c r="H30" s="202">
        <f t="shared" ref="H30" si="1">H28*H34</f>
        <v>14800</v>
      </c>
      <c r="I30" s="202"/>
      <c r="J30" s="202">
        <f t="shared" ref="J30" si="2">J28*J34</f>
        <v>15800</v>
      </c>
      <c r="K30" s="202"/>
      <c r="L30" s="202">
        <f t="shared" ref="L30" si="3">L28*L34</f>
        <v>7505</v>
      </c>
      <c r="M30" s="131"/>
      <c r="N30" s="133"/>
      <c r="O30" s="126"/>
      <c r="P30" s="126"/>
      <c r="Q30" s="127"/>
      <c r="R30" s="203"/>
      <c r="S30" s="128"/>
      <c r="T30" s="2"/>
    </row>
    <row r="31" spans="1:23" ht="15.6" x14ac:dyDescent="0.3">
      <c r="A31" s="122"/>
      <c r="B31" s="113" t="s">
        <v>224</v>
      </c>
      <c r="C31" s="125"/>
      <c r="D31" s="201">
        <v>73324</v>
      </c>
      <c r="E31" s="201"/>
      <c r="F31" s="201">
        <v>188600</v>
      </c>
      <c r="G31" s="201"/>
      <c r="H31" s="201">
        <v>14800</v>
      </c>
      <c r="I31" s="201"/>
      <c r="J31" s="201">
        <v>15800</v>
      </c>
      <c r="K31" s="201"/>
      <c r="L31" s="201">
        <v>7505</v>
      </c>
      <c r="M31" s="126"/>
      <c r="N31" s="133"/>
      <c r="O31" s="126"/>
      <c r="P31" s="126"/>
      <c r="Q31" s="127"/>
      <c r="R31" s="126">
        <f>SUM(D31:L31)</f>
        <v>300029</v>
      </c>
      <c r="S31" s="128"/>
      <c r="T31" s="2"/>
    </row>
    <row r="32" spans="1:23" ht="15.6" x14ac:dyDescent="0.3">
      <c r="A32" s="122"/>
      <c r="B32" s="113" t="s">
        <v>225</v>
      </c>
      <c r="C32" s="125"/>
      <c r="D32" s="201">
        <f>D31*D35</f>
        <v>65297.148396000004</v>
      </c>
      <c r="E32" s="201"/>
      <c r="F32" s="201">
        <f>F31*F35</f>
        <v>167953.76939999999</v>
      </c>
      <c r="G32" s="201"/>
      <c r="H32" s="201">
        <f>H31</f>
        <v>14800</v>
      </c>
      <c r="I32" s="201"/>
      <c r="J32" s="201">
        <f>J31</f>
        <v>15800</v>
      </c>
      <c r="K32" s="201"/>
      <c r="L32" s="201">
        <f>L31</f>
        <v>7505</v>
      </c>
      <c r="M32" s="126"/>
      <c r="N32" s="133"/>
      <c r="O32" s="126"/>
      <c r="P32" s="126"/>
      <c r="Q32" s="127"/>
      <c r="R32" s="126">
        <f>SUM(D32:L32)</f>
        <v>271355.91779600002</v>
      </c>
      <c r="S32" s="128"/>
      <c r="T32" s="2"/>
    </row>
    <row r="33" spans="1:20" ht="15.6" x14ac:dyDescent="0.3">
      <c r="A33" s="122"/>
      <c r="B33" s="124" t="s">
        <v>226</v>
      </c>
      <c r="C33" s="125"/>
      <c r="D33" s="237">
        <f>D31*D34</f>
        <v>42245.4612872</v>
      </c>
      <c r="E33" s="237"/>
      <c r="F33" s="237">
        <f t="shared" ref="F33:L33" si="4">F31*F34</f>
        <v>108661.47508</v>
      </c>
      <c r="G33" s="237"/>
      <c r="H33" s="237">
        <f t="shared" si="4"/>
        <v>14800</v>
      </c>
      <c r="I33" s="237"/>
      <c r="J33" s="237">
        <f t="shared" si="4"/>
        <v>15800</v>
      </c>
      <c r="K33" s="237"/>
      <c r="L33" s="237">
        <f t="shared" si="4"/>
        <v>7505</v>
      </c>
      <c r="M33" s="131"/>
      <c r="N33" s="133"/>
      <c r="O33" s="126"/>
      <c r="P33" s="126"/>
      <c r="Q33" s="127"/>
      <c r="R33" s="203">
        <f>SUM(D33:L33)</f>
        <v>189011.93636719999</v>
      </c>
      <c r="S33" s="128"/>
      <c r="T33" s="2"/>
    </row>
    <row r="34" spans="1:20" ht="15.6" x14ac:dyDescent="0.3">
      <c r="A34" s="112"/>
      <c r="B34" s="134" t="s">
        <v>103</v>
      </c>
      <c r="C34" s="135"/>
      <c r="D34" s="136">
        <v>0.57614779999999999</v>
      </c>
      <c r="E34" s="136"/>
      <c r="F34" s="136">
        <v>0.57614779999999999</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0.89052900000000002</v>
      </c>
      <c r="E35" s="136"/>
      <c r="F35" s="136">
        <v>0.89052900000000002</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260</v>
      </c>
      <c r="E36" s="123"/>
      <c r="F36" s="123" t="s">
        <v>261</v>
      </c>
      <c r="G36" s="123"/>
      <c r="H36" s="123" t="s">
        <v>236</v>
      </c>
      <c r="I36" s="123"/>
      <c r="J36" s="123" t="s">
        <v>262</v>
      </c>
      <c r="K36" s="123"/>
      <c r="L36" s="123" t="s">
        <v>263</v>
      </c>
      <c r="M36" s="123"/>
      <c r="N36" s="123"/>
      <c r="O36" s="142"/>
      <c r="P36" s="143"/>
      <c r="Q36" s="115"/>
      <c r="R36" s="115"/>
      <c r="S36" s="116"/>
      <c r="T36" s="2"/>
    </row>
    <row r="37" spans="1:20" ht="15.6" x14ac:dyDescent="0.3">
      <c r="A37" s="112"/>
      <c r="B37" s="113" t="s">
        <v>9</v>
      </c>
      <c r="C37" s="144"/>
      <c r="D37" s="143">
        <v>3.6800000000000001E-3</v>
      </c>
      <c r="E37" s="143"/>
      <c r="F37" s="143">
        <v>1.43556E-2</v>
      </c>
      <c r="G37" s="143"/>
      <c r="H37" s="143">
        <v>1.9855600000000001E-2</v>
      </c>
      <c r="I37" s="143"/>
      <c r="J37" s="143">
        <v>2.5355599999999999E-2</v>
      </c>
      <c r="K37" s="143"/>
      <c r="L37" s="143">
        <v>2.8855599999999999E-2</v>
      </c>
      <c r="M37" s="142"/>
      <c r="N37" s="143"/>
      <c r="O37" s="123"/>
      <c r="P37" s="123"/>
      <c r="Q37" s="115"/>
      <c r="R37" s="142"/>
      <c r="S37" s="116"/>
      <c r="T37" s="2"/>
    </row>
    <row r="38" spans="1:20" ht="15.6" x14ac:dyDescent="0.3">
      <c r="A38" s="112"/>
      <c r="B38" s="113" t="s">
        <v>10</v>
      </c>
      <c r="C38" s="144"/>
      <c r="D38" s="143">
        <v>3.7299999999999998E-3</v>
      </c>
      <c r="E38" s="143"/>
      <c r="F38" s="143">
        <v>1.4566300000000001E-2</v>
      </c>
      <c r="G38" s="143"/>
      <c r="H38" s="143">
        <v>2.0066299999999999E-2</v>
      </c>
      <c r="I38" s="143"/>
      <c r="J38" s="143">
        <v>2.55663E-2</v>
      </c>
      <c r="K38" s="143"/>
      <c r="L38" s="143">
        <v>2.90663E-2</v>
      </c>
      <c r="M38" s="142"/>
      <c r="N38" s="143"/>
      <c r="O38" s="123"/>
      <c r="P38" s="123"/>
      <c r="Q38" s="115"/>
      <c r="R38" s="115"/>
      <c r="S38" s="116"/>
      <c r="T38" s="2"/>
    </row>
    <row r="39" spans="1:20" ht="15.6" x14ac:dyDescent="0.3">
      <c r="A39" s="112"/>
      <c r="B39" s="113" t="s">
        <v>230</v>
      </c>
      <c r="C39" s="144"/>
      <c r="D39" s="240" t="s">
        <v>272</v>
      </c>
      <c r="E39" s="143"/>
      <c r="F39" s="143" t="s">
        <v>261</v>
      </c>
      <c r="G39" s="143"/>
      <c r="H39" s="143" t="s">
        <v>236</v>
      </c>
      <c r="I39" s="143"/>
      <c r="J39" s="123" t="s">
        <v>262</v>
      </c>
      <c r="K39" s="143"/>
      <c r="L39" s="143" t="s">
        <v>263</v>
      </c>
      <c r="M39" s="142"/>
      <c r="N39" s="143"/>
      <c r="O39" s="123"/>
      <c r="P39" s="123"/>
      <c r="Q39" s="115"/>
      <c r="R39" s="115"/>
      <c r="S39" s="116"/>
      <c r="T39" s="2"/>
    </row>
    <row r="40" spans="1:20" ht="15.6" x14ac:dyDescent="0.3">
      <c r="A40" s="112"/>
      <c r="B40" s="113" t="s">
        <v>231</v>
      </c>
      <c r="C40" s="144"/>
      <c r="D40" s="143">
        <v>1.5970600000000001E-2</v>
      </c>
      <c r="E40" s="143"/>
      <c r="F40" s="143">
        <f>+F37</f>
        <v>1.43556E-2</v>
      </c>
      <c r="G40" s="143"/>
      <c r="H40" s="143">
        <f>+H37</f>
        <v>1.9855600000000001E-2</v>
      </c>
      <c r="I40" s="143"/>
      <c r="J40" s="143">
        <f>+J37</f>
        <v>2.5355599999999999E-2</v>
      </c>
      <c r="K40" s="143"/>
      <c r="L40" s="143">
        <f>+L37</f>
        <v>2.8855599999999999E-2</v>
      </c>
      <c r="M40" s="142"/>
      <c r="N40" s="143"/>
      <c r="O40" s="123"/>
      <c r="P40" s="123"/>
      <c r="Q40" s="115"/>
      <c r="R40" s="142">
        <f>SUMPRODUCT(D40:L40,D32:L32)/R32</f>
        <v>1.6085716661809763E-2</v>
      </c>
      <c r="S40" s="116"/>
      <c r="T40" s="2"/>
    </row>
    <row r="41" spans="1:20" ht="15.6" x14ac:dyDescent="0.3">
      <c r="A41" s="112"/>
      <c r="B41" s="113" t="s">
        <v>232</v>
      </c>
      <c r="C41" s="144"/>
      <c r="D41" s="143">
        <v>1.6181299999999999E-2</v>
      </c>
      <c r="E41" s="143"/>
      <c r="F41" s="143">
        <f>+F38</f>
        <v>1.4566300000000001E-2</v>
      </c>
      <c r="G41" s="143"/>
      <c r="H41" s="143">
        <f>+H38</f>
        <v>2.0066299999999999E-2</v>
      </c>
      <c r="I41" s="143"/>
      <c r="J41" s="143">
        <f>+J38</f>
        <v>2.55663E-2</v>
      </c>
      <c r="K41" s="143"/>
      <c r="L41" s="143">
        <f>+L38</f>
        <v>2.90663E-2</v>
      </c>
      <c r="M41" s="142"/>
      <c r="N41" s="143"/>
      <c r="O41" s="123"/>
      <c r="P41" s="123"/>
      <c r="Q41" s="115"/>
      <c r="R41" s="115"/>
      <c r="S41" s="116"/>
      <c r="T41" s="2"/>
    </row>
    <row r="42" spans="1:20" ht="15.6" x14ac:dyDescent="0.3">
      <c r="A42" s="112"/>
      <c r="B42" s="113" t="s">
        <v>233</v>
      </c>
      <c r="C42" s="113"/>
      <c r="D42" s="144">
        <v>43753</v>
      </c>
      <c r="E42" s="144"/>
      <c r="F42" s="144">
        <v>43753</v>
      </c>
      <c r="G42" s="144"/>
      <c r="H42" s="144">
        <v>43753</v>
      </c>
      <c r="I42" s="144"/>
      <c r="J42" s="144">
        <v>43753</v>
      </c>
      <c r="K42" s="144"/>
      <c r="L42" s="144">
        <v>43753</v>
      </c>
      <c r="M42" s="144"/>
      <c r="N42" s="144"/>
      <c r="O42" s="123"/>
      <c r="P42" s="123"/>
      <c r="Q42" s="115"/>
      <c r="R42" s="115"/>
      <c r="S42" s="116"/>
      <c r="T42" s="2"/>
    </row>
    <row r="43" spans="1:20" ht="15.6" x14ac:dyDescent="0.3">
      <c r="A43" s="112"/>
      <c r="B43" s="113" t="s">
        <v>11</v>
      </c>
      <c r="C43" s="113"/>
      <c r="D43" s="144">
        <v>43753</v>
      </c>
      <c r="E43" s="144"/>
      <c r="F43" s="144">
        <v>43753</v>
      </c>
      <c r="G43" s="123"/>
      <c r="H43" s="144">
        <v>43753</v>
      </c>
      <c r="I43" s="123"/>
      <c r="J43" s="144">
        <v>43753</v>
      </c>
      <c r="K43" s="123"/>
      <c r="L43" s="144" t="s">
        <v>97</v>
      </c>
      <c r="M43" s="123"/>
      <c r="N43" s="144"/>
      <c r="O43" s="123"/>
      <c r="P43" s="123"/>
      <c r="Q43" s="115"/>
      <c r="R43" s="115"/>
      <c r="S43" s="116"/>
      <c r="T43" s="2"/>
    </row>
    <row r="44" spans="1:20" ht="15.6" x14ac:dyDescent="0.3">
      <c r="A44" s="112"/>
      <c r="B44" s="113" t="s">
        <v>98</v>
      </c>
      <c r="C44" s="113"/>
      <c r="D44" s="123" t="s">
        <v>264</v>
      </c>
      <c r="E44" s="123"/>
      <c r="F44" s="123" t="s">
        <v>262</v>
      </c>
      <c r="G44" s="123"/>
      <c r="H44" s="123" t="s">
        <v>237</v>
      </c>
      <c r="I44" s="123"/>
      <c r="J44" s="123" t="s">
        <v>265</v>
      </c>
      <c r="K44" s="123"/>
      <c r="L44" s="123" t="s">
        <v>97</v>
      </c>
      <c r="M44" s="123"/>
      <c r="N44" s="123"/>
      <c r="O44" s="145"/>
      <c r="P44" s="145"/>
      <c r="Q44" s="145"/>
      <c r="R44" s="145"/>
      <c r="S44" s="116"/>
      <c r="T44" s="2"/>
    </row>
    <row r="45" spans="1:20" ht="15.6" x14ac:dyDescent="0.3">
      <c r="A45" s="112"/>
      <c r="B45" s="113" t="s">
        <v>234</v>
      </c>
      <c r="C45" s="113"/>
      <c r="D45" s="123" t="s">
        <v>273</v>
      </c>
      <c r="E45" s="123"/>
      <c r="F45" s="123" t="s">
        <v>262</v>
      </c>
      <c r="G45" s="123"/>
      <c r="H45" s="123" t="s">
        <v>237</v>
      </c>
      <c r="I45" s="123"/>
      <c r="J45" s="123" t="s">
        <v>265</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238</v>
      </c>
      <c r="C47" s="113"/>
      <c r="D47" s="123"/>
      <c r="E47" s="123"/>
      <c r="F47" s="123"/>
      <c r="G47" s="123"/>
      <c r="H47" s="123"/>
      <c r="I47" s="123"/>
      <c r="J47" s="123"/>
      <c r="K47" s="123"/>
      <c r="L47" s="123"/>
      <c r="M47" s="123"/>
      <c r="N47" s="123"/>
      <c r="O47" s="113"/>
      <c r="P47" s="113"/>
      <c r="Q47" s="113"/>
      <c r="R47" s="238">
        <f>SUM(H31:L31)/(D31+F31)</f>
        <v>0.14548113193139994</v>
      </c>
      <c r="S47" s="116"/>
      <c r="T47" s="2"/>
    </row>
    <row r="48" spans="1:20" ht="15.6" x14ac:dyDescent="0.3">
      <c r="A48" s="112"/>
      <c r="B48" s="113" t="s">
        <v>239</v>
      </c>
      <c r="C48" s="113"/>
      <c r="D48" s="113"/>
      <c r="E48" s="113"/>
      <c r="F48" s="113"/>
      <c r="G48" s="113"/>
      <c r="H48" s="113"/>
      <c r="I48" s="113"/>
      <c r="J48" s="113"/>
      <c r="K48" s="113"/>
      <c r="L48" s="113"/>
      <c r="M48" s="113"/>
      <c r="N48" s="113"/>
      <c r="O48" s="113"/>
      <c r="P48" s="113"/>
      <c r="Q48" s="113"/>
      <c r="R48" s="238">
        <f>SUM(H33:L33)/(D33+F33)</f>
        <v>0.25250661710658268</v>
      </c>
      <c r="S48" s="116"/>
      <c r="T48" s="2"/>
    </row>
    <row r="49" spans="1:21" ht="15.6" x14ac:dyDescent="0.3">
      <c r="A49" s="112"/>
      <c r="B49" s="113" t="s">
        <v>240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221</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42933</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42751</v>
      </c>
      <c r="Q53" s="152"/>
      <c r="R53" s="151">
        <v>42842</v>
      </c>
      <c r="S53" s="116"/>
      <c r="T53" s="2"/>
    </row>
    <row r="54" spans="1:21" ht="15.6" x14ac:dyDescent="0.3">
      <c r="A54" s="112"/>
      <c r="B54" s="113" t="s">
        <v>100</v>
      </c>
      <c r="C54" s="113"/>
      <c r="D54" s="113"/>
      <c r="E54" s="113"/>
      <c r="F54" s="113"/>
      <c r="G54" s="113"/>
      <c r="H54" s="113"/>
      <c r="I54" s="113"/>
      <c r="J54" s="113"/>
      <c r="K54" s="113"/>
      <c r="L54" s="113"/>
      <c r="M54" s="113"/>
      <c r="N54" s="113">
        <f>+R54-P54+1</f>
        <v>90</v>
      </c>
      <c r="O54" s="113"/>
      <c r="P54" s="151">
        <v>42843</v>
      </c>
      <c r="Q54" s="152"/>
      <c r="R54" s="151">
        <v>42932</v>
      </c>
      <c r="S54" s="116"/>
      <c r="T54" s="2"/>
    </row>
    <row r="55" spans="1:21" ht="15.6" x14ac:dyDescent="0.3">
      <c r="A55" s="112"/>
      <c r="B55" s="113" t="s">
        <v>244</v>
      </c>
      <c r="C55" s="113"/>
      <c r="D55" s="113"/>
      <c r="E55" s="113"/>
      <c r="F55" s="113"/>
      <c r="G55" s="113"/>
      <c r="H55" s="113"/>
      <c r="I55" s="113"/>
      <c r="J55" s="113"/>
      <c r="K55" s="113"/>
      <c r="L55" s="113"/>
      <c r="M55" s="113"/>
      <c r="N55" s="113"/>
      <c r="O55" s="113"/>
      <c r="P55" s="151"/>
      <c r="Q55" s="152"/>
      <c r="R55" s="151" t="s">
        <v>246</v>
      </c>
      <c r="S55" s="116"/>
      <c r="T55" s="2"/>
    </row>
    <row r="56" spans="1:21" ht="15.6" x14ac:dyDescent="0.3">
      <c r="A56" s="112"/>
      <c r="B56" s="113" t="s">
        <v>245</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42919</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287</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281184</v>
      </c>
      <c r="G64" s="155"/>
      <c r="H64" s="156">
        <v>271356</v>
      </c>
      <c r="I64" s="155"/>
      <c r="J64" s="156">
        <v>158</v>
      </c>
      <c r="K64" s="155"/>
      <c r="L64" s="155">
        <v>61240</v>
      </c>
      <c r="M64" s="155"/>
      <c r="N64" s="155">
        <v>84</v>
      </c>
      <c r="O64" s="155"/>
      <c r="P64" s="155">
        <v>21030</v>
      </c>
      <c r="Q64" s="155"/>
      <c r="R64" s="156">
        <f>H64-J64-L64+N64-P64</f>
        <v>189012</v>
      </c>
      <c r="S64" s="116"/>
      <c r="T64" s="2"/>
      <c r="U64" s="4"/>
    </row>
    <row r="65" spans="1:21"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1" ht="15.6" x14ac:dyDescent="0.3">
      <c r="A66" s="112"/>
      <c r="B66" s="113"/>
      <c r="C66" s="155"/>
      <c r="D66" s="155"/>
      <c r="E66" s="155"/>
      <c r="F66" s="155"/>
      <c r="G66" s="155"/>
      <c r="H66" s="156"/>
      <c r="I66" s="155"/>
      <c r="J66" s="156"/>
      <c r="K66" s="155"/>
      <c r="L66" s="155"/>
      <c r="M66" s="155"/>
      <c r="N66" s="155"/>
      <c r="O66" s="155"/>
      <c r="P66" s="155"/>
      <c r="Q66" s="155"/>
      <c r="R66" s="156"/>
      <c r="S66" s="116"/>
      <c r="T66" s="2"/>
      <c r="U66" s="4"/>
    </row>
    <row r="67" spans="1:21" ht="15.6" x14ac:dyDescent="0.3">
      <c r="A67" s="112"/>
      <c r="B67" s="113" t="s">
        <v>17</v>
      </c>
      <c r="C67" s="155"/>
      <c r="D67" s="155"/>
      <c r="E67" s="155"/>
      <c r="F67" s="155">
        <f>SUM(F64:F66)</f>
        <v>281184</v>
      </c>
      <c r="G67" s="155"/>
      <c r="H67" s="155">
        <f>H64+H65</f>
        <v>271356</v>
      </c>
      <c r="I67" s="155"/>
      <c r="J67" s="155">
        <f>J64+J65</f>
        <v>158</v>
      </c>
      <c r="K67" s="155"/>
      <c r="L67" s="155">
        <f>SUM(L64:L66)</f>
        <v>61240</v>
      </c>
      <c r="M67" s="155"/>
      <c r="N67" s="155">
        <f>SUM(N64:N66)</f>
        <v>84</v>
      </c>
      <c r="O67" s="155"/>
      <c r="P67" s="155">
        <f>SUM(P64:P66)</f>
        <v>21030</v>
      </c>
      <c r="Q67" s="155"/>
      <c r="R67" s="155">
        <f>SUM(R64:R66)</f>
        <v>189012</v>
      </c>
      <c r="S67" s="116"/>
      <c r="T67" s="2"/>
    </row>
    <row r="68" spans="1:21" ht="15.6" x14ac:dyDescent="0.3">
      <c r="A68" s="12"/>
      <c r="B68" s="43"/>
      <c r="C68" s="153"/>
      <c r="D68" s="153"/>
      <c r="E68" s="153"/>
      <c r="F68" s="153"/>
      <c r="G68" s="153"/>
      <c r="H68" s="153"/>
      <c r="I68" s="153"/>
      <c r="J68" s="153"/>
      <c r="K68" s="153"/>
      <c r="L68" s="153"/>
      <c r="M68" s="153"/>
      <c r="N68" s="153"/>
      <c r="O68" s="153"/>
      <c r="P68" s="153"/>
      <c r="Q68" s="153"/>
      <c r="R68" s="154"/>
      <c r="S68" s="217"/>
      <c r="T68" s="2"/>
    </row>
    <row r="69" spans="1:21" ht="15.6" x14ac:dyDescent="0.3">
      <c r="A69" s="12"/>
      <c r="B69" s="16" t="s">
        <v>18</v>
      </c>
      <c r="C69" s="38"/>
      <c r="D69" s="38"/>
      <c r="E69" s="38"/>
      <c r="F69" s="38"/>
      <c r="G69" s="38"/>
      <c r="H69" s="38"/>
      <c r="I69" s="38"/>
      <c r="J69" s="38"/>
      <c r="K69" s="38"/>
      <c r="L69" s="38"/>
      <c r="M69" s="38"/>
      <c r="N69" s="38"/>
      <c r="O69" s="38"/>
      <c r="P69" s="38"/>
      <c r="Q69" s="38"/>
      <c r="R69" s="39"/>
      <c r="S69" s="217"/>
      <c r="T69" s="2"/>
    </row>
    <row r="70" spans="1:21" ht="15.6" x14ac:dyDescent="0.3">
      <c r="A70" s="12"/>
      <c r="B70" s="14"/>
      <c r="C70" s="38"/>
      <c r="D70" s="38"/>
      <c r="E70" s="38"/>
      <c r="F70" s="38"/>
      <c r="G70" s="38"/>
      <c r="H70" s="38"/>
      <c r="I70" s="38"/>
      <c r="J70" s="38"/>
      <c r="K70" s="38"/>
      <c r="L70" s="38"/>
      <c r="M70" s="38"/>
      <c r="N70" s="38"/>
      <c r="O70" s="38"/>
      <c r="P70" s="38"/>
      <c r="Q70" s="38"/>
      <c r="R70" s="39"/>
      <c r="S70" s="217"/>
      <c r="T70" s="2"/>
    </row>
    <row r="71" spans="1:21"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1"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1"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1"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1"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1"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1" ht="15.6" x14ac:dyDescent="0.3">
      <c r="A77" s="112"/>
      <c r="B77" s="113" t="s">
        <v>196</v>
      </c>
      <c r="C77" s="155"/>
      <c r="D77" s="155"/>
      <c r="E77" s="155"/>
      <c r="F77" s="155">
        <v>17345</v>
      </c>
      <c r="G77" s="155"/>
      <c r="H77" s="155">
        <v>0</v>
      </c>
      <c r="I77" s="155"/>
      <c r="J77" s="155">
        <v>0</v>
      </c>
      <c r="K77" s="155"/>
      <c r="L77" s="155">
        <v>0</v>
      </c>
      <c r="M77" s="155"/>
      <c r="N77" s="155"/>
      <c r="O77" s="155"/>
      <c r="P77" s="155"/>
      <c r="Q77" s="155"/>
      <c r="R77" s="155">
        <v>0</v>
      </c>
      <c r="S77" s="116"/>
      <c r="T77" s="2"/>
    </row>
    <row r="78" spans="1:21" ht="15.6" x14ac:dyDescent="0.3">
      <c r="A78" s="112"/>
      <c r="B78" s="113" t="s">
        <v>206</v>
      </c>
      <c r="C78" s="155"/>
      <c r="D78" s="155"/>
      <c r="E78" s="155"/>
      <c r="F78" s="155">
        <v>1500</v>
      </c>
      <c r="G78" s="155"/>
      <c r="H78" s="155">
        <v>0</v>
      </c>
      <c r="I78" s="155"/>
      <c r="J78" s="155"/>
      <c r="K78" s="155"/>
      <c r="L78" s="155"/>
      <c r="M78" s="155"/>
      <c r="N78" s="155">
        <v>0</v>
      </c>
      <c r="O78" s="155"/>
      <c r="P78" s="155"/>
      <c r="Q78" s="155"/>
      <c r="R78" s="155">
        <f>+H78+N78</f>
        <v>0</v>
      </c>
      <c r="S78" s="116"/>
      <c r="T78" s="2"/>
    </row>
    <row r="79" spans="1:21"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1" ht="15.6" x14ac:dyDescent="0.3">
      <c r="A80" s="112"/>
      <c r="B80" s="113" t="s">
        <v>21</v>
      </c>
      <c r="C80" s="155"/>
      <c r="D80" s="155"/>
      <c r="E80" s="155"/>
      <c r="F80" s="155">
        <f>SUM(F67:F79)</f>
        <v>300029</v>
      </c>
      <c r="G80" s="155"/>
      <c r="H80" s="155">
        <f>SUM(H67:H79)</f>
        <v>271356</v>
      </c>
      <c r="I80" s="155"/>
      <c r="J80" s="155"/>
      <c r="K80" s="155"/>
      <c r="L80" s="155"/>
      <c r="M80" s="155"/>
      <c r="N80" s="155"/>
      <c r="O80" s="155"/>
      <c r="P80" s="155"/>
      <c r="Q80" s="155"/>
      <c r="R80" s="155">
        <f>SUM(R67:R79)</f>
        <v>189012</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42916</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219</v>
      </c>
      <c r="C85" s="135"/>
      <c r="D85" s="157"/>
      <c r="E85" s="157"/>
      <c r="F85" s="157"/>
      <c r="G85" s="158"/>
      <c r="H85" s="157"/>
      <c r="I85" s="135"/>
      <c r="J85" s="159"/>
      <c r="K85" s="135"/>
      <c r="L85" s="135"/>
      <c r="M85" s="135"/>
      <c r="N85" s="135"/>
      <c r="O85" s="135"/>
      <c r="P85" s="155">
        <f>-N78</f>
        <v>0</v>
      </c>
      <c r="Q85" s="113"/>
      <c r="R85" s="156"/>
      <c r="S85" s="139"/>
      <c r="T85" s="2"/>
    </row>
    <row r="86" spans="1:20" ht="15.6" x14ac:dyDescent="0.3">
      <c r="A86" s="122"/>
      <c r="B86" s="113" t="s">
        <v>220</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J64+L64+P64</f>
        <v>82428</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3562-882-71</f>
        <v>2609</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232</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16</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72</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274</v>
      </c>
      <c r="C96" s="135"/>
      <c r="D96" s="135"/>
      <c r="E96" s="135"/>
      <c r="F96" s="135"/>
      <c r="G96" s="135"/>
      <c r="H96" s="135"/>
      <c r="I96" s="135"/>
      <c r="J96" s="135"/>
      <c r="K96" s="135"/>
      <c r="L96" s="135"/>
      <c r="M96" s="135"/>
      <c r="N96" s="135"/>
      <c r="O96" s="135"/>
      <c r="P96" s="155"/>
      <c r="Q96" s="113"/>
      <c r="R96" s="156">
        <v>0</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82428</v>
      </c>
      <c r="Q97" s="113"/>
      <c r="R97" s="155">
        <f>SUM(R84:R96)</f>
        <v>2929</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82428</v>
      </c>
      <c r="Q100" s="113"/>
      <c r="R100" s="155">
        <f>R97+R98+R99</f>
        <v>2929</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f>-3</f>
        <v>-3</v>
      </c>
      <c r="S103" s="139"/>
      <c r="T103" s="2"/>
    </row>
    <row r="104" spans="1:21" ht="15.6" x14ac:dyDescent="0.3">
      <c r="A104" s="122">
        <v>3</v>
      </c>
      <c r="B104" s="113" t="s">
        <v>284</v>
      </c>
      <c r="C104" s="113"/>
      <c r="D104" s="135"/>
      <c r="E104" s="135"/>
      <c r="F104" s="135"/>
      <c r="G104" s="135"/>
      <c r="H104" s="135"/>
      <c r="I104" s="135"/>
      <c r="J104" s="135"/>
      <c r="K104" s="135"/>
      <c r="L104" s="135"/>
      <c r="M104" s="135"/>
      <c r="N104" s="135"/>
      <c r="O104" s="135"/>
      <c r="P104" s="113"/>
      <c r="Q104" s="113"/>
      <c r="R104" s="156">
        <f>-102-18-3</f>
        <v>-123</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-179</v>
      </c>
      <c r="S105" s="139"/>
      <c r="T105" s="2"/>
    </row>
    <row r="106" spans="1:21" ht="15.6" x14ac:dyDescent="0.3">
      <c r="A106" s="122" t="s">
        <v>255</v>
      </c>
      <c r="B106" s="113" t="s">
        <v>254</v>
      </c>
      <c r="C106" s="113"/>
      <c r="D106" s="135"/>
      <c r="E106" s="135"/>
      <c r="F106" s="135"/>
      <c r="G106" s="135"/>
      <c r="H106" s="135"/>
      <c r="I106" s="135"/>
      <c r="J106" s="135"/>
      <c r="K106" s="135"/>
      <c r="L106" s="135"/>
      <c r="M106" s="135"/>
      <c r="N106" s="135"/>
      <c r="O106" s="135"/>
      <c r="P106" s="113"/>
      <c r="Q106" s="113"/>
      <c r="R106" s="156">
        <v>-257</v>
      </c>
      <c r="S106" s="139"/>
      <c r="T106" s="2"/>
      <c r="U106" s="4"/>
    </row>
    <row r="107" spans="1:21" ht="15.6" x14ac:dyDescent="0.3">
      <c r="A107" s="122" t="s">
        <v>256</v>
      </c>
      <c r="B107" s="113" t="s">
        <v>248</v>
      </c>
      <c r="C107" s="113"/>
      <c r="D107" s="135"/>
      <c r="E107" s="135"/>
      <c r="F107" s="135"/>
      <c r="G107" s="135"/>
      <c r="H107" s="135"/>
      <c r="I107" s="135"/>
      <c r="J107" s="135"/>
      <c r="K107" s="135"/>
      <c r="L107" s="135"/>
      <c r="M107" s="135"/>
      <c r="N107" s="135"/>
      <c r="O107" s="135"/>
      <c r="P107" s="113"/>
      <c r="Q107" s="113"/>
      <c r="R107" s="156">
        <v>-595</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-72</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-99</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249</v>
      </c>
      <c r="C115" s="113"/>
      <c r="D115" s="135"/>
      <c r="E115" s="135"/>
      <c r="F115" s="135"/>
      <c r="G115" s="135"/>
      <c r="H115" s="135"/>
      <c r="I115" s="135"/>
      <c r="J115" s="135"/>
      <c r="K115" s="135"/>
      <c r="L115" s="135"/>
      <c r="M115" s="135"/>
      <c r="N115" s="135"/>
      <c r="O115" s="135"/>
      <c r="P115" s="113"/>
      <c r="Q115" s="113"/>
      <c r="R115" s="156">
        <v>-53</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208</v>
      </c>
      <c r="C117" s="113"/>
      <c r="D117" s="135"/>
      <c r="E117" s="135"/>
      <c r="F117" s="135"/>
      <c r="G117" s="135"/>
      <c r="H117" s="135"/>
      <c r="I117" s="135"/>
      <c r="J117" s="135"/>
      <c r="K117" s="135"/>
      <c r="L117" s="135"/>
      <c r="M117" s="135"/>
      <c r="N117" s="135"/>
      <c r="O117" s="135"/>
      <c r="P117" s="113"/>
      <c r="Q117" s="113"/>
      <c r="R117" s="156">
        <v>-102</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-18-159</f>
        <v>-177</v>
      </c>
      <c r="S118" s="139"/>
      <c r="T118" s="2"/>
    </row>
    <row r="119" spans="1:20" ht="15.6" x14ac:dyDescent="0.3">
      <c r="A119" s="122">
        <v>17</v>
      </c>
      <c r="B119" s="113" t="s">
        <v>250</v>
      </c>
      <c r="C119" s="113"/>
      <c r="D119" s="135"/>
      <c r="E119" s="135"/>
      <c r="F119" s="135"/>
      <c r="G119" s="135"/>
      <c r="H119" s="135"/>
      <c r="I119" s="135"/>
      <c r="J119" s="135"/>
      <c r="K119" s="135"/>
      <c r="L119" s="135"/>
      <c r="M119" s="135"/>
      <c r="N119" s="135"/>
      <c r="O119" s="135"/>
      <c r="P119" s="113"/>
      <c r="Q119" s="113"/>
      <c r="R119" s="156">
        <f>-R100-SUM(R102:R118)</f>
        <v>-1249</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209</v>
      </c>
      <c r="C121" s="135"/>
      <c r="D121" s="135"/>
      <c r="E121" s="135"/>
      <c r="F121" s="135"/>
      <c r="G121" s="135"/>
      <c r="H121" s="135"/>
      <c r="I121" s="135"/>
      <c r="J121" s="135"/>
      <c r="K121" s="135"/>
      <c r="L121" s="135"/>
      <c r="M121" s="135"/>
      <c r="N121" s="135"/>
      <c r="O121" s="135"/>
      <c r="P121" s="155">
        <f>-P188</f>
        <v>0</v>
      </c>
      <c r="Q121" s="155"/>
      <c r="R121" s="156"/>
      <c r="S121" s="139"/>
      <c r="T121" s="2"/>
    </row>
    <row r="122" spans="1:20" ht="15.6" x14ac:dyDescent="0.3">
      <c r="A122" s="112"/>
      <c r="B122" s="113" t="s">
        <v>210</v>
      </c>
      <c r="C122" s="135"/>
      <c r="D122" s="135"/>
      <c r="E122" s="135"/>
      <c r="F122" s="135"/>
      <c r="G122" s="135"/>
      <c r="H122" s="135"/>
      <c r="I122" s="135"/>
      <c r="J122" s="135"/>
      <c r="K122" s="135"/>
      <c r="L122" s="135"/>
      <c r="M122" s="135"/>
      <c r="N122" s="135"/>
      <c r="O122" s="135"/>
      <c r="P122" s="155">
        <f>-O188</f>
        <v>-84</v>
      </c>
      <c r="Q122" s="155"/>
      <c r="R122" s="156"/>
      <c r="S122" s="139"/>
      <c r="T122" s="2"/>
    </row>
    <row r="123" spans="1:20" ht="15.6" x14ac:dyDescent="0.3">
      <c r="A123" s="112"/>
      <c r="B123" s="113" t="s">
        <v>252</v>
      </c>
      <c r="C123" s="135"/>
      <c r="D123" s="135"/>
      <c r="E123" s="135"/>
      <c r="F123" s="135"/>
      <c r="G123" s="135"/>
      <c r="H123" s="135"/>
      <c r="I123" s="135"/>
      <c r="J123" s="135"/>
      <c r="K123" s="135"/>
      <c r="L123" s="135"/>
      <c r="M123" s="135"/>
      <c r="N123" s="135"/>
      <c r="O123" s="135"/>
      <c r="P123" s="155">
        <v>-23052</v>
      </c>
      <c r="Q123" s="155"/>
      <c r="R123" s="156"/>
      <c r="S123" s="139"/>
      <c r="T123" s="2"/>
    </row>
    <row r="124" spans="1:20" ht="15.6" x14ac:dyDescent="0.3">
      <c r="A124" s="112"/>
      <c r="B124" s="113" t="s">
        <v>251</v>
      </c>
      <c r="C124" s="135"/>
      <c r="D124" s="135"/>
      <c r="E124" s="135"/>
      <c r="F124" s="135"/>
      <c r="G124" s="135"/>
      <c r="H124" s="135"/>
      <c r="I124" s="135"/>
      <c r="J124" s="135"/>
      <c r="K124" s="135"/>
      <c r="L124" s="135"/>
      <c r="M124" s="135"/>
      <c r="N124" s="135"/>
      <c r="O124" s="135"/>
      <c r="P124" s="155">
        <v>-59292</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253</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-82428</v>
      </c>
      <c r="Q128" s="155"/>
      <c r="R128" s="155">
        <f>SUM(R101:R127)</f>
        <v>-2929</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PM23 INVESTOR REPORT QUARTER ENDING JUNE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7501</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2963.3265908200001</v>
      </c>
      <c r="S138" s="116"/>
      <c r="T138" s="2"/>
    </row>
    <row r="139" spans="1:20" ht="15.6" x14ac:dyDescent="0.3">
      <c r="A139" s="112"/>
      <c r="B139" s="113" t="s">
        <v>211</v>
      </c>
      <c r="C139" s="113"/>
      <c r="D139" s="113"/>
      <c r="E139" s="113"/>
      <c r="F139" s="113"/>
      <c r="G139" s="113"/>
      <c r="H139" s="113"/>
      <c r="I139" s="113"/>
      <c r="J139" s="113"/>
      <c r="K139" s="113"/>
      <c r="L139" s="113"/>
      <c r="M139" s="113"/>
      <c r="N139" s="113"/>
      <c r="O139" s="113"/>
      <c r="P139" s="113"/>
      <c r="Q139" s="113"/>
      <c r="R139" s="156">
        <f>SUM(D33:J33)*0.025</f>
        <v>4537.6734091799999</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275</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7501</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212</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283</v>
      </c>
      <c r="C155" s="232"/>
      <c r="D155" s="232"/>
      <c r="E155" s="232"/>
      <c r="F155" s="232"/>
      <c r="G155" s="232"/>
      <c r="H155" s="232"/>
      <c r="I155" s="232"/>
      <c r="J155" s="232"/>
      <c r="K155" s="232"/>
      <c r="L155" s="232"/>
      <c r="M155" s="232"/>
      <c r="N155" s="232"/>
      <c r="O155" s="232"/>
      <c r="P155" s="232"/>
      <c r="Q155" s="232"/>
      <c r="R155" s="233">
        <f>+'Dec 16'!R158</f>
        <v>0</v>
      </c>
      <c r="S155" s="234"/>
      <c r="T155" s="2"/>
    </row>
    <row r="156" spans="1:21" ht="15.6" x14ac:dyDescent="0.3">
      <c r="A156" s="231"/>
      <c r="B156" s="232" t="s">
        <v>214</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215</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216</v>
      </c>
      <c r="C158" s="232"/>
      <c r="D158" s="232"/>
      <c r="E158" s="232"/>
      <c r="F158" s="232"/>
      <c r="G158" s="232"/>
      <c r="H158" s="232"/>
      <c r="I158" s="232"/>
      <c r="J158" s="232"/>
      <c r="K158" s="232"/>
      <c r="L158" s="232"/>
      <c r="M158" s="232"/>
      <c r="N158" s="232"/>
      <c r="O158" s="232"/>
      <c r="P158" s="232"/>
      <c r="Q158" s="232"/>
      <c r="R158" s="233">
        <f>R155+R156+R157</f>
        <v>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+'March 17'!R173</f>
        <v>378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286</v>
      </c>
      <c r="C171" s="113"/>
      <c r="D171" s="113"/>
      <c r="E171" s="113"/>
      <c r="F171" s="113"/>
      <c r="G171" s="113"/>
      <c r="H171" s="113"/>
      <c r="I171" s="113"/>
      <c r="J171" s="113"/>
      <c r="K171" s="113"/>
      <c r="L171" s="113"/>
      <c r="M171" s="113"/>
      <c r="N171" s="113"/>
      <c r="O171" s="113"/>
      <c r="P171" s="113"/>
      <c r="Q171" s="113"/>
      <c r="R171" s="156">
        <v>854</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72</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1160</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189012</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217</v>
      </c>
      <c r="C180" s="113"/>
      <c r="D180" s="113"/>
      <c r="E180" s="113"/>
      <c r="F180" s="113"/>
      <c r="G180" s="113"/>
      <c r="H180" s="113"/>
      <c r="I180" s="113"/>
      <c r="J180" s="113"/>
      <c r="K180" s="113"/>
      <c r="L180" s="113"/>
      <c r="M180" s="113"/>
      <c r="N180" s="113"/>
      <c r="O180" s="113"/>
      <c r="P180" s="113"/>
      <c r="Q180" s="113"/>
      <c r="R180" s="156">
        <f>+R78</f>
        <v>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189012</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189012</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24002.32</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+'March 17'!O189</f>
        <v>950</v>
      </c>
      <c r="P187" s="156">
        <f>+'March 17'!P189</f>
        <v>557</v>
      </c>
      <c r="Q187" s="113"/>
      <c r="R187" s="156">
        <f>O187+P187</f>
        <v>1507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84</v>
      </c>
      <c r="P188" s="155">
        <v>0</v>
      </c>
      <c r="Q188" s="113"/>
      <c r="R188" s="156">
        <f>O188+P188</f>
        <v>84</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1034</v>
      </c>
      <c r="P189" s="156">
        <f>P188+P187</f>
        <v>557</v>
      </c>
      <c r="Q189" s="113"/>
      <c r="R189" s="156">
        <f>O189+P189</f>
        <v>1591</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22411.32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3.07981220657277</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2.88</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24.611111111111111</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24.29</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17.171717171717173</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17.37</v>
      </c>
      <c r="S199" s="116" t="s">
        <v>95</v>
      </c>
      <c r="T199" s="2"/>
    </row>
    <row r="200" spans="1:20" ht="15.6" x14ac:dyDescent="0.3">
      <c r="A200" s="112"/>
      <c r="B200" s="113" t="s">
        <v>241</v>
      </c>
      <c r="C200" s="113"/>
      <c r="D200" s="113"/>
      <c r="E200" s="113"/>
      <c r="F200" s="113"/>
      <c r="G200" s="113"/>
      <c r="H200" s="113"/>
      <c r="I200" s="113"/>
      <c r="J200" s="113"/>
      <c r="K200" s="113"/>
      <c r="L200" s="113"/>
      <c r="M200" s="113"/>
      <c r="N200" s="113"/>
      <c r="O200" s="113"/>
      <c r="P200" s="113"/>
      <c r="Q200" s="113"/>
      <c r="R200" s="242">
        <f>(R100+R102+R103+R104+R105+R106+R107+R108+R109+R110+R111+R112+R113+R114)/-(R115)</f>
        <v>29.830188679245282</v>
      </c>
      <c r="S200" s="116" t="s">
        <v>95</v>
      </c>
      <c r="T200" s="2"/>
    </row>
    <row r="201" spans="1:20" ht="15.6" x14ac:dyDescent="0.3">
      <c r="A201" s="112"/>
      <c r="B201" s="113" t="s">
        <v>242</v>
      </c>
      <c r="C201" s="113"/>
      <c r="D201" s="113"/>
      <c r="E201" s="113"/>
      <c r="F201" s="113"/>
      <c r="G201" s="113"/>
      <c r="H201" s="113"/>
      <c r="I201" s="113"/>
      <c r="J201" s="113"/>
      <c r="K201" s="113"/>
      <c r="L201" s="113"/>
      <c r="M201" s="113"/>
      <c r="N201" s="113"/>
      <c r="O201" s="113"/>
      <c r="P201" s="113"/>
      <c r="Q201" s="113"/>
      <c r="R201" s="241">
        <v>30.24</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PM23 INVESTOR REPORT QUARTER ENDING JUNE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42916</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3.8339999999999999E-2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1.8334780428558572E-2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2.0005219571441427E-2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4.3355600000000001E-2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4.7059999999999998E-2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1.6085716661809763E-2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3.0974283338190235E-2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1.0793938589896667E-2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52246</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52246</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52246</v>
      </c>
      <c r="Q218" s="113"/>
      <c r="R218" s="113"/>
      <c r="S218" s="116"/>
      <c r="T218" s="2"/>
    </row>
    <row r="219" spans="1:20" ht="15.6" x14ac:dyDescent="0.3">
      <c r="A219" s="166"/>
      <c r="B219" s="113" t="s">
        <v>243</v>
      </c>
      <c r="C219" s="167"/>
      <c r="D219" s="148"/>
      <c r="E219" s="148"/>
      <c r="F219" s="148"/>
      <c r="G219" s="148"/>
      <c r="H219" s="148"/>
      <c r="I219" s="148"/>
      <c r="J219" s="148"/>
      <c r="K219" s="148"/>
      <c r="L219" s="148"/>
      <c r="M219" s="148"/>
      <c r="N219" s="148"/>
      <c r="O219" s="148"/>
      <c r="P219" s="168">
        <v>52246</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20.75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18.899999999999999</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(+J64+L64+P64)/(H64+H77)</f>
        <v>0.30376332198293016</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0.2084</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281</v>
      </c>
      <c r="C229" s="177"/>
      <c r="D229" s="135"/>
      <c r="E229" s="135"/>
      <c r="F229" s="135"/>
      <c r="G229" s="135"/>
      <c r="H229" s="135"/>
      <c r="I229" s="135"/>
      <c r="J229" s="135"/>
      <c r="K229" s="135"/>
      <c r="L229" s="135"/>
      <c r="M229" s="135"/>
      <c r="N229" s="135"/>
      <c r="O229" s="113"/>
      <c r="P229" s="174">
        <f>+P64</f>
        <v>21030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'March 17'!P233+P232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1212</v>
      </c>
      <c r="O246" s="81">
        <f>N246/$N$255</f>
        <v>1</v>
      </c>
      <c r="P246" s="82">
        <f>+P258+P270+P282</f>
        <v>189012</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4">
        <f t="shared" ref="N247:N252" si="6">+N259+N271+N283</f>
        <v>0</v>
      </c>
      <c r="O247" s="246">
        <f t="shared" ref="O247:O253" si="7">N247/$N$255</f>
        <v>0</v>
      </c>
      <c r="P247" s="245">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50">
        <f t="shared" si="6"/>
        <v>0</v>
      </c>
      <c r="O248" s="251">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50">
        <f t="shared" si="6"/>
        <v>0</v>
      </c>
      <c r="O249" s="251">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50">
        <f t="shared" si="6"/>
        <v>0</v>
      </c>
      <c r="O250" s="251">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50">
        <f t="shared" si="6"/>
        <v>0</v>
      </c>
      <c r="O251" s="251">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7">
        <f t="shared" si="6"/>
        <v>0</v>
      </c>
      <c r="O252" s="248">
        <f t="shared" si="7"/>
        <v>0</v>
      </c>
      <c r="P252" s="249">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3">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1212</v>
      </c>
      <c r="O255" s="192">
        <f>SUM(O246:O254)</f>
        <v>1</v>
      </c>
      <c r="P255" s="156">
        <f>SUM(P246:P254)</f>
        <v>189012</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1212</v>
      </c>
      <c r="O258" s="81">
        <f>N258/$N$267</f>
        <v>1</v>
      </c>
      <c r="P258" s="82">
        <v>189012</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1212</v>
      </c>
      <c r="O267" s="192">
        <f>SUM(O258:O266)</f>
        <v>1</v>
      </c>
      <c r="P267" s="156">
        <f>SUM(P258:P266)</f>
        <v>189012</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1212</v>
      </c>
      <c r="O293" s="192"/>
      <c r="P293" s="197">
        <f>+P291+P279+P267</f>
        <v>189012</v>
      </c>
      <c r="Q293" s="192"/>
      <c r="R293" s="113"/>
      <c r="S293" s="116"/>
      <c r="T293" s="2"/>
    </row>
    <row r="294" spans="1:20" ht="15.6" x14ac:dyDescent="0.3">
      <c r="A294" s="122"/>
      <c r="B294" s="124" t="s">
        <v>218</v>
      </c>
      <c r="C294" s="124"/>
      <c r="D294" s="205"/>
      <c r="E294" s="205"/>
      <c r="F294" s="205"/>
      <c r="G294" s="205"/>
      <c r="H294" s="205"/>
      <c r="I294" s="205"/>
      <c r="J294" s="205"/>
      <c r="K294" s="205"/>
      <c r="L294" s="205"/>
      <c r="M294" s="205"/>
      <c r="N294" s="196"/>
      <c r="O294" s="206"/>
      <c r="P294" s="207">
        <f>+R180</f>
        <v>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189012</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189012</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7.9391811376649399E-2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PM23 INVESTOR REPORT QUARTER ENDING JUNE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xr:uid="{00000000-0004-0000-0700-000000000000}"/>
    <hyperlink ref="K9" r:id="rId2" xr:uid="{00000000-0004-0000-07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257</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258</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7"/>
      <c r="I9" s="260"/>
      <c r="J9" s="266"/>
      <c r="K9" s="268" t="s">
        <v>289</v>
      </c>
      <c r="L9" s="266"/>
      <c r="M9" s="260"/>
      <c r="N9" s="260"/>
      <c r="O9" s="260"/>
      <c r="P9" s="260"/>
      <c r="Q9" s="260"/>
      <c r="R9" s="260"/>
      <c r="S9" s="261"/>
      <c r="T9" s="256"/>
    </row>
    <row r="10" spans="1:20" x14ac:dyDescent="0.3">
      <c r="A10" s="258"/>
      <c r="B10" s="265"/>
      <c r="C10" s="269"/>
      <c r="D10" s="260"/>
      <c r="E10" s="260"/>
      <c r="F10" s="260"/>
      <c r="G10" s="260"/>
      <c r="H10" s="260"/>
      <c r="I10" s="260"/>
      <c r="J10" s="260"/>
      <c r="K10" s="260"/>
      <c r="L10" s="260"/>
      <c r="M10" s="260"/>
      <c r="N10" s="260"/>
      <c r="O10" s="260"/>
      <c r="P10" s="260"/>
      <c r="Q10" s="260"/>
      <c r="R10" s="260"/>
      <c r="S10" s="261"/>
      <c r="T10" s="256"/>
    </row>
    <row r="11" spans="1:20" s="275" customFormat="1" x14ac:dyDescent="0.3">
      <c r="A11" s="270"/>
      <c r="B11" s="271" t="s">
        <v>0</v>
      </c>
      <c r="C11" s="272"/>
      <c r="D11" s="272"/>
      <c r="E11" s="272"/>
      <c r="F11" s="272"/>
      <c r="G11" s="272"/>
      <c r="H11" s="272"/>
      <c r="I11" s="272"/>
      <c r="J11" s="272"/>
      <c r="K11" s="272"/>
      <c r="L11" s="272"/>
      <c r="M11" s="272"/>
      <c r="N11" s="272"/>
      <c r="O11" s="272"/>
      <c r="P11" s="272"/>
      <c r="Q11" s="272"/>
      <c r="R11" s="272"/>
      <c r="S11" s="273"/>
      <c r="T11" s="274"/>
    </row>
    <row r="12" spans="1:20" s="275" customFormat="1" ht="16.2" thickBot="1" x14ac:dyDescent="0.35">
      <c r="A12" s="270"/>
      <c r="B12" s="271"/>
      <c r="C12" s="272"/>
      <c r="D12" s="272"/>
      <c r="E12" s="272"/>
      <c r="F12" s="272"/>
      <c r="G12" s="272"/>
      <c r="H12" s="272"/>
      <c r="I12" s="272"/>
      <c r="J12" s="272"/>
      <c r="K12" s="272"/>
      <c r="L12" s="272"/>
      <c r="M12" s="272"/>
      <c r="N12" s="272"/>
      <c r="O12" s="272"/>
      <c r="P12" s="272"/>
      <c r="Q12" s="272"/>
      <c r="R12" s="272"/>
      <c r="S12" s="273"/>
      <c r="T12" s="274"/>
    </row>
    <row r="13" spans="1:20" s="275" customFormat="1" x14ac:dyDescent="0.3">
      <c r="A13" s="276"/>
      <c r="B13" s="277"/>
      <c r="C13" s="277"/>
      <c r="D13" s="277"/>
      <c r="E13" s="277"/>
      <c r="F13" s="277"/>
      <c r="G13" s="277"/>
      <c r="H13" s="277"/>
      <c r="I13" s="277"/>
      <c r="J13" s="277"/>
      <c r="K13" s="277"/>
      <c r="L13" s="277"/>
      <c r="M13" s="277"/>
      <c r="N13" s="277"/>
      <c r="O13" s="277"/>
      <c r="P13" s="277"/>
      <c r="Q13" s="277"/>
      <c r="R13" s="277"/>
      <c r="S13" s="278"/>
      <c r="T13" s="274"/>
    </row>
    <row r="14" spans="1:20" s="275" customFormat="1" x14ac:dyDescent="0.3">
      <c r="A14" s="270"/>
      <c r="B14" s="271" t="s">
        <v>1</v>
      </c>
      <c r="C14" s="272"/>
      <c r="D14" s="272"/>
      <c r="E14" s="272"/>
      <c r="F14" s="272"/>
      <c r="G14" s="272"/>
      <c r="H14" s="272"/>
      <c r="I14" s="272"/>
      <c r="J14" s="272"/>
      <c r="K14" s="272"/>
      <c r="L14" s="272"/>
      <c r="M14" s="272"/>
      <c r="N14" s="272"/>
      <c r="O14" s="272"/>
      <c r="P14" s="272"/>
      <c r="Q14" s="272"/>
      <c r="R14" s="279" t="s">
        <v>259</v>
      </c>
      <c r="S14" s="273"/>
      <c r="T14" s="274"/>
    </row>
    <row r="15" spans="1:20" s="275" customFormat="1" x14ac:dyDescent="0.3">
      <c r="A15" s="270"/>
      <c r="B15" s="271" t="s">
        <v>2</v>
      </c>
      <c r="C15" s="272"/>
      <c r="D15" s="280"/>
      <c r="E15" s="280"/>
      <c r="F15" s="280"/>
      <c r="G15" s="280"/>
      <c r="H15" s="280"/>
      <c r="I15" s="280"/>
      <c r="J15" s="280"/>
      <c r="K15" s="280"/>
      <c r="L15" s="280"/>
      <c r="M15" s="280"/>
      <c r="N15" s="281"/>
      <c r="O15" s="281"/>
      <c r="P15" s="281" t="s">
        <v>154</v>
      </c>
      <c r="Q15" s="281">
        <v>1</v>
      </c>
      <c r="R15" s="279"/>
      <c r="S15" s="273"/>
      <c r="T15" s="274"/>
    </row>
    <row r="16" spans="1:20" s="275" customFormat="1" x14ac:dyDescent="0.3">
      <c r="A16" s="270"/>
      <c r="B16" s="271" t="s">
        <v>3</v>
      </c>
      <c r="C16" s="272"/>
      <c r="D16" s="280"/>
      <c r="E16" s="280"/>
      <c r="F16" s="280"/>
      <c r="G16" s="280"/>
      <c r="H16" s="280"/>
      <c r="I16" s="280"/>
      <c r="J16" s="280"/>
      <c r="K16" s="280"/>
      <c r="L16" s="280"/>
      <c r="M16" s="280"/>
      <c r="N16" s="281"/>
      <c r="O16" s="281"/>
      <c r="P16" s="281" t="s">
        <v>154</v>
      </c>
      <c r="Q16" s="281">
        <v>1</v>
      </c>
      <c r="R16" s="279"/>
      <c r="S16" s="273"/>
      <c r="T16" s="274"/>
    </row>
    <row r="17" spans="1:23" s="275" customFormat="1" x14ac:dyDescent="0.3">
      <c r="A17" s="270"/>
      <c r="B17" s="271" t="s">
        <v>4</v>
      </c>
      <c r="C17" s="272"/>
      <c r="D17" s="272"/>
      <c r="E17" s="272"/>
      <c r="F17" s="272"/>
      <c r="G17" s="272"/>
      <c r="H17" s="272"/>
      <c r="I17" s="272"/>
      <c r="J17" s="272"/>
      <c r="K17" s="272"/>
      <c r="L17" s="272"/>
      <c r="M17" s="272"/>
      <c r="N17" s="272"/>
      <c r="O17" s="272"/>
      <c r="P17" s="272"/>
      <c r="Q17" s="272"/>
      <c r="R17" s="282">
        <v>42208</v>
      </c>
      <c r="S17" s="273"/>
      <c r="T17" s="274"/>
    </row>
    <row r="18" spans="1:23" s="275" customFormat="1" x14ac:dyDescent="0.3">
      <c r="A18" s="270"/>
      <c r="B18" s="271" t="s">
        <v>5</v>
      </c>
      <c r="C18" s="272"/>
      <c r="D18" s="272"/>
      <c r="E18" s="272"/>
      <c r="F18" s="272"/>
      <c r="G18" s="272"/>
      <c r="H18" s="272"/>
      <c r="I18" s="272"/>
      <c r="J18" s="272"/>
      <c r="K18" s="272"/>
      <c r="L18" s="272"/>
      <c r="M18" s="272"/>
      <c r="N18" s="272"/>
      <c r="O18" s="272"/>
      <c r="P18" s="272"/>
      <c r="Q18" s="272"/>
      <c r="R18" s="282">
        <v>43025</v>
      </c>
      <c r="S18" s="273"/>
      <c r="T18" s="274"/>
    </row>
    <row r="19" spans="1:23" s="275" customFormat="1" x14ac:dyDescent="0.3">
      <c r="A19" s="270"/>
      <c r="B19" s="272"/>
      <c r="C19" s="272"/>
      <c r="D19" s="272"/>
      <c r="E19" s="272"/>
      <c r="F19" s="272"/>
      <c r="G19" s="272"/>
      <c r="H19" s="272"/>
      <c r="I19" s="272"/>
      <c r="J19" s="272"/>
      <c r="K19" s="272"/>
      <c r="L19" s="272"/>
      <c r="M19" s="272"/>
      <c r="N19" s="272"/>
      <c r="O19" s="272"/>
      <c r="P19" s="272"/>
      <c r="Q19" s="272"/>
      <c r="R19" s="283"/>
      <c r="S19" s="273"/>
      <c r="T19" s="274"/>
    </row>
    <row r="20" spans="1:23" s="275" customFormat="1" x14ac:dyDescent="0.3">
      <c r="A20" s="270"/>
      <c r="B20" s="284" t="s">
        <v>6</v>
      </c>
      <c r="C20" s="272"/>
      <c r="D20" s="272"/>
      <c r="E20" s="272"/>
      <c r="F20" s="272"/>
      <c r="G20" s="272"/>
      <c r="H20" s="272"/>
      <c r="I20" s="272"/>
      <c r="J20" s="272"/>
      <c r="K20" s="272"/>
      <c r="L20" s="272"/>
      <c r="M20" s="272"/>
      <c r="N20" s="272"/>
      <c r="O20" s="272"/>
      <c r="P20" s="283" t="s">
        <v>85</v>
      </c>
      <c r="Q20" s="272"/>
      <c r="R20" s="272"/>
      <c r="S20" s="273"/>
      <c r="T20" s="274"/>
    </row>
    <row r="21" spans="1:23" x14ac:dyDescent="0.3">
      <c r="A21" s="258"/>
      <c r="B21" s="260"/>
      <c r="C21" s="260"/>
      <c r="D21" s="260"/>
      <c r="E21" s="260"/>
      <c r="F21" s="260"/>
      <c r="G21" s="260"/>
      <c r="H21" s="260"/>
      <c r="I21" s="260"/>
      <c r="J21" s="260"/>
      <c r="K21" s="260"/>
      <c r="L21" s="260"/>
      <c r="M21" s="260"/>
      <c r="N21" s="260"/>
      <c r="O21" s="260"/>
      <c r="P21" s="260"/>
      <c r="Q21" s="260"/>
      <c r="R21" s="285"/>
      <c r="S21" s="261"/>
      <c r="T21" s="256"/>
    </row>
    <row r="22" spans="1:23" x14ac:dyDescent="0.3">
      <c r="A22" s="286"/>
      <c r="B22" s="287"/>
      <c r="C22" s="288"/>
      <c r="D22" s="288" t="s">
        <v>227</v>
      </c>
      <c r="E22" s="288"/>
      <c r="F22" s="288" t="s">
        <v>228</v>
      </c>
      <c r="G22" s="288"/>
      <c r="H22" s="288" t="s">
        <v>179</v>
      </c>
      <c r="I22" s="288"/>
      <c r="J22" s="288" t="s">
        <v>180</v>
      </c>
      <c r="K22" s="288"/>
      <c r="L22" s="288" t="s">
        <v>229</v>
      </c>
      <c r="M22" s="288"/>
      <c r="N22" s="288"/>
      <c r="O22" s="289"/>
      <c r="P22" s="289"/>
      <c r="Q22" s="287"/>
      <c r="R22" s="287"/>
      <c r="S22" s="290"/>
      <c r="T22" s="256"/>
    </row>
    <row r="23" spans="1:23" s="275" customFormat="1" x14ac:dyDescent="0.3">
      <c r="A23" s="270"/>
      <c r="B23" s="291" t="s">
        <v>222</v>
      </c>
      <c r="C23" s="292"/>
      <c r="D23" s="292" t="s">
        <v>112</v>
      </c>
      <c r="E23" s="292"/>
      <c r="F23" s="292" t="s">
        <v>112</v>
      </c>
      <c r="G23" s="292"/>
      <c r="H23" s="292" t="s">
        <v>178</v>
      </c>
      <c r="I23" s="292"/>
      <c r="J23" s="292" t="s">
        <v>235</v>
      </c>
      <c r="K23" s="292"/>
      <c r="L23" s="292" t="s">
        <v>153</v>
      </c>
      <c r="M23" s="292"/>
      <c r="N23" s="292"/>
      <c r="O23" s="292"/>
      <c r="P23" s="292"/>
      <c r="Q23" s="291"/>
      <c r="R23" s="291"/>
      <c r="S23" s="273"/>
      <c r="T23" s="274"/>
    </row>
    <row r="24" spans="1:23" s="275" customFormat="1" x14ac:dyDescent="0.3">
      <c r="A24" s="293"/>
      <c r="B24" s="294" t="s">
        <v>197</v>
      </c>
      <c r="C24" s="295"/>
      <c r="D24" s="296" t="s">
        <v>199</v>
      </c>
      <c r="E24" s="296"/>
      <c r="F24" s="296" t="s">
        <v>199</v>
      </c>
      <c r="G24" s="296"/>
      <c r="H24" s="296" t="s">
        <v>200</v>
      </c>
      <c r="I24" s="296"/>
      <c r="J24" s="296" t="s">
        <v>201</v>
      </c>
      <c r="K24" s="296"/>
      <c r="L24" s="296" t="s">
        <v>153</v>
      </c>
      <c r="M24" s="296"/>
      <c r="N24" s="296"/>
      <c r="O24" s="295"/>
      <c r="P24" s="296"/>
      <c r="Q24" s="294"/>
      <c r="R24" s="294"/>
      <c r="S24" s="297"/>
      <c r="T24" s="274"/>
    </row>
    <row r="25" spans="1:23" s="275" customFormat="1" x14ac:dyDescent="0.3">
      <c r="A25" s="293"/>
      <c r="B25" s="298" t="s">
        <v>223</v>
      </c>
      <c r="C25" s="295"/>
      <c r="D25" s="295" t="s">
        <v>112</v>
      </c>
      <c r="E25" s="295"/>
      <c r="F25" s="295" t="s">
        <v>112</v>
      </c>
      <c r="G25" s="295"/>
      <c r="H25" s="295" t="s">
        <v>178</v>
      </c>
      <c r="I25" s="295"/>
      <c r="J25" s="295" t="s">
        <v>235</v>
      </c>
      <c r="K25" s="295"/>
      <c r="L25" s="295" t="s">
        <v>153</v>
      </c>
      <c r="M25" s="295"/>
      <c r="N25" s="295"/>
      <c r="O25" s="295"/>
      <c r="P25" s="296"/>
      <c r="Q25" s="294"/>
      <c r="R25" s="294"/>
      <c r="S25" s="297"/>
      <c r="T25" s="274"/>
      <c r="U25" s="299"/>
      <c r="W25" s="300"/>
    </row>
    <row r="26" spans="1:23" s="275" customFormat="1" x14ac:dyDescent="0.3">
      <c r="A26" s="301"/>
      <c r="B26" s="298" t="s">
        <v>198</v>
      </c>
      <c r="C26" s="296"/>
      <c r="D26" s="295" t="s">
        <v>199</v>
      </c>
      <c r="E26" s="295"/>
      <c r="F26" s="295" t="s">
        <v>199</v>
      </c>
      <c r="G26" s="295"/>
      <c r="H26" s="295" t="s">
        <v>200</v>
      </c>
      <c r="I26" s="295"/>
      <c r="J26" s="295" t="s">
        <v>201</v>
      </c>
      <c r="K26" s="295"/>
      <c r="L26" s="295" t="s">
        <v>153</v>
      </c>
      <c r="M26" s="295"/>
      <c r="N26" s="295"/>
      <c r="O26" s="296"/>
      <c r="P26" s="302"/>
      <c r="Q26" s="294"/>
      <c r="R26" s="294"/>
      <c r="S26" s="297"/>
      <c r="T26" s="274"/>
      <c r="U26" s="299"/>
      <c r="W26" s="300"/>
    </row>
    <row r="27" spans="1:23" s="275" customFormat="1" x14ac:dyDescent="0.3">
      <c r="A27" s="301"/>
      <c r="B27" s="294" t="s">
        <v>7</v>
      </c>
      <c r="C27" s="303"/>
      <c r="D27" s="296" t="s">
        <v>266</v>
      </c>
      <c r="E27" s="296"/>
      <c r="F27" s="296" t="s">
        <v>267</v>
      </c>
      <c r="G27" s="296"/>
      <c r="H27" s="296" t="s">
        <v>268</v>
      </c>
      <c r="I27" s="296"/>
      <c r="J27" s="296" t="s">
        <v>269</v>
      </c>
      <c r="K27" s="296"/>
      <c r="L27" s="296" t="s">
        <v>270</v>
      </c>
      <c r="M27" s="296"/>
      <c r="N27" s="296"/>
      <c r="O27" s="304"/>
      <c r="P27" s="304"/>
      <c r="Q27" s="303"/>
      <c r="R27" s="304"/>
      <c r="S27" s="305"/>
      <c r="T27" s="274"/>
      <c r="U27" s="299"/>
      <c r="W27" s="300"/>
    </row>
    <row r="28" spans="1:23" s="275" customFormat="1" x14ac:dyDescent="0.3">
      <c r="A28" s="293"/>
      <c r="B28" s="294" t="s">
        <v>106</v>
      </c>
      <c r="C28" s="306"/>
      <c r="D28" s="307">
        <v>105000</v>
      </c>
      <c r="E28" s="308"/>
      <c r="F28" s="309">
        <v>188600</v>
      </c>
      <c r="G28" s="310"/>
      <c r="H28" s="309">
        <v>14800</v>
      </c>
      <c r="I28" s="310"/>
      <c r="J28" s="309">
        <v>15800</v>
      </c>
      <c r="K28" s="304"/>
      <c r="L28" s="309">
        <v>7505</v>
      </c>
      <c r="M28" s="304"/>
      <c r="N28" s="308"/>
      <c r="O28" s="311"/>
      <c r="P28" s="311"/>
      <c r="Q28" s="306"/>
      <c r="R28" s="304"/>
      <c r="S28" s="305"/>
      <c r="T28" s="274"/>
    </row>
    <row r="29" spans="1:23" s="275" customFormat="1" x14ac:dyDescent="0.3">
      <c r="A29" s="301"/>
      <c r="B29" s="294" t="s">
        <v>105</v>
      </c>
      <c r="C29" s="303"/>
      <c r="D29" s="307">
        <f>D28*D35</f>
        <v>60495.519</v>
      </c>
      <c r="E29" s="308"/>
      <c r="F29" s="309">
        <f>F28*F35</f>
        <v>108661.47508</v>
      </c>
      <c r="G29" s="309"/>
      <c r="H29" s="309">
        <f>H28</f>
        <v>14800</v>
      </c>
      <c r="I29" s="309"/>
      <c r="J29" s="309">
        <f>J28</f>
        <v>15800</v>
      </c>
      <c r="K29" s="304"/>
      <c r="L29" s="309">
        <f>L28</f>
        <v>7505</v>
      </c>
      <c r="M29" s="304"/>
      <c r="N29" s="308"/>
      <c r="O29" s="304"/>
      <c r="P29" s="304"/>
      <c r="Q29" s="303"/>
      <c r="R29" s="304"/>
      <c r="S29" s="305"/>
      <c r="T29" s="274"/>
    </row>
    <row r="30" spans="1:23" s="275" customFormat="1" x14ac:dyDescent="0.3">
      <c r="A30" s="301"/>
      <c r="B30" s="298" t="s">
        <v>107</v>
      </c>
      <c r="C30" s="303"/>
      <c r="D30" s="312">
        <f>D28*D34</f>
        <v>32733.949500000002</v>
      </c>
      <c r="E30" s="313"/>
      <c r="F30" s="313">
        <f t="shared" ref="F30" si="0">F28*F34</f>
        <v>58796.408340000002</v>
      </c>
      <c r="G30" s="313"/>
      <c r="H30" s="313">
        <f t="shared" ref="H30" si="1">H28*H34</f>
        <v>14800</v>
      </c>
      <c r="I30" s="313"/>
      <c r="J30" s="313">
        <f t="shared" ref="J30" si="2">J28*J34</f>
        <v>15800</v>
      </c>
      <c r="K30" s="313"/>
      <c r="L30" s="313">
        <f t="shared" ref="L30" si="3">L28*L34</f>
        <v>7505</v>
      </c>
      <c r="M30" s="311"/>
      <c r="N30" s="314"/>
      <c r="O30" s="304"/>
      <c r="P30" s="304"/>
      <c r="Q30" s="303"/>
      <c r="R30" s="311"/>
      <c r="S30" s="305"/>
      <c r="T30" s="274"/>
    </row>
    <row r="31" spans="1:23" s="275" customFormat="1" x14ac:dyDescent="0.3">
      <c r="A31" s="301"/>
      <c r="B31" s="294" t="s">
        <v>224</v>
      </c>
      <c r="C31" s="303"/>
      <c r="D31" s="309">
        <v>73324</v>
      </c>
      <c r="E31" s="309"/>
      <c r="F31" s="309">
        <v>188600</v>
      </c>
      <c r="G31" s="309"/>
      <c r="H31" s="309">
        <v>14800</v>
      </c>
      <c r="I31" s="309"/>
      <c r="J31" s="309">
        <v>15800</v>
      </c>
      <c r="K31" s="309"/>
      <c r="L31" s="309">
        <v>7505</v>
      </c>
      <c r="M31" s="304"/>
      <c r="N31" s="314"/>
      <c r="O31" s="304"/>
      <c r="P31" s="304"/>
      <c r="Q31" s="303"/>
      <c r="R31" s="304">
        <f>SUM(D31:L31)</f>
        <v>300029</v>
      </c>
      <c r="S31" s="305"/>
      <c r="T31" s="274"/>
    </row>
    <row r="32" spans="1:23" s="275" customFormat="1" x14ac:dyDescent="0.3">
      <c r="A32" s="301"/>
      <c r="B32" s="294" t="s">
        <v>225</v>
      </c>
      <c r="C32" s="303"/>
      <c r="D32" s="309">
        <f>D31*D35</f>
        <v>42245.4612872</v>
      </c>
      <c r="E32" s="309"/>
      <c r="F32" s="309">
        <f>F31*F35</f>
        <v>108661.47508</v>
      </c>
      <c r="G32" s="309"/>
      <c r="H32" s="309">
        <f>H31</f>
        <v>14800</v>
      </c>
      <c r="I32" s="309"/>
      <c r="J32" s="309">
        <f>J31</f>
        <v>15800</v>
      </c>
      <c r="K32" s="309"/>
      <c r="L32" s="309">
        <f>L31</f>
        <v>7505</v>
      </c>
      <c r="M32" s="304"/>
      <c r="N32" s="314"/>
      <c r="O32" s="304"/>
      <c r="P32" s="304"/>
      <c r="Q32" s="303"/>
      <c r="R32" s="304">
        <f>SUM(D32:L32)</f>
        <v>189011.93636719999</v>
      </c>
      <c r="S32" s="305"/>
      <c r="T32" s="274"/>
    </row>
    <row r="33" spans="1:20" s="275" customFormat="1" x14ac:dyDescent="0.3">
      <c r="A33" s="301"/>
      <c r="B33" s="298" t="s">
        <v>226</v>
      </c>
      <c r="C33" s="303"/>
      <c r="D33" s="313">
        <f>D31*D34</f>
        <v>22858.896315600003</v>
      </c>
      <c r="E33" s="313"/>
      <c r="F33" s="313">
        <f t="shared" ref="F33:L33" si="4">F31*F34</f>
        <v>58796.408340000002</v>
      </c>
      <c r="G33" s="313"/>
      <c r="H33" s="313">
        <f t="shared" si="4"/>
        <v>14800</v>
      </c>
      <c r="I33" s="313"/>
      <c r="J33" s="313">
        <f t="shared" si="4"/>
        <v>15800</v>
      </c>
      <c r="K33" s="313"/>
      <c r="L33" s="313">
        <f t="shared" si="4"/>
        <v>7505</v>
      </c>
      <c r="M33" s="311"/>
      <c r="N33" s="314"/>
      <c r="O33" s="304"/>
      <c r="P33" s="304"/>
      <c r="Q33" s="303"/>
      <c r="R33" s="311">
        <f>SUM(D33:L33)</f>
        <v>119760.3046556</v>
      </c>
      <c r="S33" s="305"/>
      <c r="T33" s="274"/>
    </row>
    <row r="34" spans="1:20" s="325" customFormat="1" x14ac:dyDescent="0.3">
      <c r="A34" s="315"/>
      <c r="B34" s="316" t="s">
        <v>103</v>
      </c>
      <c r="C34" s="317"/>
      <c r="D34" s="318">
        <v>0.31175190000000003</v>
      </c>
      <c r="E34" s="318"/>
      <c r="F34" s="318">
        <v>0.31175190000000003</v>
      </c>
      <c r="G34" s="318"/>
      <c r="H34" s="318">
        <v>1</v>
      </c>
      <c r="I34" s="318"/>
      <c r="J34" s="318">
        <v>1</v>
      </c>
      <c r="K34" s="318"/>
      <c r="L34" s="318">
        <v>1</v>
      </c>
      <c r="M34" s="319"/>
      <c r="N34" s="319"/>
      <c r="O34" s="320"/>
      <c r="P34" s="320"/>
      <c r="Q34" s="321"/>
      <c r="R34" s="322"/>
      <c r="S34" s="323"/>
      <c r="T34" s="324"/>
    </row>
    <row r="35" spans="1:20" s="325" customFormat="1" x14ac:dyDescent="0.3">
      <c r="A35" s="315"/>
      <c r="B35" s="317" t="s">
        <v>104</v>
      </c>
      <c r="C35" s="317"/>
      <c r="D35" s="326">
        <v>0.57614779999999999</v>
      </c>
      <c r="E35" s="326"/>
      <c r="F35" s="326">
        <v>0.57614779999999999</v>
      </c>
      <c r="G35" s="326"/>
      <c r="H35" s="326">
        <v>1</v>
      </c>
      <c r="I35" s="326"/>
      <c r="J35" s="326">
        <v>1</v>
      </c>
      <c r="K35" s="326"/>
      <c r="L35" s="326">
        <v>1</v>
      </c>
      <c r="M35" s="319"/>
      <c r="N35" s="319"/>
      <c r="O35" s="327"/>
      <c r="P35" s="328"/>
      <c r="Q35" s="321"/>
      <c r="R35" s="327"/>
      <c r="S35" s="323"/>
      <c r="T35" s="324"/>
    </row>
    <row r="36" spans="1:20" s="275" customFormat="1" x14ac:dyDescent="0.3">
      <c r="A36" s="301"/>
      <c r="B36" s="294" t="s">
        <v>8</v>
      </c>
      <c r="C36" s="294"/>
      <c r="D36" s="302" t="s">
        <v>260</v>
      </c>
      <c r="E36" s="302"/>
      <c r="F36" s="302" t="s">
        <v>261</v>
      </c>
      <c r="G36" s="302"/>
      <c r="H36" s="302" t="s">
        <v>236</v>
      </c>
      <c r="I36" s="302"/>
      <c r="J36" s="302" t="s">
        <v>262</v>
      </c>
      <c r="K36" s="302"/>
      <c r="L36" s="302" t="s">
        <v>263</v>
      </c>
      <c r="M36" s="302"/>
      <c r="N36" s="302"/>
      <c r="O36" s="329"/>
      <c r="P36" s="330"/>
      <c r="Q36" s="294"/>
      <c r="R36" s="294"/>
      <c r="S36" s="297"/>
      <c r="T36" s="274"/>
    </row>
    <row r="37" spans="1:20" s="275" customFormat="1" x14ac:dyDescent="0.3">
      <c r="A37" s="301"/>
      <c r="B37" s="294" t="s">
        <v>9</v>
      </c>
      <c r="C37" s="331"/>
      <c r="D37" s="330">
        <v>3.6900000000000001E-3</v>
      </c>
      <c r="E37" s="330"/>
      <c r="F37" s="330">
        <v>1.39469E-2</v>
      </c>
      <c r="G37" s="330"/>
      <c r="H37" s="330">
        <v>1.94469E-2</v>
      </c>
      <c r="I37" s="330"/>
      <c r="J37" s="330">
        <v>2.4946900000000001E-2</v>
      </c>
      <c r="K37" s="330"/>
      <c r="L37" s="330">
        <v>2.8446900000000001E-2</v>
      </c>
      <c r="M37" s="329"/>
      <c r="N37" s="330"/>
      <c r="O37" s="302"/>
      <c r="P37" s="302"/>
      <c r="Q37" s="294"/>
      <c r="R37" s="329"/>
      <c r="S37" s="297"/>
      <c r="T37" s="274"/>
    </row>
    <row r="38" spans="1:20" s="275" customFormat="1" x14ac:dyDescent="0.3">
      <c r="A38" s="301"/>
      <c r="B38" s="294" t="s">
        <v>10</v>
      </c>
      <c r="C38" s="331"/>
      <c r="D38" s="330">
        <v>3.6800000000000001E-3</v>
      </c>
      <c r="E38" s="330"/>
      <c r="F38" s="330">
        <v>1.43556E-2</v>
      </c>
      <c r="G38" s="330"/>
      <c r="H38" s="330">
        <v>1.9855600000000001E-2</v>
      </c>
      <c r="I38" s="330"/>
      <c r="J38" s="330">
        <v>2.5355599999999999E-2</v>
      </c>
      <c r="K38" s="330"/>
      <c r="L38" s="330">
        <v>2.8855599999999999E-2</v>
      </c>
      <c r="M38" s="329"/>
      <c r="N38" s="330"/>
      <c r="O38" s="302"/>
      <c r="P38" s="302"/>
      <c r="Q38" s="294"/>
      <c r="R38" s="294"/>
      <c r="S38" s="297"/>
      <c r="T38" s="274"/>
    </row>
    <row r="39" spans="1:20" s="275" customFormat="1" x14ac:dyDescent="0.3">
      <c r="A39" s="301"/>
      <c r="B39" s="294" t="s">
        <v>230</v>
      </c>
      <c r="C39" s="331"/>
      <c r="D39" s="332" t="s">
        <v>272</v>
      </c>
      <c r="E39" s="330"/>
      <c r="F39" s="330" t="s">
        <v>261</v>
      </c>
      <c r="G39" s="330"/>
      <c r="H39" s="330" t="s">
        <v>236</v>
      </c>
      <c r="I39" s="330"/>
      <c r="J39" s="302" t="s">
        <v>262</v>
      </c>
      <c r="K39" s="330"/>
      <c r="L39" s="330" t="s">
        <v>263</v>
      </c>
      <c r="M39" s="329"/>
      <c r="N39" s="330"/>
      <c r="O39" s="302"/>
      <c r="P39" s="302"/>
      <c r="Q39" s="294"/>
      <c r="R39" s="294"/>
      <c r="S39" s="297"/>
      <c r="T39" s="274"/>
    </row>
    <row r="40" spans="1:20" s="275" customFormat="1" x14ac:dyDescent="0.3">
      <c r="A40" s="301"/>
      <c r="B40" s="294" t="s">
        <v>231</v>
      </c>
      <c r="C40" s="331"/>
      <c r="D40" s="330">
        <v>1.55619E-2</v>
      </c>
      <c r="E40" s="330"/>
      <c r="F40" s="330">
        <f>+F37</f>
        <v>1.39469E-2</v>
      </c>
      <c r="G40" s="330"/>
      <c r="H40" s="330">
        <f>+H37</f>
        <v>1.94469E-2</v>
      </c>
      <c r="I40" s="330"/>
      <c r="J40" s="330">
        <f>+J37</f>
        <v>2.4946900000000001E-2</v>
      </c>
      <c r="K40" s="330"/>
      <c r="L40" s="330">
        <f>+L37</f>
        <v>2.8446900000000001E-2</v>
      </c>
      <c r="M40" s="329"/>
      <c r="N40" s="330"/>
      <c r="O40" s="302"/>
      <c r="P40" s="302"/>
      <c r="Q40" s="294"/>
      <c r="R40" s="329">
        <f>SUMPRODUCT(D40:L40,D32:L32)/R32</f>
        <v>1.6233786893423932E-2</v>
      </c>
      <c r="S40" s="297"/>
      <c r="T40" s="274"/>
    </row>
    <row r="41" spans="1:20" s="275" customFormat="1" x14ac:dyDescent="0.3">
      <c r="A41" s="301"/>
      <c r="B41" s="294" t="s">
        <v>232</v>
      </c>
      <c r="C41" s="331"/>
      <c r="D41" s="330">
        <v>1.5970600000000001E-2</v>
      </c>
      <c r="E41" s="330"/>
      <c r="F41" s="330">
        <f>+F38</f>
        <v>1.43556E-2</v>
      </c>
      <c r="G41" s="330"/>
      <c r="H41" s="330">
        <f>+H38</f>
        <v>1.9855600000000001E-2</v>
      </c>
      <c r="I41" s="330"/>
      <c r="J41" s="330">
        <f>+J38</f>
        <v>2.5355599999999999E-2</v>
      </c>
      <c r="K41" s="330"/>
      <c r="L41" s="330">
        <f>+L38</f>
        <v>2.8855599999999999E-2</v>
      </c>
      <c r="M41" s="329"/>
      <c r="N41" s="330"/>
      <c r="O41" s="302"/>
      <c r="P41" s="302"/>
      <c r="Q41" s="294"/>
      <c r="R41" s="294"/>
      <c r="S41" s="297"/>
      <c r="T41" s="274"/>
    </row>
    <row r="42" spans="1:20" s="275" customFormat="1" x14ac:dyDescent="0.3">
      <c r="A42" s="301"/>
      <c r="B42" s="294" t="s">
        <v>233</v>
      </c>
      <c r="C42" s="294"/>
      <c r="D42" s="331">
        <v>43753</v>
      </c>
      <c r="E42" s="331"/>
      <c r="F42" s="331">
        <v>43753</v>
      </c>
      <c r="G42" s="331"/>
      <c r="H42" s="331">
        <v>43753</v>
      </c>
      <c r="I42" s="331"/>
      <c r="J42" s="331">
        <v>43753</v>
      </c>
      <c r="K42" s="331"/>
      <c r="L42" s="331">
        <v>43753</v>
      </c>
      <c r="M42" s="331"/>
      <c r="N42" s="331"/>
      <c r="O42" s="302"/>
      <c r="P42" s="302"/>
      <c r="Q42" s="294"/>
      <c r="R42" s="294"/>
      <c r="S42" s="297"/>
      <c r="T42" s="274"/>
    </row>
    <row r="43" spans="1:20" s="275" customFormat="1" x14ac:dyDescent="0.3">
      <c r="A43" s="301"/>
      <c r="B43" s="294" t="s">
        <v>11</v>
      </c>
      <c r="C43" s="294"/>
      <c r="D43" s="331">
        <v>43753</v>
      </c>
      <c r="E43" s="331"/>
      <c r="F43" s="331">
        <v>43753</v>
      </c>
      <c r="G43" s="302"/>
      <c r="H43" s="331">
        <v>43753</v>
      </c>
      <c r="I43" s="302"/>
      <c r="J43" s="331">
        <v>43753</v>
      </c>
      <c r="K43" s="302"/>
      <c r="L43" s="331" t="s">
        <v>97</v>
      </c>
      <c r="M43" s="302"/>
      <c r="N43" s="331"/>
      <c r="O43" s="302"/>
      <c r="P43" s="302"/>
      <c r="Q43" s="294"/>
      <c r="R43" s="294"/>
      <c r="S43" s="297"/>
      <c r="T43" s="274"/>
    </row>
    <row r="44" spans="1:20" s="275" customFormat="1" x14ac:dyDescent="0.3">
      <c r="A44" s="301"/>
      <c r="B44" s="294" t="s">
        <v>98</v>
      </c>
      <c r="C44" s="294"/>
      <c r="D44" s="302" t="s">
        <v>264</v>
      </c>
      <c r="E44" s="302"/>
      <c r="F44" s="302" t="s">
        <v>262</v>
      </c>
      <c r="G44" s="302"/>
      <c r="H44" s="302" t="s">
        <v>237</v>
      </c>
      <c r="I44" s="302"/>
      <c r="J44" s="302" t="s">
        <v>265</v>
      </c>
      <c r="K44" s="302"/>
      <c r="L44" s="302" t="s">
        <v>97</v>
      </c>
      <c r="M44" s="302"/>
      <c r="N44" s="302"/>
      <c r="O44" s="333"/>
      <c r="P44" s="333"/>
      <c r="Q44" s="333"/>
      <c r="R44" s="333"/>
      <c r="S44" s="297"/>
      <c r="T44" s="274"/>
    </row>
    <row r="45" spans="1:20" s="275" customFormat="1" x14ac:dyDescent="0.3">
      <c r="A45" s="301"/>
      <c r="B45" s="294" t="s">
        <v>234</v>
      </c>
      <c r="C45" s="294"/>
      <c r="D45" s="302" t="s">
        <v>273</v>
      </c>
      <c r="E45" s="302"/>
      <c r="F45" s="302" t="s">
        <v>262</v>
      </c>
      <c r="G45" s="302"/>
      <c r="H45" s="302" t="s">
        <v>237</v>
      </c>
      <c r="I45" s="302"/>
      <c r="J45" s="302" t="s">
        <v>265</v>
      </c>
      <c r="K45" s="302"/>
      <c r="L45" s="302" t="s">
        <v>97</v>
      </c>
      <c r="M45" s="302"/>
      <c r="N45" s="302"/>
      <c r="O45" s="333"/>
      <c r="P45" s="333"/>
      <c r="Q45" s="333"/>
      <c r="R45" s="333"/>
      <c r="S45" s="297"/>
      <c r="T45" s="274"/>
    </row>
    <row r="46" spans="1:20" s="275" customFormat="1" x14ac:dyDescent="0.3">
      <c r="A46" s="301"/>
      <c r="B46" s="294"/>
      <c r="C46" s="294"/>
      <c r="D46" s="302"/>
      <c r="E46" s="302"/>
      <c r="F46" s="302"/>
      <c r="G46" s="302"/>
      <c r="H46" s="302"/>
      <c r="I46" s="302"/>
      <c r="J46" s="302"/>
      <c r="K46" s="302"/>
      <c r="L46" s="302"/>
      <c r="M46" s="302"/>
      <c r="N46" s="302"/>
      <c r="O46" s="294"/>
      <c r="P46" s="294"/>
      <c r="Q46" s="294"/>
      <c r="R46" s="329" t="s">
        <v>130</v>
      </c>
      <c r="S46" s="297"/>
      <c r="T46" s="274"/>
    </row>
    <row r="47" spans="1:20" s="275" customFormat="1" x14ac:dyDescent="0.3">
      <c r="A47" s="301"/>
      <c r="B47" s="294" t="s">
        <v>238</v>
      </c>
      <c r="C47" s="294"/>
      <c r="D47" s="302"/>
      <c r="E47" s="302"/>
      <c r="F47" s="302"/>
      <c r="G47" s="302"/>
      <c r="H47" s="302"/>
      <c r="I47" s="302"/>
      <c r="J47" s="302"/>
      <c r="K47" s="302"/>
      <c r="L47" s="302"/>
      <c r="M47" s="302"/>
      <c r="N47" s="302"/>
      <c r="O47" s="294"/>
      <c r="P47" s="294"/>
      <c r="Q47" s="294"/>
      <c r="R47" s="334">
        <f>SUM(H31:L31)/(D31+F31)</f>
        <v>0.14548113193139994</v>
      </c>
      <c r="S47" s="297"/>
      <c r="T47" s="274"/>
    </row>
    <row r="48" spans="1:20" s="275" customFormat="1" x14ac:dyDescent="0.3">
      <c r="A48" s="301"/>
      <c r="B48" s="294" t="s">
        <v>239</v>
      </c>
      <c r="C48" s="294"/>
      <c r="D48" s="294"/>
      <c r="E48" s="294"/>
      <c r="F48" s="294"/>
      <c r="G48" s="294"/>
      <c r="H48" s="294"/>
      <c r="I48" s="294"/>
      <c r="J48" s="294"/>
      <c r="K48" s="294"/>
      <c r="L48" s="294"/>
      <c r="M48" s="294"/>
      <c r="N48" s="294"/>
      <c r="O48" s="294"/>
      <c r="P48" s="294"/>
      <c r="Q48" s="294"/>
      <c r="R48" s="334">
        <f>SUM(H33:L33)/(D33+F33)</f>
        <v>0.46665676113409393</v>
      </c>
      <c r="S48" s="297"/>
      <c r="T48" s="274"/>
    </row>
    <row r="49" spans="1:21" s="275" customFormat="1" x14ac:dyDescent="0.3">
      <c r="A49" s="301"/>
      <c r="B49" s="294" t="s">
        <v>240</v>
      </c>
      <c r="C49" s="294"/>
      <c r="D49" s="294"/>
      <c r="E49" s="294"/>
      <c r="F49" s="294"/>
      <c r="G49" s="294"/>
      <c r="H49" s="294"/>
      <c r="I49" s="294"/>
      <c r="J49" s="294"/>
      <c r="K49" s="294"/>
      <c r="L49" s="294"/>
      <c r="M49" s="294"/>
      <c r="N49" s="294"/>
      <c r="O49" s="294"/>
      <c r="P49" s="302"/>
      <c r="Q49" s="302"/>
      <c r="R49" s="304" t="s">
        <v>149</v>
      </c>
      <c r="S49" s="297"/>
      <c r="T49" s="274"/>
    </row>
    <row r="50" spans="1:21" s="275" customFormat="1" x14ac:dyDescent="0.3">
      <c r="A50" s="301"/>
      <c r="B50" s="294"/>
      <c r="C50" s="294"/>
      <c r="D50" s="294"/>
      <c r="E50" s="294"/>
      <c r="F50" s="294"/>
      <c r="G50" s="294"/>
      <c r="H50" s="294"/>
      <c r="I50" s="294"/>
      <c r="J50" s="294"/>
      <c r="K50" s="294"/>
      <c r="L50" s="294"/>
      <c r="M50" s="294"/>
      <c r="N50" s="294"/>
      <c r="O50" s="294"/>
      <c r="P50" s="294"/>
      <c r="Q50" s="294"/>
      <c r="R50" s="335"/>
      <c r="S50" s="297"/>
      <c r="T50" s="274"/>
    </row>
    <row r="51" spans="1:21" s="275" customFormat="1" x14ac:dyDescent="0.3">
      <c r="A51" s="301"/>
      <c r="B51" s="294" t="s">
        <v>221</v>
      </c>
      <c r="C51" s="294"/>
      <c r="D51" s="294"/>
      <c r="E51" s="294"/>
      <c r="F51" s="294"/>
      <c r="G51" s="294"/>
      <c r="H51" s="294"/>
      <c r="I51" s="294"/>
      <c r="J51" s="294"/>
      <c r="K51" s="294"/>
      <c r="L51" s="294"/>
      <c r="M51" s="294"/>
      <c r="N51" s="294"/>
      <c r="O51" s="294"/>
      <c r="P51" s="294"/>
      <c r="Q51" s="294"/>
      <c r="R51" s="336" t="s">
        <v>91</v>
      </c>
      <c r="S51" s="297"/>
      <c r="T51" s="274"/>
    </row>
    <row r="52" spans="1:21" s="275" customFormat="1" x14ac:dyDescent="0.3">
      <c r="A52" s="301"/>
      <c r="B52" s="298" t="s">
        <v>131</v>
      </c>
      <c r="C52" s="298"/>
      <c r="D52" s="298"/>
      <c r="E52" s="298"/>
      <c r="F52" s="298"/>
      <c r="G52" s="298"/>
      <c r="H52" s="298"/>
      <c r="I52" s="298"/>
      <c r="J52" s="298"/>
      <c r="K52" s="298"/>
      <c r="L52" s="298"/>
      <c r="M52" s="298"/>
      <c r="N52" s="298"/>
      <c r="O52" s="298"/>
      <c r="P52" s="337"/>
      <c r="Q52" s="337"/>
      <c r="R52" s="338">
        <v>43024</v>
      </c>
      <c r="S52" s="297"/>
      <c r="T52" s="274"/>
    </row>
    <row r="53" spans="1:21" s="275" customFormat="1" x14ac:dyDescent="0.3">
      <c r="A53" s="301"/>
      <c r="B53" s="294" t="s">
        <v>99</v>
      </c>
      <c r="C53" s="294"/>
      <c r="D53" s="339"/>
      <c r="E53" s="339"/>
      <c r="F53" s="339"/>
      <c r="G53" s="339"/>
      <c r="H53" s="339"/>
      <c r="I53" s="339"/>
      <c r="J53" s="339"/>
      <c r="K53" s="339"/>
      <c r="L53" s="339"/>
      <c r="M53" s="339"/>
      <c r="N53" s="294">
        <f>+R53-P53+1</f>
        <v>90</v>
      </c>
      <c r="O53" s="294"/>
      <c r="P53" s="340">
        <v>42843</v>
      </c>
      <c r="Q53" s="341"/>
      <c r="R53" s="340">
        <v>42932</v>
      </c>
      <c r="S53" s="297"/>
      <c r="T53" s="274"/>
    </row>
    <row r="54" spans="1:21" s="275" customFormat="1" x14ac:dyDescent="0.3">
      <c r="A54" s="301"/>
      <c r="B54" s="294" t="s">
        <v>100</v>
      </c>
      <c r="C54" s="294"/>
      <c r="D54" s="294"/>
      <c r="E54" s="294"/>
      <c r="F54" s="294"/>
      <c r="G54" s="294"/>
      <c r="H54" s="294"/>
      <c r="I54" s="294"/>
      <c r="J54" s="294"/>
      <c r="K54" s="294"/>
      <c r="L54" s="294"/>
      <c r="M54" s="294"/>
      <c r="N54" s="294">
        <f>+R54-P54+1</f>
        <v>91</v>
      </c>
      <c r="O54" s="294"/>
      <c r="P54" s="340">
        <v>42933</v>
      </c>
      <c r="Q54" s="341"/>
      <c r="R54" s="340">
        <v>43023</v>
      </c>
      <c r="S54" s="297"/>
      <c r="T54" s="274"/>
    </row>
    <row r="55" spans="1:21" s="275" customFormat="1" x14ac:dyDescent="0.3">
      <c r="A55" s="301"/>
      <c r="B55" s="294" t="s">
        <v>244</v>
      </c>
      <c r="C55" s="294"/>
      <c r="D55" s="294"/>
      <c r="E55" s="294"/>
      <c r="F55" s="294"/>
      <c r="G55" s="294"/>
      <c r="H55" s="294"/>
      <c r="I55" s="294"/>
      <c r="J55" s="294"/>
      <c r="K55" s="294"/>
      <c r="L55" s="294"/>
      <c r="M55" s="294"/>
      <c r="N55" s="294"/>
      <c r="O55" s="294"/>
      <c r="P55" s="340"/>
      <c r="Q55" s="341"/>
      <c r="R55" s="340" t="s">
        <v>246</v>
      </c>
      <c r="S55" s="297"/>
      <c r="T55" s="274"/>
    </row>
    <row r="56" spans="1:21" s="275" customFormat="1" x14ac:dyDescent="0.3">
      <c r="A56" s="301"/>
      <c r="B56" s="294" t="s">
        <v>245</v>
      </c>
      <c r="C56" s="294"/>
      <c r="D56" s="294"/>
      <c r="E56" s="294"/>
      <c r="F56" s="294"/>
      <c r="G56" s="294"/>
      <c r="H56" s="294"/>
      <c r="I56" s="294"/>
      <c r="J56" s="294"/>
      <c r="K56" s="294"/>
      <c r="L56" s="294"/>
      <c r="M56" s="294"/>
      <c r="N56" s="294"/>
      <c r="O56" s="294"/>
      <c r="P56" s="340"/>
      <c r="Q56" s="341"/>
      <c r="R56" s="340" t="s">
        <v>118</v>
      </c>
      <c r="S56" s="297"/>
      <c r="T56" s="274"/>
      <c r="U56" s="342"/>
    </row>
    <row r="57" spans="1:21" s="275" customFormat="1" x14ac:dyDescent="0.3">
      <c r="A57" s="301"/>
      <c r="B57" s="294" t="s">
        <v>12</v>
      </c>
      <c r="C57" s="294"/>
      <c r="D57" s="294"/>
      <c r="E57" s="294"/>
      <c r="F57" s="294"/>
      <c r="G57" s="294"/>
      <c r="H57" s="294"/>
      <c r="I57" s="294"/>
      <c r="J57" s="294"/>
      <c r="K57" s="294"/>
      <c r="L57" s="294"/>
      <c r="M57" s="294"/>
      <c r="N57" s="294"/>
      <c r="O57" s="294"/>
      <c r="P57" s="340"/>
      <c r="Q57" s="341"/>
      <c r="R57" s="340">
        <v>43010</v>
      </c>
      <c r="S57" s="297"/>
      <c r="T57" s="274"/>
    </row>
    <row r="58" spans="1:21" x14ac:dyDescent="0.3">
      <c r="A58" s="258"/>
      <c r="B58" s="343"/>
      <c r="C58" s="343"/>
      <c r="D58" s="343"/>
      <c r="E58" s="343"/>
      <c r="F58" s="343"/>
      <c r="G58" s="343"/>
      <c r="H58" s="343"/>
      <c r="I58" s="343"/>
      <c r="J58" s="343"/>
      <c r="K58" s="343"/>
      <c r="L58" s="343"/>
      <c r="M58" s="343"/>
      <c r="N58" s="343"/>
      <c r="O58" s="343"/>
      <c r="P58" s="344"/>
      <c r="Q58" s="345"/>
      <c r="R58" s="344"/>
      <c r="S58" s="261"/>
      <c r="T58" s="256"/>
    </row>
    <row r="59" spans="1:21" x14ac:dyDescent="0.3">
      <c r="A59" s="258"/>
      <c r="B59" s="260"/>
      <c r="C59" s="260"/>
      <c r="D59" s="260"/>
      <c r="E59" s="260"/>
      <c r="F59" s="260"/>
      <c r="G59" s="260"/>
      <c r="H59" s="260"/>
      <c r="I59" s="260"/>
      <c r="J59" s="260"/>
      <c r="K59" s="260"/>
      <c r="L59" s="260"/>
      <c r="M59" s="260"/>
      <c r="N59" s="260"/>
      <c r="O59" s="260"/>
      <c r="P59" s="346"/>
      <c r="Q59" s="347"/>
      <c r="R59" s="346"/>
      <c r="S59" s="261"/>
      <c r="T59" s="256"/>
    </row>
    <row r="60" spans="1:21" ht="18.600000000000001" thickBot="1" x14ac:dyDescent="0.4">
      <c r="A60" s="348"/>
      <c r="B60" s="349" t="s">
        <v>288</v>
      </c>
      <c r="C60" s="350"/>
      <c r="D60" s="350"/>
      <c r="E60" s="350"/>
      <c r="F60" s="350"/>
      <c r="G60" s="350"/>
      <c r="H60" s="350"/>
      <c r="I60" s="350"/>
      <c r="J60" s="350"/>
      <c r="K60" s="350"/>
      <c r="L60" s="350"/>
      <c r="M60" s="350"/>
      <c r="N60" s="350"/>
      <c r="O60" s="350"/>
      <c r="P60" s="350"/>
      <c r="Q60" s="350"/>
      <c r="R60" s="351"/>
      <c r="S60" s="352"/>
      <c r="T60" s="256"/>
    </row>
    <row r="61" spans="1:21" x14ac:dyDescent="0.3">
      <c r="A61" s="286"/>
      <c r="B61" s="353" t="s">
        <v>13</v>
      </c>
      <c r="C61" s="354"/>
      <c r="D61" s="354"/>
      <c r="E61" s="354"/>
      <c r="F61" s="354"/>
      <c r="G61" s="354"/>
      <c r="H61" s="354"/>
      <c r="I61" s="354"/>
      <c r="J61" s="354"/>
      <c r="K61" s="354"/>
      <c r="L61" s="354"/>
      <c r="M61" s="354"/>
      <c r="N61" s="354"/>
      <c r="O61" s="354"/>
      <c r="P61" s="354"/>
      <c r="Q61" s="354"/>
      <c r="R61" s="355"/>
      <c r="S61" s="354"/>
      <c r="T61" s="256"/>
    </row>
    <row r="62" spans="1:21" x14ac:dyDescent="0.3">
      <c r="A62" s="258"/>
      <c r="B62" s="269"/>
      <c r="C62" s="260"/>
      <c r="D62" s="260"/>
      <c r="E62" s="260"/>
      <c r="F62" s="260"/>
      <c r="G62" s="260"/>
      <c r="H62" s="260"/>
      <c r="I62" s="260"/>
      <c r="J62" s="260"/>
      <c r="K62" s="260"/>
      <c r="L62" s="260"/>
      <c r="M62" s="260"/>
      <c r="N62" s="260"/>
      <c r="O62" s="260"/>
      <c r="P62" s="260"/>
      <c r="Q62" s="260"/>
      <c r="R62" s="356"/>
      <c r="S62" s="261"/>
      <c r="T62" s="256"/>
    </row>
    <row r="63" spans="1:21" s="325" customFormat="1" ht="46.8" x14ac:dyDescent="0.3">
      <c r="A63" s="357"/>
      <c r="B63" s="358" t="s">
        <v>14</v>
      </c>
      <c r="C63" s="359"/>
      <c r="D63" s="359"/>
      <c r="E63" s="359"/>
      <c r="F63" s="359" t="s">
        <v>76</v>
      </c>
      <c r="G63" s="359"/>
      <c r="H63" s="359" t="s">
        <v>78</v>
      </c>
      <c r="I63" s="359"/>
      <c r="J63" s="359" t="s">
        <v>162</v>
      </c>
      <c r="K63" s="359"/>
      <c r="L63" s="359" t="s">
        <v>163</v>
      </c>
      <c r="M63" s="359"/>
      <c r="N63" s="359" t="s">
        <v>81</v>
      </c>
      <c r="O63" s="359"/>
      <c r="P63" s="359" t="s">
        <v>86</v>
      </c>
      <c r="Q63" s="359"/>
      <c r="R63" s="360" t="s">
        <v>92</v>
      </c>
      <c r="S63" s="361"/>
      <c r="T63" s="324"/>
    </row>
    <row r="64" spans="1:21" s="275" customFormat="1" x14ac:dyDescent="0.3">
      <c r="A64" s="301"/>
      <c r="B64" s="294" t="s">
        <v>15</v>
      </c>
      <c r="C64" s="362"/>
      <c r="D64" s="362"/>
      <c r="E64" s="362"/>
      <c r="F64" s="362">
        <v>281184</v>
      </c>
      <c r="G64" s="362"/>
      <c r="H64" s="363">
        <v>189012</v>
      </c>
      <c r="I64" s="362"/>
      <c r="J64" s="363">
        <v>105</v>
      </c>
      <c r="K64" s="362"/>
      <c r="L64" s="362">
        <v>57356</v>
      </c>
      <c r="M64" s="362"/>
      <c r="N64" s="362">
        <v>0</v>
      </c>
      <c r="O64" s="362"/>
      <c r="P64" s="362">
        <f>2347+3304+6140</f>
        <v>11791</v>
      </c>
      <c r="Q64" s="362"/>
      <c r="R64" s="363">
        <f>H64-J64-L64+N64-P64</f>
        <v>119760</v>
      </c>
      <c r="S64" s="297"/>
      <c r="T64" s="274"/>
      <c r="U64" s="364"/>
    </row>
    <row r="65" spans="1:21" s="275" customFormat="1" x14ac:dyDescent="0.3">
      <c r="A65" s="301"/>
      <c r="B65" s="294" t="s">
        <v>16</v>
      </c>
      <c r="C65" s="362"/>
      <c r="D65" s="362"/>
      <c r="E65" s="362"/>
      <c r="F65" s="362">
        <v>0</v>
      </c>
      <c r="G65" s="362"/>
      <c r="H65" s="363">
        <v>0</v>
      </c>
      <c r="I65" s="362"/>
      <c r="J65" s="363">
        <v>0</v>
      </c>
      <c r="K65" s="362"/>
      <c r="L65" s="362">
        <v>0</v>
      </c>
      <c r="M65" s="362"/>
      <c r="N65" s="362">
        <v>0</v>
      </c>
      <c r="O65" s="362"/>
      <c r="P65" s="362">
        <v>0</v>
      </c>
      <c r="Q65" s="362"/>
      <c r="R65" s="363">
        <f>F65-J65-L65</f>
        <v>0</v>
      </c>
      <c r="S65" s="297"/>
      <c r="T65" s="274"/>
    </row>
    <row r="66" spans="1:21" s="275" customFormat="1" x14ac:dyDescent="0.3">
      <c r="A66" s="301"/>
      <c r="B66" s="294"/>
      <c r="C66" s="362"/>
      <c r="D66" s="362"/>
      <c r="E66" s="362"/>
      <c r="F66" s="362"/>
      <c r="G66" s="362"/>
      <c r="H66" s="363"/>
      <c r="I66" s="362"/>
      <c r="J66" s="363"/>
      <c r="K66" s="362"/>
      <c r="L66" s="362"/>
      <c r="M66" s="362"/>
      <c r="N66" s="362"/>
      <c r="O66" s="362"/>
      <c r="P66" s="362"/>
      <c r="Q66" s="362"/>
      <c r="R66" s="363"/>
      <c r="S66" s="297"/>
      <c r="T66" s="274"/>
      <c r="U66" s="364"/>
    </row>
    <row r="67" spans="1:21" s="275" customFormat="1" x14ac:dyDescent="0.3">
      <c r="A67" s="301"/>
      <c r="B67" s="294" t="s">
        <v>17</v>
      </c>
      <c r="C67" s="362"/>
      <c r="D67" s="362"/>
      <c r="E67" s="362"/>
      <c r="F67" s="362">
        <f>SUM(F64:F66)</f>
        <v>281184</v>
      </c>
      <c r="G67" s="362"/>
      <c r="H67" s="362">
        <f>H64+H65</f>
        <v>189012</v>
      </c>
      <c r="I67" s="362"/>
      <c r="J67" s="362">
        <f>J64+J65</f>
        <v>105</v>
      </c>
      <c r="K67" s="362"/>
      <c r="L67" s="362">
        <f>SUM(L64:L66)</f>
        <v>57356</v>
      </c>
      <c r="M67" s="362"/>
      <c r="N67" s="362">
        <f>SUM(N64:N66)</f>
        <v>0</v>
      </c>
      <c r="O67" s="362"/>
      <c r="P67" s="362">
        <f>SUM(P64:P66)</f>
        <v>11791</v>
      </c>
      <c r="Q67" s="362"/>
      <c r="R67" s="362">
        <f>SUM(R64:R66)</f>
        <v>119760</v>
      </c>
      <c r="S67" s="297"/>
      <c r="T67" s="274"/>
    </row>
    <row r="68" spans="1:21" x14ac:dyDescent="0.3">
      <c r="A68" s="258"/>
      <c r="B68" s="343"/>
      <c r="C68" s="365"/>
      <c r="D68" s="365"/>
      <c r="E68" s="365"/>
      <c r="F68" s="365"/>
      <c r="G68" s="365"/>
      <c r="H68" s="365"/>
      <c r="I68" s="365"/>
      <c r="J68" s="365"/>
      <c r="K68" s="365"/>
      <c r="L68" s="365"/>
      <c r="M68" s="365"/>
      <c r="N68" s="365"/>
      <c r="O68" s="365"/>
      <c r="P68" s="365"/>
      <c r="Q68" s="365"/>
      <c r="R68" s="366"/>
      <c r="S68" s="261"/>
      <c r="T68" s="256"/>
    </row>
    <row r="69" spans="1:21" x14ac:dyDescent="0.3">
      <c r="A69" s="258"/>
      <c r="B69" s="263" t="s">
        <v>18</v>
      </c>
      <c r="C69" s="367"/>
      <c r="D69" s="367"/>
      <c r="E69" s="367"/>
      <c r="F69" s="367"/>
      <c r="G69" s="367"/>
      <c r="H69" s="367"/>
      <c r="I69" s="367"/>
      <c r="J69" s="367"/>
      <c r="K69" s="367"/>
      <c r="L69" s="367"/>
      <c r="M69" s="367"/>
      <c r="N69" s="367"/>
      <c r="O69" s="367"/>
      <c r="P69" s="367"/>
      <c r="Q69" s="367"/>
      <c r="R69" s="368"/>
      <c r="S69" s="261"/>
      <c r="T69" s="256"/>
    </row>
    <row r="70" spans="1:21" x14ac:dyDescent="0.3">
      <c r="A70" s="258"/>
      <c r="B70" s="260"/>
      <c r="C70" s="367"/>
      <c r="D70" s="367"/>
      <c r="E70" s="367"/>
      <c r="F70" s="367"/>
      <c r="G70" s="367"/>
      <c r="H70" s="367"/>
      <c r="I70" s="367"/>
      <c r="J70" s="367"/>
      <c r="K70" s="367"/>
      <c r="L70" s="367"/>
      <c r="M70" s="367"/>
      <c r="N70" s="367"/>
      <c r="O70" s="367"/>
      <c r="P70" s="367"/>
      <c r="Q70" s="367"/>
      <c r="R70" s="368"/>
      <c r="S70" s="261"/>
      <c r="T70" s="256"/>
    </row>
    <row r="71" spans="1:21" s="275" customFormat="1" x14ac:dyDescent="0.3">
      <c r="A71" s="301"/>
      <c r="B71" s="294" t="s">
        <v>15</v>
      </c>
      <c r="C71" s="362"/>
      <c r="D71" s="362"/>
      <c r="E71" s="362"/>
      <c r="F71" s="362"/>
      <c r="G71" s="362"/>
      <c r="H71" s="362"/>
      <c r="I71" s="362"/>
      <c r="J71" s="362"/>
      <c r="K71" s="362"/>
      <c r="L71" s="362"/>
      <c r="M71" s="362"/>
      <c r="N71" s="362"/>
      <c r="O71" s="362"/>
      <c r="P71" s="362"/>
      <c r="Q71" s="362"/>
      <c r="R71" s="362"/>
      <c r="S71" s="297"/>
      <c r="T71" s="274"/>
    </row>
    <row r="72" spans="1:21" s="275" customFormat="1" x14ac:dyDescent="0.3">
      <c r="A72" s="301"/>
      <c r="B72" s="294" t="s">
        <v>16</v>
      </c>
      <c r="C72" s="362"/>
      <c r="D72" s="362"/>
      <c r="E72" s="362"/>
      <c r="F72" s="362"/>
      <c r="G72" s="362"/>
      <c r="H72" s="362"/>
      <c r="I72" s="362"/>
      <c r="J72" s="362"/>
      <c r="K72" s="362"/>
      <c r="L72" s="362"/>
      <c r="M72" s="362"/>
      <c r="N72" s="362"/>
      <c r="O72" s="362"/>
      <c r="P72" s="362"/>
      <c r="Q72" s="362"/>
      <c r="R72" s="362"/>
      <c r="S72" s="297"/>
      <c r="T72" s="274"/>
    </row>
    <row r="73" spans="1:21" s="275" customFormat="1" x14ac:dyDescent="0.3">
      <c r="A73" s="301"/>
      <c r="B73" s="294"/>
      <c r="C73" s="362"/>
      <c r="D73" s="362"/>
      <c r="E73" s="362"/>
      <c r="F73" s="362"/>
      <c r="G73" s="362"/>
      <c r="H73" s="362"/>
      <c r="I73" s="362"/>
      <c r="J73" s="362"/>
      <c r="K73" s="362"/>
      <c r="L73" s="362"/>
      <c r="M73" s="362"/>
      <c r="N73" s="362"/>
      <c r="O73" s="362"/>
      <c r="P73" s="362"/>
      <c r="Q73" s="362"/>
      <c r="R73" s="362"/>
      <c r="S73" s="297"/>
      <c r="T73" s="274"/>
    </row>
    <row r="74" spans="1:21" s="275" customFormat="1" x14ac:dyDescent="0.3">
      <c r="A74" s="301"/>
      <c r="B74" s="294" t="s">
        <v>17</v>
      </c>
      <c r="C74" s="362"/>
      <c r="D74" s="362"/>
      <c r="E74" s="362"/>
      <c r="F74" s="362"/>
      <c r="G74" s="362"/>
      <c r="H74" s="362"/>
      <c r="I74" s="362"/>
      <c r="J74" s="362"/>
      <c r="K74" s="362"/>
      <c r="L74" s="362"/>
      <c r="M74" s="362"/>
      <c r="N74" s="362"/>
      <c r="O74" s="362"/>
      <c r="P74" s="362"/>
      <c r="Q74" s="362"/>
      <c r="R74" s="362"/>
      <c r="S74" s="297"/>
      <c r="T74" s="274"/>
    </row>
    <row r="75" spans="1:21" s="275" customFormat="1" x14ac:dyDescent="0.3">
      <c r="A75" s="301"/>
      <c r="B75" s="294"/>
      <c r="C75" s="362"/>
      <c r="D75" s="362"/>
      <c r="E75" s="362"/>
      <c r="F75" s="362"/>
      <c r="G75" s="362"/>
      <c r="H75" s="362"/>
      <c r="I75" s="362"/>
      <c r="J75" s="362"/>
      <c r="K75" s="362"/>
      <c r="L75" s="362"/>
      <c r="M75" s="362"/>
      <c r="N75" s="362"/>
      <c r="O75" s="362"/>
      <c r="P75" s="362"/>
      <c r="Q75" s="362"/>
      <c r="R75" s="362"/>
      <c r="S75" s="297"/>
      <c r="T75" s="274"/>
    </row>
    <row r="76" spans="1:21" s="275" customFormat="1" x14ac:dyDescent="0.3">
      <c r="A76" s="301"/>
      <c r="B76" s="294" t="s">
        <v>19</v>
      </c>
      <c r="C76" s="362"/>
      <c r="D76" s="362"/>
      <c r="E76" s="362"/>
      <c r="F76" s="362">
        <v>0</v>
      </c>
      <c r="G76" s="362"/>
      <c r="H76" s="362">
        <v>0</v>
      </c>
      <c r="I76" s="362"/>
      <c r="J76" s="362"/>
      <c r="K76" s="362"/>
      <c r="L76" s="362"/>
      <c r="M76" s="362"/>
      <c r="N76" s="362"/>
      <c r="O76" s="362"/>
      <c r="P76" s="362"/>
      <c r="Q76" s="362"/>
      <c r="R76" s="363">
        <v>0</v>
      </c>
      <c r="S76" s="297"/>
      <c r="T76" s="274"/>
    </row>
    <row r="77" spans="1:21" s="275" customFormat="1" x14ac:dyDescent="0.3">
      <c r="A77" s="301"/>
      <c r="B77" s="294" t="s">
        <v>196</v>
      </c>
      <c r="C77" s="362"/>
      <c r="D77" s="362"/>
      <c r="E77" s="362"/>
      <c r="F77" s="362">
        <v>17345</v>
      </c>
      <c r="G77" s="362"/>
      <c r="H77" s="362">
        <v>0</v>
      </c>
      <c r="I77" s="362"/>
      <c r="J77" s="362">
        <v>0</v>
      </c>
      <c r="K77" s="362"/>
      <c r="L77" s="362">
        <v>0</v>
      </c>
      <c r="M77" s="362"/>
      <c r="N77" s="362"/>
      <c r="O77" s="362"/>
      <c r="P77" s="362"/>
      <c r="Q77" s="362"/>
      <c r="R77" s="362">
        <v>0</v>
      </c>
      <c r="S77" s="297"/>
      <c r="T77" s="274"/>
    </row>
    <row r="78" spans="1:21" s="275" customFormat="1" x14ac:dyDescent="0.3">
      <c r="A78" s="301"/>
      <c r="B78" s="294" t="s">
        <v>206</v>
      </c>
      <c r="C78" s="362"/>
      <c r="D78" s="362"/>
      <c r="E78" s="362"/>
      <c r="F78" s="362">
        <v>1500</v>
      </c>
      <c r="G78" s="362"/>
      <c r="H78" s="362">
        <v>0</v>
      </c>
      <c r="I78" s="362"/>
      <c r="J78" s="362"/>
      <c r="K78" s="362"/>
      <c r="L78" s="362"/>
      <c r="M78" s="362"/>
      <c r="N78" s="362">
        <v>0</v>
      </c>
      <c r="O78" s="362"/>
      <c r="P78" s="362"/>
      <c r="Q78" s="362"/>
      <c r="R78" s="362">
        <f>+H78+N78</f>
        <v>0</v>
      </c>
      <c r="S78" s="297"/>
      <c r="T78" s="274"/>
    </row>
    <row r="79" spans="1:21" s="275" customFormat="1" x14ac:dyDescent="0.3">
      <c r="A79" s="301"/>
      <c r="B79" s="294" t="s">
        <v>20</v>
      </c>
      <c r="C79" s="362"/>
      <c r="D79" s="362"/>
      <c r="E79" s="362"/>
      <c r="F79" s="362">
        <v>0</v>
      </c>
      <c r="G79" s="362"/>
      <c r="H79" s="362">
        <v>0</v>
      </c>
      <c r="I79" s="362"/>
      <c r="J79" s="362"/>
      <c r="K79" s="362"/>
      <c r="L79" s="362"/>
      <c r="M79" s="362"/>
      <c r="N79" s="362"/>
      <c r="O79" s="362"/>
      <c r="P79" s="362"/>
      <c r="Q79" s="362"/>
      <c r="R79" s="362">
        <v>0</v>
      </c>
      <c r="S79" s="297"/>
      <c r="T79" s="274"/>
    </row>
    <row r="80" spans="1:21" s="275" customFormat="1" x14ac:dyDescent="0.3">
      <c r="A80" s="301"/>
      <c r="B80" s="294" t="s">
        <v>21</v>
      </c>
      <c r="C80" s="362"/>
      <c r="D80" s="362"/>
      <c r="E80" s="362"/>
      <c r="F80" s="362">
        <f>SUM(F67:F79)</f>
        <v>300029</v>
      </c>
      <c r="G80" s="362"/>
      <c r="H80" s="362">
        <f>SUM(H67:H79)</f>
        <v>189012</v>
      </c>
      <c r="I80" s="362"/>
      <c r="J80" s="362"/>
      <c r="K80" s="362"/>
      <c r="L80" s="362"/>
      <c r="M80" s="362"/>
      <c r="N80" s="362"/>
      <c r="O80" s="362"/>
      <c r="P80" s="362"/>
      <c r="Q80" s="362"/>
      <c r="R80" s="362">
        <f>SUM(R67:R79)</f>
        <v>119760</v>
      </c>
      <c r="S80" s="297"/>
      <c r="T80" s="274"/>
    </row>
    <row r="81" spans="1:20" x14ac:dyDescent="0.3">
      <c r="A81" s="258"/>
      <c r="B81" s="343"/>
      <c r="C81" s="365"/>
      <c r="D81" s="365"/>
      <c r="E81" s="365"/>
      <c r="F81" s="365"/>
      <c r="G81" s="365"/>
      <c r="H81" s="365"/>
      <c r="I81" s="365"/>
      <c r="J81" s="365"/>
      <c r="K81" s="365"/>
      <c r="L81" s="365"/>
      <c r="M81" s="365"/>
      <c r="N81" s="365"/>
      <c r="O81" s="365"/>
      <c r="P81" s="365"/>
      <c r="Q81" s="365"/>
      <c r="R81" s="366"/>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6"/>
      <c r="B83" s="369" t="s">
        <v>22</v>
      </c>
      <c r="C83" s="369"/>
      <c r="D83" s="370"/>
      <c r="E83" s="370"/>
      <c r="F83" s="370"/>
      <c r="G83" s="370"/>
      <c r="H83" s="371" t="s">
        <v>77</v>
      </c>
      <c r="I83" s="370"/>
      <c r="J83" s="372">
        <f>+P206</f>
        <v>43007</v>
      </c>
      <c r="K83" s="370"/>
      <c r="L83" s="370"/>
      <c r="M83" s="370"/>
      <c r="N83" s="370"/>
      <c r="O83" s="370"/>
      <c r="P83" s="370" t="s">
        <v>87</v>
      </c>
      <c r="Q83" s="370"/>
      <c r="R83" s="370" t="s">
        <v>93</v>
      </c>
      <c r="S83" s="290"/>
      <c r="T83" s="256"/>
    </row>
    <row r="84" spans="1:20" s="275" customFormat="1" x14ac:dyDescent="0.3">
      <c r="A84" s="270"/>
      <c r="B84" s="291" t="s">
        <v>23</v>
      </c>
      <c r="C84" s="291"/>
      <c r="D84" s="291"/>
      <c r="E84" s="291"/>
      <c r="F84" s="291"/>
      <c r="G84" s="291"/>
      <c r="H84" s="291"/>
      <c r="I84" s="291"/>
      <c r="J84" s="291"/>
      <c r="K84" s="291"/>
      <c r="L84" s="291"/>
      <c r="M84" s="291"/>
      <c r="N84" s="291"/>
      <c r="O84" s="291"/>
      <c r="P84" s="373">
        <v>0</v>
      </c>
      <c r="Q84" s="291"/>
      <c r="R84" s="374">
        <v>0</v>
      </c>
      <c r="S84" s="273"/>
      <c r="T84" s="274"/>
    </row>
    <row r="85" spans="1:20" s="275" customFormat="1" x14ac:dyDescent="0.3">
      <c r="A85" s="301"/>
      <c r="B85" s="294" t="s">
        <v>219</v>
      </c>
      <c r="C85" s="294"/>
      <c r="D85" s="333"/>
      <c r="E85" s="333"/>
      <c r="F85" s="333"/>
      <c r="G85" s="375"/>
      <c r="H85" s="333"/>
      <c r="I85" s="294"/>
      <c r="J85" s="376"/>
      <c r="K85" s="294"/>
      <c r="L85" s="294"/>
      <c r="M85" s="294"/>
      <c r="N85" s="294"/>
      <c r="O85" s="294"/>
      <c r="P85" s="362">
        <f>-N78</f>
        <v>0</v>
      </c>
      <c r="Q85" s="294"/>
      <c r="R85" s="363"/>
      <c r="S85" s="297"/>
      <c r="T85" s="274"/>
    </row>
    <row r="86" spans="1:20" s="275" customFormat="1" x14ac:dyDescent="0.3">
      <c r="A86" s="301"/>
      <c r="B86" s="294" t="s">
        <v>220</v>
      </c>
      <c r="C86" s="294"/>
      <c r="D86" s="333"/>
      <c r="E86" s="333"/>
      <c r="F86" s="333"/>
      <c r="G86" s="375"/>
      <c r="H86" s="333"/>
      <c r="I86" s="294"/>
      <c r="J86" s="376"/>
      <c r="K86" s="294"/>
      <c r="L86" s="294"/>
      <c r="M86" s="294"/>
      <c r="N86" s="294"/>
      <c r="O86" s="294"/>
      <c r="P86" s="362">
        <v>0</v>
      </c>
      <c r="Q86" s="294"/>
      <c r="R86" s="363"/>
      <c r="S86" s="297"/>
      <c r="T86" s="274"/>
    </row>
    <row r="87" spans="1:20" s="275" customFormat="1" x14ac:dyDescent="0.3">
      <c r="A87" s="301"/>
      <c r="B87" s="294" t="s">
        <v>24</v>
      </c>
      <c r="C87" s="294"/>
      <c r="D87" s="333"/>
      <c r="E87" s="333"/>
      <c r="F87" s="333"/>
      <c r="G87" s="375"/>
      <c r="H87" s="333"/>
      <c r="I87" s="294"/>
      <c r="J87" s="376"/>
      <c r="K87" s="294"/>
      <c r="L87" s="294"/>
      <c r="M87" s="294"/>
      <c r="N87" s="294"/>
      <c r="O87" s="294"/>
      <c r="P87" s="362">
        <f>J64+L64+P64</f>
        <v>69252</v>
      </c>
      <c r="Q87" s="294"/>
      <c r="R87" s="363"/>
      <c r="S87" s="297"/>
      <c r="T87" s="274"/>
    </row>
    <row r="88" spans="1:20" s="275" customFormat="1" x14ac:dyDescent="0.3">
      <c r="A88" s="301"/>
      <c r="B88" s="294" t="s">
        <v>135</v>
      </c>
      <c r="C88" s="294"/>
      <c r="D88" s="333"/>
      <c r="E88" s="333"/>
      <c r="F88" s="333"/>
      <c r="G88" s="375"/>
      <c r="H88" s="333"/>
      <c r="I88" s="294"/>
      <c r="J88" s="376"/>
      <c r="K88" s="294"/>
      <c r="L88" s="294"/>
      <c r="M88" s="294"/>
      <c r="N88" s="294"/>
      <c r="O88" s="294"/>
      <c r="P88" s="362"/>
      <c r="Q88" s="294"/>
      <c r="R88" s="363">
        <f>2017-331-10</f>
        <v>1676</v>
      </c>
      <c r="S88" s="297"/>
      <c r="T88" s="274"/>
    </row>
    <row r="89" spans="1:20" s="275" customFormat="1" x14ac:dyDescent="0.3">
      <c r="A89" s="301"/>
      <c r="B89" s="294" t="s">
        <v>133</v>
      </c>
      <c r="C89" s="294"/>
      <c r="D89" s="333"/>
      <c r="E89" s="333"/>
      <c r="F89" s="333"/>
      <c r="G89" s="375"/>
      <c r="H89" s="333"/>
      <c r="I89" s="294"/>
      <c r="J89" s="376"/>
      <c r="K89" s="294"/>
      <c r="L89" s="294"/>
      <c r="M89" s="294"/>
      <c r="N89" s="294"/>
      <c r="O89" s="294"/>
      <c r="P89" s="362"/>
      <c r="Q89" s="294"/>
      <c r="R89" s="363">
        <v>205</v>
      </c>
      <c r="S89" s="297"/>
      <c r="T89" s="274"/>
    </row>
    <row r="90" spans="1:20" s="275" customFormat="1" x14ac:dyDescent="0.3">
      <c r="A90" s="301"/>
      <c r="B90" s="294" t="s">
        <v>134</v>
      </c>
      <c r="C90" s="294"/>
      <c r="D90" s="333"/>
      <c r="E90" s="333"/>
      <c r="F90" s="333"/>
      <c r="G90" s="375"/>
      <c r="H90" s="333"/>
      <c r="I90" s="294"/>
      <c r="J90" s="376"/>
      <c r="K90" s="294"/>
      <c r="L90" s="294"/>
      <c r="M90" s="294"/>
      <c r="N90" s="294"/>
      <c r="O90" s="294"/>
      <c r="P90" s="362"/>
      <c r="Q90" s="294"/>
      <c r="R90" s="363">
        <v>24</v>
      </c>
      <c r="S90" s="297"/>
      <c r="T90" s="274"/>
    </row>
    <row r="91" spans="1:20" s="275" customFormat="1" x14ac:dyDescent="0.3">
      <c r="A91" s="301"/>
      <c r="B91" s="294" t="s">
        <v>143</v>
      </c>
      <c r="C91" s="294"/>
      <c r="D91" s="333"/>
      <c r="E91" s="333"/>
      <c r="F91" s="333"/>
      <c r="G91" s="375"/>
      <c r="H91" s="333"/>
      <c r="I91" s="294"/>
      <c r="J91" s="376"/>
      <c r="K91" s="294"/>
      <c r="L91" s="294"/>
      <c r="M91" s="294"/>
      <c r="N91" s="294"/>
      <c r="O91" s="294"/>
      <c r="P91" s="362"/>
      <c r="Q91" s="294"/>
      <c r="R91" s="363">
        <v>0</v>
      </c>
      <c r="S91" s="297"/>
      <c r="T91" s="274"/>
    </row>
    <row r="92" spans="1:20" s="275" customFormat="1" x14ac:dyDescent="0.3">
      <c r="A92" s="301"/>
      <c r="B92" s="294" t="s">
        <v>145</v>
      </c>
      <c r="C92" s="294"/>
      <c r="D92" s="333"/>
      <c r="E92" s="333"/>
      <c r="F92" s="333"/>
      <c r="G92" s="375"/>
      <c r="H92" s="333"/>
      <c r="I92" s="294"/>
      <c r="J92" s="376"/>
      <c r="K92" s="294"/>
      <c r="L92" s="294"/>
      <c r="M92" s="294"/>
      <c r="N92" s="294"/>
      <c r="O92" s="294"/>
      <c r="P92" s="362"/>
      <c r="Q92" s="294"/>
      <c r="R92" s="363">
        <v>116</v>
      </c>
      <c r="S92" s="297"/>
      <c r="T92" s="274"/>
    </row>
    <row r="93" spans="1:20" s="275" customFormat="1" x14ac:dyDescent="0.3">
      <c r="A93" s="301"/>
      <c r="B93" s="294" t="s">
        <v>164</v>
      </c>
      <c r="C93" s="294"/>
      <c r="D93" s="333"/>
      <c r="E93" s="333"/>
      <c r="F93" s="333"/>
      <c r="G93" s="375"/>
      <c r="H93" s="333"/>
      <c r="I93" s="294"/>
      <c r="J93" s="376"/>
      <c r="K93" s="294"/>
      <c r="L93" s="294"/>
      <c r="M93" s="294"/>
      <c r="N93" s="294"/>
      <c r="O93" s="294"/>
      <c r="P93" s="362"/>
      <c r="Q93" s="294"/>
      <c r="R93" s="363">
        <v>0</v>
      </c>
      <c r="S93" s="297"/>
      <c r="T93" s="274"/>
    </row>
    <row r="94" spans="1:20" s="275" customFormat="1" x14ac:dyDescent="0.3">
      <c r="A94" s="301"/>
      <c r="B94" s="294" t="s">
        <v>165</v>
      </c>
      <c r="C94" s="294"/>
      <c r="D94" s="333"/>
      <c r="E94" s="333"/>
      <c r="F94" s="333"/>
      <c r="G94" s="375"/>
      <c r="H94" s="333"/>
      <c r="I94" s="294"/>
      <c r="J94" s="376"/>
      <c r="K94" s="294"/>
      <c r="L94" s="294"/>
      <c r="M94" s="294"/>
      <c r="N94" s="294"/>
      <c r="O94" s="294"/>
      <c r="P94" s="362"/>
      <c r="Q94" s="294"/>
      <c r="R94" s="363">
        <v>0</v>
      </c>
      <c r="S94" s="297"/>
      <c r="T94" s="274"/>
    </row>
    <row r="95" spans="1:20" s="275" customFormat="1" x14ac:dyDescent="0.3">
      <c r="A95" s="301"/>
      <c r="B95" s="294" t="s">
        <v>166</v>
      </c>
      <c r="C95" s="294"/>
      <c r="D95" s="294"/>
      <c r="E95" s="294"/>
      <c r="F95" s="294"/>
      <c r="G95" s="294"/>
      <c r="H95" s="294"/>
      <c r="I95" s="294"/>
      <c r="J95" s="294"/>
      <c r="K95" s="294"/>
      <c r="L95" s="294"/>
      <c r="M95" s="294"/>
      <c r="N95" s="294"/>
      <c r="O95" s="294"/>
      <c r="P95" s="362"/>
      <c r="Q95" s="294"/>
      <c r="R95" s="363">
        <v>0</v>
      </c>
      <c r="S95" s="297"/>
      <c r="T95" s="274"/>
    </row>
    <row r="96" spans="1:20" s="275" customFormat="1" x14ac:dyDescent="0.3">
      <c r="A96" s="301"/>
      <c r="B96" s="294" t="s">
        <v>274</v>
      </c>
      <c r="C96" s="294"/>
      <c r="D96" s="294"/>
      <c r="E96" s="294"/>
      <c r="F96" s="294"/>
      <c r="G96" s="294"/>
      <c r="H96" s="294"/>
      <c r="I96" s="294"/>
      <c r="J96" s="294"/>
      <c r="K96" s="294"/>
      <c r="L96" s="294"/>
      <c r="M96" s="294"/>
      <c r="N96" s="294"/>
      <c r="O96" s="294"/>
      <c r="P96" s="362"/>
      <c r="Q96" s="294"/>
      <c r="R96" s="363">
        <v>0</v>
      </c>
      <c r="S96" s="297"/>
      <c r="T96" s="274"/>
    </row>
    <row r="97" spans="1:21" s="275" customFormat="1" x14ac:dyDescent="0.3">
      <c r="A97" s="301"/>
      <c r="B97" s="294" t="s">
        <v>25</v>
      </c>
      <c r="C97" s="294"/>
      <c r="D97" s="294"/>
      <c r="E97" s="294"/>
      <c r="F97" s="294"/>
      <c r="G97" s="294"/>
      <c r="H97" s="294"/>
      <c r="I97" s="294"/>
      <c r="J97" s="294"/>
      <c r="K97" s="294"/>
      <c r="L97" s="294"/>
      <c r="M97" s="294"/>
      <c r="N97" s="294"/>
      <c r="O97" s="294"/>
      <c r="P97" s="362">
        <f>SUM(P84:P96)</f>
        <v>69252</v>
      </c>
      <c r="Q97" s="294"/>
      <c r="R97" s="362">
        <f>SUM(R84:R96)</f>
        <v>2021</v>
      </c>
      <c r="S97" s="297"/>
      <c r="T97" s="274"/>
    </row>
    <row r="98" spans="1:21" s="275" customFormat="1" x14ac:dyDescent="0.3">
      <c r="A98" s="301"/>
      <c r="B98" s="294" t="s">
        <v>26</v>
      </c>
      <c r="C98" s="294"/>
      <c r="D98" s="294"/>
      <c r="E98" s="294"/>
      <c r="F98" s="294"/>
      <c r="G98" s="294"/>
      <c r="H98" s="294"/>
      <c r="I98" s="294"/>
      <c r="J98" s="294"/>
      <c r="K98" s="294"/>
      <c r="L98" s="294"/>
      <c r="M98" s="294"/>
      <c r="N98" s="294"/>
      <c r="O98" s="294"/>
      <c r="P98" s="362">
        <f>-R98</f>
        <v>0</v>
      </c>
      <c r="Q98" s="294"/>
      <c r="R98" s="363">
        <v>0</v>
      </c>
      <c r="S98" s="297"/>
      <c r="T98" s="274"/>
    </row>
    <row r="99" spans="1:21" s="275" customFormat="1" x14ac:dyDescent="0.3">
      <c r="A99" s="301"/>
      <c r="B99" s="294" t="s">
        <v>150</v>
      </c>
      <c r="C99" s="294"/>
      <c r="D99" s="294"/>
      <c r="E99" s="294"/>
      <c r="F99" s="294"/>
      <c r="G99" s="294"/>
      <c r="H99" s="294"/>
      <c r="I99" s="294"/>
      <c r="J99" s="294"/>
      <c r="K99" s="294"/>
      <c r="L99" s="294"/>
      <c r="M99" s="294"/>
      <c r="N99" s="294"/>
      <c r="O99" s="294"/>
      <c r="P99" s="362"/>
      <c r="Q99" s="294"/>
      <c r="R99" s="363">
        <v>0</v>
      </c>
      <c r="S99" s="297"/>
      <c r="T99" s="274"/>
    </row>
    <row r="100" spans="1:21" s="275" customFormat="1" x14ac:dyDescent="0.3">
      <c r="A100" s="301"/>
      <c r="B100" s="294" t="s">
        <v>27</v>
      </c>
      <c r="C100" s="294"/>
      <c r="D100" s="294"/>
      <c r="E100" s="294"/>
      <c r="F100" s="294"/>
      <c r="G100" s="294"/>
      <c r="H100" s="294"/>
      <c r="I100" s="294"/>
      <c r="J100" s="294"/>
      <c r="K100" s="294"/>
      <c r="L100" s="294"/>
      <c r="M100" s="294"/>
      <c r="N100" s="294"/>
      <c r="O100" s="294"/>
      <c r="P100" s="362">
        <f>P97+P98</f>
        <v>69252</v>
      </c>
      <c r="Q100" s="294"/>
      <c r="R100" s="362">
        <f>R97+R98+R99</f>
        <v>2021</v>
      </c>
      <c r="S100" s="297"/>
      <c r="T100" s="274"/>
    </row>
    <row r="101" spans="1:21" x14ac:dyDescent="0.3">
      <c r="A101" s="377"/>
      <c r="B101" s="378" t="s">
        <v>28</v>
      </c>
      <c r="C101" s="317"/>
      <c r="D101" s="317"/>
      <c r="E101" s="317"/>
      <c r="F101" s="317"/>
      <c r="G101" s="317"/>
      <c r="H101" s="317"/>
      <c r="I101" s="317"/>
      <c r="J101" s="317"/>
      <c r="K101" s="317"/>
      <c r="L101" s="317"/>
      <c r="M101" s="317"/>
      <c r="N101" s="317"/>
      <c r="O101" s="317"/>
      <c r="P101" s="379"/>
      <c r="Q101" s="380"/>
      <c r="R101" s="381"/>
      <c r="S101" s="382"/>
      <c r="T101" s="256"/>
    </row>
    <row r="102" spans="1:21" s="275" customFormat="1" x14ac:dyDescent="0.3">
      <c r="A102" s="301">
        <v>1</v>
      </c>
      <c r="B102" s="294" t="s">
        <v>175</v>
      </c>
      <c r="C102" s="294"/>
      <c r="D102" s="294"/>
      <c r="E102" s="294"/>
      <c r="F102" s="294"/>
      <c r="G102" s="294"/>
      <c r="H102" s="294"/>
      <c r="I102" s="294"/>
      <c r="J102" s="294"/>
      <c r="K102" s="294"/>
      <c r="L102" s="294"/>
      <c r="M102" s="294"/>
      <c r="N102" s="294"/>
      <c r="O102" s="294"/>
      <c r="P102" s="362"/>
      <c r="Q102" s="294"/>
      <c r="R102" s="363">
        <v>0</v>
      </c>
      <c r="S102" s="297"/>
      <c r="T102" s="274"/>
    </row>
    <row r="103" spans="1:21" s="275" customFormat="1" x14ac:dyDescent="0.3">
      <c r="A103" s="301">
        <v>2</v>
      </c>
      <c r="B103" s="294" t="s">
        <v>195</v>
      </c>
      <c r="C103" s="294"/>
      <c r="D103" s="294"/>
      <c r="E103" s="294"/>
      <c r="F103" s="294"/>
      <c r="G103" s="294"/>
      <c r="H103" s="294"/>
      <c r="I103" s="294"/>
      <c r="J103" s="294"/>
      <c r="K103" s="294"/>
      <c r="L103" s="294"/>
      <c r="M103" s="294"/>
      <c r="N103" s="294"/>
      <c r="O103" s="294"/>
      <c r="P103" s="294"/>
      <c r="Q103" s="294"/>
      <c r="R103" s="363">
        <f>-3</f>
        <v>-3</v>
      </c>
      <c r="S103" s="297"/>
      <c r="T103" s="274"/>
    </row>
    <row r="104" spans="1:21" s="275" customFormat="1" x14ac:dyDescent="0.3">
      <c r="A104" s="301">
        <v>3</v>
      </c>
      <c r="B104" s="294" t="s">
        <v>284</v>
      </c>
      <c r="C104" s="294"/>
      <c r="D104" s="294"/>
      <c r="E104" s="294"/>
      <c r="F104" s="294"/>
      <c r="G104" s="294"/>
      <c r="H104" s="294"/>
      <c r="I104" s="294"/>
      <c r="J104" s="294"/>
      <c r="K104" s="294"/>
      <c r="L104" s="294"/>
      <c r="M104" s="294"/>
      <c r="N104" s="294"/>
      <c r="O104" s="294"/>
      <c r="P104" s="294"/>
      <c r="Q104" s="294"/>
      <c r="R104" s="363">
        <f>-72-43-3</f>
        <v>-118</v>
      </c>
      <c r="S104" s="297"/>
      <c r="T104" s="274"/>
    </row>
    <row r="105" spans="1:21" s="275" customFormat="1" x14ac:dyDescent="0.3">
      <c r="A105" s="301">
        <v>4</v>
      </c>
      <c r="B105" s="294" t="s">
        <v>96</v>
      </c>
      <c r="C105" s="294"/>
      <c r="D105" s="294"/>
      <c r="E105" s="294"/>
      <c r="F105" s="294"/>
      <c r="G105" s="294"/>
      <c r="H105" s="294"/>
      <c r="I105" s="294"/>
      <c r="J105" s="294"/>
      <c r="K105" s="294"/>
      <c r="L105" s="294"/>
      <c r="M105" s="294"/>
      <c r="N105" s="294"/>
      <c r="O105" s="294"/>
      <c r="P105" s="294"/>
      <c r="Q105" s="294"/>
      <c r="R105" s="363">
        <v>-74</v>
      </c>
      <c r="S105" s="297"/>
      <c r="T105" s="274"/>
    </row>
    <row r="106" spans="1:21" s="275" customFormat="1" x14ac:dyDescent="0.3">
      <c r="A106" s="301" t="s">
        <v>255</v>
      </c>
      <c r="B106" s="294" t="s">
        <v>254</v>
      </c>
      <c r="C106" s="294"/>
      <c r="D106" s="294"/>
      <c r="E106" s="294"/>
      <c r="F106" s="294"/>
      <c r="G106" s="294"/>
      <c r="H106" s="294"/>
      <c r="I106" s="294"/>
      <c r="J106" s="294"/>
      <c r="K106" s="294"/>
      <c r="L106" s="294"/>
      <c r="M106" s="294"/>
      <c r="N106" s="294"/>
      <c r="O106" s="294"/>
      <c r="P106" s="294"/>
      <c r="Q106" s="294"/>
      <c r="R106" s="363">
        <v>-164</v>
      </c>
      <c r="S106" s="297"/>
      <c r="T106" s="274"/>
      <c r="U106" s="364"/>
    </row>
    <row r="107" spans="1:21" s="275" customFormat="1" x14ac:dyDescent="0.3">
      <c r="A107" s="301" t="s">
        <v>256</v>
      </c>
      <c r="B107" s="294" t="s">
        <v>248</v>
      </c>
      <c r="C107" s="294"/>
      <c r="D107" s="294"/>
      <c r="E107" s="294"/>
      <c r="F107" s="294"/>
      <c r="G107" s="294"/>
      <c r="H107" s="294"/>
      <c r="I107" s="294"/>
      <c r="J107" s="294"/>
      <c r="K107" s="294"/>
      <c r="L107" s="294"/>
      <c r="M107" s="294"/>
      <c r="N107" s="294"/>
      <c r="O107" s="294"/>
      <c r="P107" s="294"/>
      <c r="Q107" s="294"/>
      <c r="R107" s="363">
        <v>-378</v>
      </c>
      <c r="S107" s="297"/>
      <c r="T107" s="274"/>
      <c r="U107" s="364"/>
    </row>
    <row r="108" spans="1:21" s="275" customFormat="1" x14ac:dyDescent="0.3">
      <c r="A108" s="301">
        <v>6</v>
      </c>
      <c r="B108" s="294" t="s">
        <v>189</v>
      </c>
      <c r="C108" s="294"/>
      <c r="D108" s="294"/>
      <c r="E108" s="294"/>
      <c r="F108" s="294"/>
      <c r="G108" s="294"/>
      <c r="H108" s="294"/>
      <c r="I108" s="294"/>
      <c r="J108" s="294"/>
      <c r="K108" s="294"/>
      <c r="L108" s="294"/>
      <c r="M108" s="294"/>
      <c r="N108" s="294"/>
      <c r="O108" s="294"/>
      <c r="P108" s="294"/>
      <c r="Q108" s="294"/>
      <c r="R108" s="363">
        <v>-72</v>
      </c>
      <c r="S108" s="297"/>
      <c r="T108" s="274"/>
      <c r="U108" s="364"/>
    </row>
    <row r="109" spans="1:21" s="275" customFormat="1" x14ac:dyDescent="0.3">
      <c r="A109" s="301">
        <v>7</v>
      </c>
      <c r="B109" s="294" t="s">
        <v>190</v>
      </c>
      <c r="C109" s="294"/>
      <c r="D109" s="294"/>
      <c r="E109" s="294"/>
      <c r="F109" s="294"/>
      <c r="G109" s="294"/>
      <c r="H109" s="294"/>
      <c r="I109" s="294"/>
      <c r="J109" s="294"/>
      <c r="K109" s="294"/>
      <c r="L109" s="294"/>
      <c r="M109" s="294"/>
      <c r="N109" s="294"/>
      <c r="O109" s="294"/>
      <c r="P109" s="294"/>
      <c r="Q109" s="294"/>
      <c r="R109" s="363">
        <v>-98</v>
      </c>
      <c r="S109" s="297"/>
      <c r="T109" s="274"/>
      <c r="U109" s="364"/>
    </row>
    <row r="110" spans="1:21" s="275" customFormat="1" x14ac:dyDescent="0.3">
      <c r="A110" s="301">
        <v>8</v>
      </c>
      <c r="B110" s="294" t="s">
        <v>156</v>
      </c>
      <c r="C110" s="294"/>
      <c r="D110" s="294"/>
      <c r="E110" s="294"/>
      <c r="F110" s="294"/>
      <c r="G110" s="294"/>
      <c r="H110" s="294"/>
      <c r="I110" s="294"/>
      <c r="J110" s="294"/>
      <c r="K110" s="294"/>
      <c r="L110" s="294"/>
      <c r="M110" s="294"/>
      <c r="N110" s="294"/>
      <c r="O110" s="294"/>
      <c r="P110" s="294"/>
      <c r="Q110" s="294"/>
      <c r="R110" s="363">
        <v>0</v>
      </c>
      <c r="S110" s="297"/>
      <c r="T110" s="274"/>
      <c r="U110" s="364"/>
    </row>
    <row r="111" spans="1:21" s="275" customFormat="1" x14ac:dyDescent="0.3">
      <c r="A111" s="301">
        <v>9</v>
      </c>
      <c r="B111" s="294" t="s">
        <v>37</v>
      </c>
      <c r="C111" s="294"/>
      <c r="D111" s="294"/>
      <c r="E111" s="294"/>
      <c r="F111" s="294"/>
      <c r="G111" s="294"/>
      <c r="H111" s="294"/>
      <c r="I111" s="294"/>
      <c r="J111" s="294"/>
      <c r="K111" s="294"/>
      <c r="L111" s="294"/>
      <c r="M111" s="294"/>
      <c r="N111" s="294"/>
      <c r="O111" s="294"/>
      <c r="P111" s="362">
        <f>-R111</f>
        <v>0</v>
      </c>
      <c r="Q111" s="294"/>
      <c r="R111" s="363">
        <v>0</v>
      </c>
      <c r="S111" s="297"/>
      <c r="T111" s="274"/>
    </row>
    <row r="112" spans="1:21" s="275" customFormat="1" x14ac:dyDescent="0.3">
      <c r="A112" s="301">
        <v>10</v>
      </c>
      <c r="B112" s="294" t="s">
        <v>101</v>
      </c>
      <c r="C112" s="294"/>
      <c r="D112" s="294"/>
      <c r="E112" s="294"/>
      <c r="F112" s="294"/>
      <c r="G112" s="294"/>
      <c r="H112" s="294"/>
      <c r="I112" s="294"/>
      <c r="J112" s="294"/>
      <c r="K112" s="294"/>
      <c r="L112" s="294"/>
      <c r="M112" s="294"/>
      <c r="N112" s="294"/>
      <c r="O112" s="294"/>
      <c r="P112" s="294"/>
      <c r="Q112" s="294"/>
      <c r="R112" s="363">
        <v>0</v>
      </c>
      <c r="S112" s="297"/>
      <c r="T112" s="274"/>
    </row>
    <row r="113" spans="1:20" s="275" customFormat="1" x14ac:dyDescent="0.3">
      <c r="A113" s="301">
        <v>11</v>
      </c>
      <c r="B113" s="294" t="s">
        <v>29</v>
      </c>
      <c r="C113" s="294"/>
      <c r="D113" s="294"/>
      <c r="E113" s="294"/>
      <c r="F113" s="294"/>
      <c r="G113" s="294"/>
      <c r="H113" s="294"/>
      <c r="I113" s="294"/>
      <c r="J113" s="294"/>
      <c r="K113" s="294"/>
      <c r="L113" s="294"/>
      <c r="M113" s="294"/>
      <c r="N113" s="294"/>
      <c r="O113" s="294"/>
      <c r="P113" s="294"/>
      <c r="Q113" s="294"/>
      <c r="R113" s="363">
        <v>-20</v>
      </c>
      <c r="S113" s="297"/>
      <c r="T113" s="274"/>
    </row>
    <row r="114" spans="1:20" s="275" customFormat="1" x14ac:dyDescent="0.3">
      <c r="A114" s="301">
        <v>12</v>
      </c>
      <c r="B114" s="294" t="s">
        <v>138</v>
      </c>
      <c r="C114" s="294"/>
      <c r="D114" s="294"/>
      <c r="E114" s="294"/>
      <c r="F114" s="294"/>
      <c r="G114" s="294"/>
      <c r="H114" s="294"/>
      <c r="I114" s="294"/>
      <c r="J114" s="294"/>
      <c r="K114" s="294"/>
      <c r="L114" s="294"/>
      <c r="M114" s="294"/>
      <c r="N114" s="294"/>
      <c r="O114" s="294"/>
      <c r="P114" s="294"/>
      <c r="Q114" s="294"/>
      <c r="R114" s="363">
        <v>0</v>
      </c>
      <c r="S114" s="297"/>
      <c r="T114" s="274"/>
    </row>
    <row r="115" spans="1:20" s="275" customFormat="1" x14ac:dyDescent="0.3">
      <c r="A115" s="301">
        <v>13</v>
      </c>
      <c r="B115" s="294" t="s">
        <v>249</v>
      </c>
      <c r="C115" s="294"/>
      <c r="D115" s="294"/>
      <c r="E115" s="294"/>
      <c r="F115" s="294"/>
      <c r="G115" s="294"/>
      <c r="H115" s="294"/>
      <c r="I115" s="294"/>
      <c r="J115" s="294"/>
      <c r="K115" s="294"/>
      <c r="L115" s="294"/>
      <c r="M115" s="294"/>
      <c r="N115" s="294"/>
      <c r="O115" s="294"/>
      <c r="P115" s="294"/>
      <c r="Q115" s="294"/>
      <c r="R115" s="363">
        <v>-53</v>
      </c>
      <c r="S115" s="297"/>
      <c r="T115" s="274"/>
    </row>
    <row r="116" spans="1:20" s="275" customFormat="1" x14ac:dyDescent="0.3">
      <c r="A116" s="301">
        <v>14</v>
      </c>
      <c r="B116" s="294" t="s">
        <v>157</v>
      </c>
      <c r="C116" s="294"/>
      <c r="D116" s="294"/>
      <c r="E116" s="294"/>
      <c r="F116" s="294"/>
      <c r="G116" s="294"/>
      <c r="H116" s="294"/>
      <c r="I116" s="294"/>
      <c r="J116" s="294"/>
      <c r="K116" s="294"/>
      <c r="L116" s="294"/>
      <c r="M116" s="294"/>
      <c r="N116" s="294"/>
      <c r="O116" s="294"/>
      <c r="P116" s="294"/>
      <c r="Q116" s="294"/>
      <c r="R116" s="363">
        <v>0</v>
      </c>
      <c r="S116" s="297"/>
      <c r="T116" s="274"/>
    </row>
    <row r="117" spans="1:20" s="275" customFormat="1" x14ac:dyDescent="0.3">
      <c r="A117" s="301">
        <v>15</v>
      </c>
      <c r="B117" s="294" t="s">
        <v>208</v>
      </c>
      <c r="C117" s="294"/>
      <c r="D117" s="294"/>
      <c r="E117" s="294"/>
      <c r="F117" s="294"/>
      <c r="G117" s="294"/>
      <c r="H117" s="294"/>
      <c r="I117" s="294"/>
      <c r="J117" s="294"/>
      <c r="K117" s="294"/>
      <c r="L117" s="294"/>
      <c r="M117" s="294"/>
      <c r="N117" s="294"/>
      <c r="O117" s="294"/>
      <c r="P117" s="294"/>
      <c r="Q117" s="294"/>
      <c r="R117" s="363">
        <v>-71</v>
      </c>
      <c r="S117" s="297"/>
      <c r="T117" s="274"/>
    </row>
    <row r="118" spans="1:20" s="275" customFormat="1" x14ac:dyDescent="0.3">
      <c r="A118" s="301">
        <v>16</v>
      </c>
      <c r="B118" s="294" t="s">
        <v>167</v>
      </c>
      <c r="C118" s="294"/>
      <c r="D118" s="294"/>
      <c r="E118" s="294"/>
      <c r="F118" s="294"/>
      <c r="G118" s="294"/>
      <c r="H118" s="294"/>
      <c r="I118" s="294"/>
      <c r="J118" s="294"/>
      <c r="K118" s="294"/>
      <c r="L118" s="294"/>
      <c r="M118" s="294"/>
      <c r="N118" s="294"/>
      <c r="O118" s="294"/>
      <c r="P118" s="294"/>
      <c r="Q118" s="294"/>
      <c r="R118" s="363">
        <f>-16-159</f>
        <v>-175</v>
      </c>
      <c r="S118" s="297"/>
      <c r="T118" s="274"/>
    </row>
    <row r="119" spans="1:20" s="275" customFormat="1" x14ac:dyDescent="0.3">
      <c r="A119" s="301">
        <v>17</v>
      </c>
      <c r="B119" s="294" t="s">
        <v>250</v>
      </c>
      <c r="C119" s="294"/>
      <c r="D119" s="294"/>
      <c r="E119" s="294"/>
      <c r="F119" s="294"/>
      <c r="G119" s="294"/>
      <c r="H119" s="294"/>
      <c r="I119" s="294"/>
      <c r="J119" s="294"/>
      <c r="K119" s="294"/>
      <c r="L119" s="294"/>
      <c r="M119" s="294"/>
      <c r="N119" s="294"/>
      <c r="O119" s="294"/>
      <c r="P119" s="294"/>
      <c r="Q119" s="294"/>
      <c r="R119" s="363">
        <f>-R100-SUM(R102:R118)</f>
        <v>-795</v>
      </c>
      <c r="S119" s="297"/>
      <c r="T119" s="274"/>
    </row>
    <row r="120" spans="1:20" x14ac:dyDescent="0.3">
      <c r="A120" s="377"/>
      <c r="B120" s="378" t="s">
        <v>30</v>
      </c>
      <c r="C120" s="317"/>
      <c r="D120" s="317"/>
      <c r="E120" s="317"/>
      <c r="F120" s="317"/>
      <c r="G120" s="317"/>
      <c r="H120" s="317"/>
      <c r="I120" s="317"/>
      <c r="J120" s="317"/>
      <c r="K120" s="317"/>
      <c r="L120" s="317"/>
      <c r="M120" s="317"/>
      <c r="N120" s="317"/>
      <c r="O120" s="317"/>
      <c r="P120" s="380"/>
      <c r="Q120" s="380"/>
      <c r="R120" s="383"/>
      <c r="S120" s="382"/>
      <c r="T120" s="256"/>
    </row>
    <row r="121" spans="1:20" s="275" customFormat="1" x14ac:dyDescent="0.3">
      <c r="A121" s="301"/>
      <c r="B121" s="294" t="s">
        <v>209</v>
      </c>
      <c r="C121" s="294"/>
      <c r="D121" s="294"/>
      <c r="E121" s="294"/>
      <c r="F121" s="294"/>
      <c r="G121" s="294"/>
      <c r="H121" s="294"/>
      <c r="I121" s="294"/>
      <c r="J121" s="294"/>
      <c r="K121" s="294"/>
      <c r="L121" s="294"/>
      <c r="M121" s="294"/>
      <c r="N121" s="294"/>
      <c r="O121" s="294"/>
      <c r="P121" s="362">
        <f>-P188</f>
        <v>0</v>
      </c>
      <c r="Q121" s="362"/>
      <c r="R121" s="363"/>
      <c r="S121" s="297"/>
      <c r="T121" s="274"/>
    </row>
    <row r="122" spans="1:20" s="275" customFormat="1" x14ac:dyDescent="0.3">
      <c r="A122" s="301"/>
      <c r="B122" s="294" t="s">
        <v>210</v>
      </c>
      <c r="C122" s="294"/>
      <c r="D122" s="294"/>
      <c r="E122" s="294"/>
      <c r="F122" s="294"/>
      <c r="G122" s="294"/>
      <c r="H122" s="294"/>
      <c r="I122" s="294"/>
      <c r="J122" s="294"/>
      <c r="K122" s="294"/>
      <c r="L122" s="294"/>
      <c r="M122" s="294"/>
      <c r="N122" s="294"/>
      <c r="O122" s="294"/>
      <c r="P122" s="362">
        <f>-O188</f>
        <v>0</v>
      </c>
      <c r="Q122" s="362"/>
      <c r="R122" s="363"/>
      <c r="S122" s="297"/>
      <c r="T122" s="274"/>
    </row>
    <row r="123" spans="1:20" s="275" customFormat="1" x14ac:dyDescent="0.3">
      <c r="A123" s="301"/>
      <c r="B123" s="294" t="s">
        <v>252</v>
      </c>
      <c r="C123" s="294"/>
      <c r="D123" s="294"/>
      <c r="E123" s="294"/>
      <c r="F123" s="294"/>
      <c r="G123" s="294"/>
      <c r="H123" s="294"/>
      <c r="I123" s="294"/>
      <c r="J123" s="294"/>
      <c r="K123" s="294"/>
      <c r="L123" s="294"/>
      <c r="M123" s="294"/>
      <c r="N123" s="294"/>
      <c r="O123" s="294"/>
      <c r="P123" s="362">
        <v>-19387</v>
      </c>
      <c r="Q123" s="362"/>
      <c r="R123" s="363"/>
      <c r="S123" s="297"/>
      <c r="T123" s="274"/>
    </row>
    <row r="124" spans="1:20" s="275" customFormat="1" x14ac:dyDescent="0.3">
      <c r="A124" s="301"/>
      <c r="B124" s="294" t="s">
        <v>251</v>
      </c>
      <c r="C124" s="294"/>
      <c r="D124" s="294"/>
      <c r="E124" s="294"/>
      <c r="F124" s="294"/>
      <c r="G124" s="294"/>
      <c r="H124" s="294"/>
      <c r="I124" s="294"/>
      <c r="J124" s="294"/>
      <c r="K124" s="294"/>
      <c r="L124" s="294"/>
      <c r="M124" s="294"/>
      <c r="N124" s="294"/>
      <c r="O124" s="294"/>
      <c r="P124" s="362">
        <v>-49865</v>
      </c>
      <c r="Q124" s="362"/>
      <c r="R124" s="363"/>
      <c r="S124" s="297"/>
      <c r="T124" s="274"/>
    </row>
    <row r="125" spans="1:20" s="275" customFormat="1" x14ac:dyDescent="0.3">
      <c r="A125" s="301"/>
      <c r="B125" s="294" t="s">
        <v>181</v>
      </c>
      <c r="C125" s="294"/>
      <c r="D125" s="294"/>
      <c r="E125" s="294"/>
      <c r="F125" s="294"/>
      <c r="G125" s="294"/>
      <c r="H125" s="294"/>
      <c r="I125" s="294"/>
      <c r="J125" s="294"/>
      <c r="K125" s="294"/>
      <c r="L125" s="294"/>
      <c r="M125" s="294"/>
      <c r="N125" s="294"/>
      <c r="O125" s="294"/>
      <c r="P125" s="362">
        <v>0</v>
      </c>
      <c r="Q125" s="362"/>
      <c r="R125" s="363"/>
      <c r="S125" s="297"/>
      <c r="T125" s="274"/>
    </row>
    <row r="126" spans="1:20" s="275" customFormat="1" x14ac:dyDescent="0.3">
      <c r="A126" s="301"/>
      <c r="B126" s="294" t="s">
        <v>182</v>
      </c>
      <c r="C126" s="294"/>
      <c r="D126" s="294"/>
      <c r="E126" s="294"/>
      <c r="F126" s="294"/>
      <c r="G126" s="294"/>
      <c r="H126" s="294"/>
      <c r="I126" s="294"/>
      <c r="J126" s="294"/>
      <c r="K126" s="294"/>
      <c r="L126" s="294"/>
      <c r="M126" s="294"/>
      <c r="N126" s="294"/>
      <c r="O126" s="294"/>
      <c r="P126" s="362">
        <v>0</v>
      </c>
      <c r="Q126" s="362"/>
      <c r="R126" s="363"/>
      <c r="S126" s="297"/>
      <c r="T126" s="274"/>
    </row>
    <row r="127" spans="1:20" s="275" customFormat="1" x14ac:dyDescent="0.3">
      <c r="A127" s="301"/>
      <c r="B127" s="294" t="s">
        <v>253</v>
      </c>
      <c r="C127" s="294"/>
      <c r="D127" s="294"/>
      <c r="E127" s="294"/>
      <c r="F127" s="294"/>
      <c r="G127" s="294"/>
      <c r="H127" s="294"/>
      <c r="I127" s="294"/>
      <c r="J127" s="294"/>
      <c r="K127" s="294"/>
      <c r="L127" s="294"/>
      <c r="M127" s="294"/>
      <c r="N127" s="294"/>
      <c r="O127" s="294"/>
      <c r="P127" s="362">
        <v>0</v>
      </c>
      <c r="Q127" s="362"/>
      <c r="R127" s="363"/>
      <c r="S127" s="297"/>
      <c r="T127" s="274"/>
    </row>
    <row r="128" spans="1:20" s="275" customFormat="1" x14ac:dyDescent="0.3">
      <c r="A128" s="301"/>
      <c r="B128" s="294" t="s">
        <v>31</v>
      </c>
      <c r="C128" s="294"/>
      <c r="D128" s="294"/>
      <c r="E128" s="294"/>
      <c r="F128" s="294"/>
      <c r="G128" s="294"/>
      <c r="H128" s="294"/>
      <c r="I128" s="294"/>
      <c r="J128" s="294"/>
      <c r="K128" s="294"/>
      <c r="L128" s="294"/>
      <c r="M128" s="294"/>
      <c r="N128" s="294"/>
      <c r="O128" s="294"/>
      <c r="P128" s="362">
        <f>SUM(P121:P127)</f>
        <v>-69252</v>
      </c>
      <c r="Q128" s="362"/>
      <c r="R128" s="362">
        <f>SUM(R101:R127)</f>
        <v>-2021</v>
      </c>
      <c r="S128" s="297"/>
      <c r="T128" s="274"/>
    </row>
    <row r="129" spans="1:20" s="275" customFormat="1" x14ac:dyDescent="0.3">
      <c r="A129" s="301"/>
      <c r="B129" s="294" t="s">
        <v>32</v>
      </c>
      <c r="C129" s="294"/>
      <c r="D129" s="294"/>
      <c r="E129" s="294"/>
      <c r="F129" s="294"/>
      <c r="G129" s="294"/>
      <c r="H129" s="294"/>
      <c r="I129" s="294"/>
      <c r="J129" s="294"/>
      <c r="K129" s="294"/>
      <c r="L129" s="294"/>
      <c r="M129" s="294"/>
      <c r="N129" s="294"/>
      <c r="O129" s="294"/>
      <c r="P129" s="362">
        <f>P100+P128+P111</f>
        <v>0</v>
      </c>
      <c r="Q129" s="362"/>
      <c r="R129" s="362">
        <f>R100+R128</f>
        <v>0</v>
      </c>
      <c r="S129" s="297"/>
      <c r="T129" s="274"/>
    </row>
    <row r="130" spans="1:20" s="275" customFormat="1" x14ac:dyDescent="0.3">
      <c r="A130" s="270"/>
      <c r="B130" s="291"/>
      <c r="C130" s="291"/>
      <c r="D130" s="291"/>
      <c r="E130" s="291"/>
      <c r="F130" s="291"/>
      <c r="G130" s="291"/>
      <c r="H130" s="291"/>
      <c r="I130" s="291"/>
      <c r="J130" s="291"/>
      <c r="K130" s="291"/>
      <c r="L130" s="291"/>
      <c r="M130" s="291"/>
      <c r="N130" s="291"/>
      <c r="O130" s="291"/>
      <c r="P130" s="373"/>
      <c r="Q130" s="373"/>
      <c r="R130" s="373"/>
      <c r="S130" s="273"/>
      <c r="T130" s="274"/>
    </row>
    <row r="131" spans="1:20" s="275" customFormat="1" x14ac:dyDescent="0.3">
      <c r="A131" s="270"/>
      <c r="B131" s="272"/>
      <c r="C131" s="272"/>
      <c r="D131" s="272"/>
      <c r="E131" s="272"/>
      <c r="F131" s="272"/>
      <c r="G131" s="272"/>
      <c r="H131" s="272"/>
      <c r="I131" s="272"/>
      <c r="J131" s="272"/>
      <c r="K131" s="272"/>
      <c r="L131" s="272"/>
      <c r="M131" s="272"/>
      <c r="N131" s="272"/>
      <c r="O131" s="272"/>
      <c r="P131" s="272"/>
      <c r="Q131" s="272"/>
      <c r="R131" s="384"/>
      <c r="S131" s="273"/>
      <c r="T131" s="274"/>
    </row>
    <row r="132" spans="1:20" s="275" customFormat="1" ht="18.600000000000001" thickBot="1" x14ac:dyDescent="0.4">
      <c r="A132" s="385"/>
      <c r="B132" s="349" t="str">
        <f>B60</f>
        <v>PM23 INVESTOR REPORT QUARTER ENDING SEPTEMBER 2017</v>
      </c>
      <c r="C132" s="386"/>
      <c r="D132" s="386"/>
      <c r="E132" s="386"/>
      <c r="F132" s="386"/>
      <c r="G132" s="386"/>
      <c r="H132" s="386"/>
      <c r="I132" s="386"/>
      <c r="J132" s="386"/>
      <c r="K132" s="386"/>
      <c r="L132" s="386"/>
      <c r="M132" s="386"/>
      <c r="N132" s="386"/>
      <c r="O132" s="386"/>
      <c r="P132" s="386"/>
      <c r="Q132" s="386"/>
      <c r="R132" s="387"/>
      <c r="S132" s="388"/>
      <c r="T132" s="274"/>
    </row>
    <row r="133" spans="1:20" x14ac:dyDescent="0.3">
      <c r="A133" s="389"/>
      <c r="B133" s="390" t="s">
        <v>33</v>
      </c>
      <c r="C133" s="391"/>
      <c r="D133" s="391"/>
      <c r="E133" s="391"/>
      <c r="F133" s="391"/>
      <c r="G133" s="391"/>
      <c r="H133" s="391"/>
      <c r="I133" s="391"/>
      <c r="J133" s="391"/>
      <c r="K133" s="391"/>
      <c r="L133" s="391"/>
      <c r="M133" s="391"/>
      <c r="N133" s="391"/>
      <c r="O133" s="391"/>
      <c r="P133" s="391"/>
      <c r="Q133" s="391"/>
      <c r="R133" s="392"/>
      <c r="S133" s="393"/>
      <c r="T133" s="256"/>
    </row>
    <row r="134" spans="1:20" x14ac:dyDescent="0.3">
      <c r="A134" s="258"/>
      <c r="B134" s="394"/>
      <c r="C134" s="260"/>
      <c r="D134" s="260"/>
      <c r="E134" s="260"/>
      <c r="F134" s="260"/>
      <c r="G134" s="260"/>
      <c r="H134" s="260"/>
      <c r="I134" s="260"/>
      <c r="J134" s="260"/>
      <c r="K134" s="260"/>
      <c r="L134" s="260"/>
      <c r="M134" s="260"/>
      <c r="N134" s="260"/>
      <c r="O134" s="260"/>
      <c r="P134" s="260"/>
      <c r="Q134" s="260"/>
      <c r="R134" s="356"/>
      <c r="S134" s="261"/>
      <c r="T134" s="256"/>
    </row>
    <row r="135" spans="1:20" x14ac:dyDescent="0.3">
      <c r="A135" s="258"/>
      <c r="B135" s="395" t="s">
        <v>34</v>
      </c>
      <c r="C135" s="260"/>
      <c r="D135" s="260"/>
      <c r="E135" s="260"/>
      <c r="F135" s="260"/>
      <c r="G135" s="260"/>
      <c r="H135" s="260"/>
      <c r="I135" s="260"/>
      <c r="J135" s="260"/>
      <c r="K135" s="260"/>
      <c r="L135" s="260"/>
      <c r="M135" s="260"/>
      <c r="N135" s="260"/>
      <c r="O135" s="260"/>
      <c r="P135" s="260"/>
      <c r="Q135" s="260"/>
      <c r="R135" s="356"/>
      <c r="S135" s="261"/>
      <c r="T135" s="256"/>
    </row>
    <row r="136" spans="1:20" s="275" customFormat="1" x14ac:dyDescent="0.3">
      <c r="A136" s="301"/>
      <c r="B136" s="294" t="s">
        <v>35</v>
      </c>
      <c r="C136" s="294"/>
      <c r="D136" s="294"/>
      <c r="E136" s="294"/>
      <c r="F136" s="294"/>
      <c r="G136" s="294"/>
      <c r="H136" s="294"/>
      <c r="I136" s="294"/>
      <c r="J136" s="294"/>
      <c r="K136" s="294"/>
      <c r="L136" s="294"/>
      <c r="M136" s="294"/>
      <c r="N136" s="294"/>
      <c r="O136" s="294"/>
      <c r="P136" s="294"/>
      <c r="Q136" s="294"/>
      <c r="R136" s="363">
        <v>7501</v>
      </c>
      <c r="S136" s="297"/>
      <c r="T136" s="274"/>
    </row>
    <row r="137" spans="1:20" s="275" customFormat="1" x14ac:dyDescent="0.3">
      <c r="A137" s="301"/>
      <c r="B137" s="294" t="s">
        <v>36</v>
      </c>
      <c r="C137" s="294"/>
      <c r="D137" s="294"/>
      <c r="E137" s="294"/>
      <c r="F137" s="294"/>
      <c r="G137" s="294"/>
      <c r="H137" s="294"/>
      <c r="I137" s="294"/>
      <c r="J137" s="294"/>
      <c r="K137" s="294"/>
      <c r="L137" s="294"/>
      <c r="M137" s="294"/>
      <c r="N137" s="294"/>
      <c r="O137" s="294"/>
      <c r="P137" s="294"/>
      <c r="Q137" s="294"/>
      <c r="R137" s="363">
        <v>0</v>
      </c>
      <c r="S137" s="297"/>
      <c r="T137" s="274"/>
    </row>
    <row r="138" spans="1:20" s="275" customFormat="1" x14ac:dyDescent="0.3">
      <c r="A138" s="301"/>
      <c r="B138" s="294" t="s">
        <v>169</v>
      </c>
      <c r="C138" s="294"/>
      <c r="D138" s="294"/>
      <c r="E138" s="294"/>
      <c r="F138" s="294"/>
      <c r="G138" s="294"/>
      <c r="H138" s="294"/>
      <c r="I138" s="294"/>
      <c r="J138" s="294"/>
      <c r="K138" s="294"/>
      <c r="L138" s="294"/>
      <c r="M138" s="294"/>
      <c r="N138" s="294"/>
      <c r="O138" s="294"/>
      <c r="P138" s="294"/>
      <c r="Q138" s="294"/>
      <c r="R138" s="363">
        <f>R136-R139</f>
        <v>4694.6173836099997</v>
      </c>
      <c r="S138" s="297"/>
      <c r="T138" s="274"/>
    </row>
    <row r="139" spans="1:20" s="275" customFormat="1" x14ac:dyDescent="0.3">
      <c r="A139" s="301"/>
      <c r="B139" s="294" t="s">
        <v>211</v>
      </c>
      <c r="C139" s="294"/>
      <c r="D139" s="294"/>
      <c r="E139" s="294"/>
      <c r="F139" s="294"/>
      <c r="G139" s="294"/>
      <c r="H139" s="294"/>
      <c r="I139" s="294"/>
      <c r="J139" s="294"/>
      <c r="K139" s="294"/>
      <c r="L139" s="294"/>
      <c r="M139" s="294"/>
      <c r="N139" s="294"/>
      <c r="O139" s="294"/>
      <c r="P139" s="294"/>
      <c r="Q139" s="294"/>
      <c r="R139" s="363">
        <f>SUM(D33:J33)*0.025</f>
        <v>2806.3826163900003</v>
      </c>
      <c r="S139" s="297"/>
      <c r="T139" s="274"/>
    </row>
    <row r="140" spans="1:20" s="275" customFormat="1" x14ac:dyDescent="0.3">
      <c r="A140" s="301"/>
      <c r="B140" s="294" t="s">
        <v>108</v>
      </c>
      <c r="C140" s="294"/>
      <c r="D140" s="294"/>
      <c r="E140" s="294"/>
      <c r="F140" s="294"/>
      <c r="G140" s="294"/>
      <c r="H140" s="294"/>
      <c r="I140" s="294"/>
      <c r="J140" s="294"/>
      <c r="K140" s="294"/>
      <c r="L140" s="294"/>
      <c r="M140" s="294"/>
      <c r="N140" s="294"/>
      <c r="O140" s="294"/>
      <c r="P140" s="294"/>
      <c r="Q140" s="294"/>
      <c r="R140" s="363"/>
      <c r="S140" s="297"/>
      <c r="T140" s="274"/>
    </row>
    <row r="141" spans="1:20" s="275" customFormat="1" x14ac:dyDescent="0.3">
      <c r="A141" s="301"/>
      <c r="B141" s="294" t="s">
        <v>155</v>
      </c>
      <c r="C141" s="294"/>
      <c r="D141" s="294"/>
      <c r="E141" s="294"/>
      <c r="F141" s="294"/>
      <c r="G141" s="294"/>
      <c r="H141" s="294"/>
      <c r="I141" s="294"/>
      <c r="J141" s="294"/>
      <c r="K141" s="294"/>
      <c r="L141" s="294"/>
      <c r="M141" s="294"/>
      <c r="N141" s="294"/>
      <c r="O141" s="294"/>
      <c r="P141" s="294"/>
      <c r="Q141" s="294"/>
      <c r="R141" s="363">
        <v>0</v>
      </c>
      <c r="S141" s="297"/>
      <c r="T141" s="274"/>
    </row>
    <row r="142" spans="1:20" s="275" customFormat="1" x14ac:dyDescent="0.3">
      <c r="A142" s="301"/>
      <c r="B142" s="294" t="s">
        <v>189</v>
      </c>
      <c r="C142" s="294"/>
      <c r="D142" s="294"/>
      <c r="E142" s="294"/>
      <c r="F142" s="294"/>
      <c r="G142" s="294"/>
      <c r="H142" s="294"/>
      <c r="I142" s="294"/>
      <c r="J142" s="294"/>
      <c r="K142" s="294"/>
      <c r="L142" s="294"/>
      <c r="M142" s="294"/>
      <c r="N142" s="294"/>
      <c r="O142" s="294"/>
      <c r="P142" s="294"/>
      <c r="Q142" s="294"/>
      <c r="R142" s="363">
        <v>0</v>
      </c>
      <c r="S142" s="297"/>
      <c r="T142" s="274"/>
    </row>
    <row r="143" spans="1:20" s="275" customFormat="1" x14ac:dyDescent="0.3">
      <c r="A143" s="301"/>
      <c r="B143" s="294" t="s">
        <v>190</v>
      </c>
      <c r="C143" s="294"/>
      <c r="D143" s="294"/>
      <c r="E143" s="294"/>
      <c r="F143" s="294"/>
      <c r="G143" s="294"/>
      <c r="H143" s="294"/>
      <c r="I143" s="294"/>
      <c r="J143" s="294"/>
      <c r="K143" s="294"/>
      <c r="L143" s="294"/>
      <c r="M143" s="294"/>
      <c r="N143" s="294"/>
      <c r="O143" s="294"/>
      <c r="P143" s="294"/>
      <c r="Q143" s="294"/>
      <c r="R143" s="363">
        <v>0</v>
      </c>
      <c r="S143" s="297"/>
      <c r="T143" s="274"/>
    </row>
    <row r="144" spans="1:20" s="275" customFormat="1" x14ac:dyDescent="0.3">
      <c r="A144" s="301"/>
      <c r="B144" s="294" t="s">
        <v>37</v>
      </c>
      <c r="C144" s="294"/>
      <c r="D144" s="294"/>
      <c r="E144" s="294"/>
      <c r="F144" s="294"/>
      <c r="G144" s="294"/>
      <c r="H144" s="294"/>
      <c r="I144" s="294"/>
      <c r="J144" s="294"/>
      <c r="K144" s="294"/>
      <c r="L144" s="294"/>
      <c r="M144" s="294"/>
      <c r="N144" s="294"/>
      <c r="O144" s="294"/>
      <c r="P144" s="294"/>
      <c r="Q144" s="294"/>
      <c r="R144" s="363">
        <v>0</v>
      </c>
      <c r="S144" s="297"/>
      <c r="T144" s="274"/>
    </row>
    <row r="145" spans="1:21" s="275" customFormat="1" x14ac:dyDescent="0.3">
      <c r="A145" s="301"/>
      <c r="B145" s="294" t="s">
        <v>102</v>
      </c>
      <c r="C145" s="294"/>
      <c r="D145" s="294"/>
      <c r="E145" s="294"/>
      <c r="F145" s="294"/>
      <c r="G145" s="294"/>
      <c r="H145" s="294"/>
      <c r="I145" s="294"/>
      <c r="J145" s="294"/>
      <c r="K145" s="294"/>
      <c r="L145" s="294"/>
      <c r="M145" s="294"/>
      <c r="N145" s="294"/>
      <c r="O145" s="294"/>
      <c r="P145" s="294"/>
      <c r="Q145" s="294"/>
      <c r="R145" s="363">
        <v>0</v>
      </c>
      <c r="S145" s="297"/>
      <c r="T145" s="274"/>
    </row>
    <row r="146" spans="1:21" s="275" customFormat="1" x14ac:dyDescent="0.3">
      <c r="A146" s="301"/>
      <c r="B146" s="294" t="s">
        <v>275</v>
      </c>
      <c r="C146" s="294"/>
      <c r="D146" s="294"/>
      <c r="E146" s="294"/>
      <c r="F146" s="294"/>
      <c r="G146" s="294"/>
      <c r="H146" s="294"/>
      <c r="I146" s="294"/>
      <c r="J146" s="294"/>
      <c r="K146" s="294"/>
      <c r="L146" s="294"/>
      <c r="M146" s="294"/>
      <c r="N146" s="294"/>
      <c r="O146" s="294"/>
      <c r="P146" s="294"/>
      <c r="Q146" s="294"/>
      <c r="R146" s="363">
        <v>0</v>
      </c>
      <c r="S146" s="297"/>
      <c r="T146" s="274"/>
      <c r="U146" s="364"/>
    </row>
    <row r="147" spans="1:21" s="275" customFormat="1" x14ac:dyDescent="0.3">
      <c r="A147" s="301"/>
      <c r="B147" s="294" t="s">
        <v>38</v>
      </c>
      <c r="C147" s="294"/>
      <c r="D147" s="294"/>
      <c r="E147" s="294"/>
      <c r="F147" s="294"/>
      <c r="G147" s="294"/>
      <c r="H147" s="294"/>
      <c r="I147" s="294"/>
      <c r="J147" s="294"/>
      <c r="K147" s="294"/>
      <c r="L147" s="294"/>
      <c r="M147" s="294"/>
      <c r="N147" s="294"/>
      <c r="O147" s="294"/>
      <c r="P147" s="294"/>
      <c r="Q147" s="294"/>
      <c r="R147" s="363">
        <f>SUM(R137:R146)</f>
        <v>7501</v>
      </c>
      <c r="S147" s="297"/>
      <c r="T147" s="274"/>
    </row>
    <row r="148" spans="1:21" x14ac:dyDescent="0.3">
      <c r="A148" s="258"/>
      <c r="B148" s="343"/>
      <c r="C148" s="343"/>
      <c r="D148" s="343"/>
      <c r="E148" s="343"/>
      <c r="F148" s="343"/>
      <c r="G148" s="343"/>
      <c r="H148" s="343"/>
      <c r="I148" s="343"/>
      <c r="J148" s="343"/>
      <c r="K148" s="343"/>
      <c r="L148" s="343"/>
      <c r="M148" s="343"/>
      <c r="N148" s="343"/>
      <c r="O148" s="343"/>
      <c r="P148" s="343"/>
      <c r="Q148" s="343"/>
      <c r="R148" s="396"/>
      <c r="S148" s="261"/>
      <c r="T148" s="256"/>
    </row>
    <row r="149" spans="1:21" x14ac:dyDescent="0.3">
      <c r="A149" s="258"/>
      <c r="B149" s="395" t="s">
        <v>203</v>
      </c>
      <c r="C149" s="260"/>
      <c r="D149" s="260"/>
      <c r="E149" s="260"/>
      <c r="F149" s="260"/>
      <c r="G149" s="260"/>
      <c r="H149" s="260"/>
      <c r="I149" s="260"/>
      <c r="J149" s="260"/>
      <c r="K149" s="260"/>
      <c r="L149" s="260"/>
      <c r="M149" s="260"/>
      <c r="N149" s="260"/>
      <c r="O149" s="260"/>
      <c r="P149" s="260"/>
      <c r="Q149" s="260"/>
      <c r="R149" s="356"/>
      <c r="S149" s="261"/>
      <c r="T149" s="256"/>
    </row>
    <row r="150" spans="1:21" s="275" customFormat="1" x14ac:dyDescent="0.3">
      <c r="A150" s="301"/>
      <c r="B150" s="294" t="s">
        <v>168</v>
      </c>
      <c r="C150" s="294"/>
      <c r="D150" s="294"/>
      <c r="E150" s="294"/>
      <c r="F150" s="294"/>
      <c r="G150" s="294"/>
      <c r="H150" s="294"/>
      <c r="I150" s="294"/>
      <c r="J150" s="294"/>
      <c r="K150" s="294"/>
      <c r="L150" s="294"/>
      <c r="M150" s="294"/>
      <c r="N150" s="294"/>
      <c r="O150" s="294"/>
      <c r="P150" s="294"/>
      <c r="Q150" s="294"/>
      <c r="R150" s="363">
        <v>0</v>
      </c>
      <c r="S150" s="297"/>
      <c r="T150" s="274"/>
    </row>
    <row r="151" spans="1:21" s="275" customFormat="1" x14ac:dyDescent="0.3">
      <c r="A151" s="301"/>
      <c r="B151" s="294" t="s">
        <v>191</v>
      </c>
      <c r="C151" s="294"/>
      <c r="D151" s="294"/>
      <c r="E151" s="294"/>
      <c r="F151" s="294"/>
      <c r="G151" s="294"/>
      <c r="H151" s="294"/>
      <c r="I151" s="294"/>
      <c r="J151" s="294"/>
      <c r="K151" s="294"/>
      <c r="L151" s="294"/>
      <c r="M151" s="294"/>
      <c r="N151" s="294"/>
      <c r="O151" s="294"/>
      <c r="P151" s="294"/>
      <c r="Q151" s="294"/>
      <c r="R151" s="363">
        <f>+J77</f>
        <v>0</v>
      </c>
      <c r="S151" s="297"/>
      <c r="T151" s="274"/>
    </row>
    <row r="152" spans="1:21" s="275" customFormat="1" x14ac:dyDescent="0.3">
      <c r="A152" s="301"/>
      <c r="B152" s="294" t="s">
        <v>205</v>
      </c>
      <c r="C152" s="294"/>
      <c r="D152" s="294"/>
      <c r="E152" s="294"/>
      <c r="F152" s="294"/>
      <c r="G152" s="294"/>
      <c r="H152" s="294"/>
      <c r="I152" s="294"/>
      <c r="J152" s="294"/>
      <c r="K152" s="294"/>
      <c r="L152" s="294"/>
      <c r="M152" s="294"/>
      <c r="N152" s="294"/>
      <c r="O152" s="294"/>
      <c r="P152" s="294"/>
      <c r="Q152" s="294"/>
      <c r="R152" s="363">
        <f>R150+R151</f>
        <v>0</v>
      </c>
      <c r="S152" s="297"/>
      <c r="T152" s="274"/>
    </row>
    <row r="153" spans="1:21" x14ac:dyDescent="0.3">
      <c r="A153" s="258"/>
      <c r="B153" s="397"/>
      <c r="C153" s="397"/>
      <c r="D153" s="397"/>
      <c r="E153" s="397"/>
      <c r="F153" s="397"/>
      <c r="G153" s="397"/>
      <c r="H153" s="397"/>
      <c r="I153" s="397"/>
      <c r="J153" s="397"/>
      <c r="K153" s="397"/>
      <c r="L153" s="397"/>
      <c r="M153" s="397"/>
      <c r="N153" s="397"/>
      <c r="O153" s="397"/>
      <c r="P153" s="397"/>
      <c r="Q153" s="397"/>
      <c r="R153" s="398"/>
      <c r="S153" s="261"/>
      <c r="T153" s="256"/>
    </row>
    <row r="154" spans="1:21" x14ac:dyDescent="0.3">
      <c r="A154" s="258"/>
      <c r="B154" s="395" t="s">
        <v>212</v>
      </c>
      <c r="C154" s="397"/>
      <c r="D154" s="397"/>
      <c r="E154" s="397"/>
      <c r="F154" s="397"/>
      <c r="G154" s="397"/>
      <c r="H154" s="397"/>
      <c r="I154" s="397"/>
      <c r="J154" s="397"/>
      <c r="K154" s="397"/>
      <c r="L154" s="397"/>
      <c r="M154" s="397"/>
      <c r="N154" s="397"/>
      <c r="O154" s="397"/>
      <c r="P154" s="397"/>
      <c r="Q154" s="397"/>
      <c r="R154" s="398"/>
      <c r="S154" s="261"/>
      <c r="T154" s="256"/>
    </row>
    <row r="155" spans="1:21" s="275" customFormat="1" x14ac:dyDescent="0.3">
      <c r="A155" s="399"/>
      <c r="B155" s="400" t="s">
        <v>283</v>
      </c>
      <c r="C155" s="400"/>
      <c r="D155" s="400"/>
      <c r="E155" s="400"/>
      <c r="F155" s="400"/>
      <c r="G155" s="400"/>
      <c r="H155" s="400"/>
      <c r="I155" s="400"/>
      <c r="J155" s="400"/>
      <c r="K155" s="400"/>
      <c r="L155" s="400"/>
      <c r="M155" s="400"/>
      <c r="N155" s="400"/>
      <c r="O155" s="400"/>
      <c r="P155" s="400"/>
      <c r="Q155" s="400"/>
      <c r="R155" s="401">
        <f>+'Dec 16'!R158</f>
        <v>0</v>
      </c>
      <c r="S155" s="402"/>
      <c r="T155" s="274"/>
    </row>
    <row r="156" spans="1:21" s="275" customFormat="1" x14ac:dyDescent="0.3">
      <c r="A156" s="399"/>
      <c r="B156" s="400" t="s">
        <v>214</v>
      </c>
      <c r="C156" s="400"/>
      <c r="D156" s="400"/>
      <c r="E156" s="400"/>
      <c r="F156" s="400"/>
      <c r="G156" s="400"/>
      <c r="H156" s="400"/>
      <c r="I156" s="400"/>
      <c r="J156" s="400"/>
      <c r="K156" s="400"/>
      <c r="L156" s="400"/>
      <c r="M156" s="400"/>
      <c r="N156" s="400"/>
      <c r="O156" s="400"/>
      <c r="P156" s="400"/>
      <c r="Q156" s="400"/>
      <c r="R156" s="401">
        <f>+P86</f>
        <v>0</v>
      </c>
      <c r="S156" s="402"/>
      <c r="T156" s="274"/>
    </row>
    <row r="157" spans="1:21" s="275" customFormat="1" x14ac:dyDescent="0.3">
      <c r="A157" s="399"/>
      <c r="B157" s="400" t="s">
        <v>215</v>
      </c>
      <c r="C157" s="400"/>
      <c r="D157" s="400"/>
      <c r="E157" s="400"/>
      <c r="F157" s="400"/>
      <c r="G157" s="400"/>
      <c r="H157" s="400"/>
      <c r="I157" s="400"/>
      <c r="J157" s="400"/>
      <c r="K157" s="400"/>
      <c r="L157" s="400"/>
      <c r="M157" s="400"/>
      <c r="N157" s="400"/>
      <c r="O157" s="400"/>
      <c r="P157" s="400"/>
      <c r="Q157" s="400"/>
      <c r="R157" s="401">
        <v>0</v>
      </c>
      <c r="S157" s="402"/>
      <c r="T157" s="274"/>
    </row>
    <row r="158" spans="1:21" s="275" customFormat="1" x14ac:dyDescent="0.3">
      <c r="A158" s="399"/>
      <c r="B158" s="400" t="s">
        <v>216</v>
      </c>
      <c r="C158" s="400"/>
      <c r="D158" s="400"/>
      <c r="E158" s="400"/>
      <c r="F158" s="400"/>
      <c r="G158" s="400"/>
      <c r="H158" s="400"/>
      <c r="I158" s="400"/>
      <c r="J158" s="400"/>
      <c r="K158" s="400"/>
      <c r="L158" s="400"/>
      <c r="M158" s="400"/>
      <c r="N158" s="400"/>
      <c r="O158" s="400"/>
      <c r="P158" s="400"/>
      <c r="Q158" s="400"/>
      <c r="R158" s="401">
        <f>R155+R156+R157</f>
        <v>0</v>
      </c>
      <c r="S158" s="402"/>
      <c r="T158" s="274"/>
    </row>
    <row r="159" spans="1:21" x14ac:dyDescent="0.3">
      <c r="A159" s="258"/>
      <c r="B159" s="343"/>
      <c r="C159" s="343"/>
      <c r="D159" s="343"/>
      <c r="E159" s="343"/>
      <c r="F159" s="343"/>
      <c r="G159" s="343"/>
      <c r="H159" s="343"/>
      <c r="I159" s="343"/>
      <c r="J159" s="343"/>
      <c r="K159" s="343"/>
      <c r="L159" s="343"/>
      <c r="M159" s="343"/>
      <c r="N159" s="343"/>
      <c r="O159" s="343"/>
      <c r="P159" s="343"/>
      <c r="Q159" s="343"/>
      <c r="R159" s="396"/>
      <c r="S159" s="261"/>
      <c r="T159" s="256"/>
    </row>
    <row r="160" spans="1:21" x14ac:dyDescent="0.3">
      <c r="A160" s="258"/>
      <c r="B160" s="395" t="s">
        <v>39</v>
      </c>
      <c r="C160" s="260"/>
      <c r="D160" s="260"/>
      <c r="E160" s="260"/>
      <c r="F160" s="260"/>
      <c r="G160" s="260"/>
      <c r="H160" s="260"/>
      <c r="I160" s="260"/>
      <c r="J160" s="260"/>
      <c r="K160" s="260"/>
      <c r="L160" s="260"/>
      <c r="M160" s="260"/>
      <c r="N160" s="260"/>
      <c r="O160" s="260"/>
      <c r="P160" s="260"/>
      <c r="Q160" s="260"/>
      <c r="R160" s="403"/>
      <c r="S160" s="261"/>
      <c r="T160" s="256"/>
    </row>
    <row r="161" spans="1:252" s="275" customFormat="1" x14ac:dyDescent="0.3">
      <c r="A161" s="301"/>
      <c r="B161" s="294" t="s">
        <v>40</v>
      </c>
      <c r="C161" s="294"/>
      <c r="D161" s="294"/>
      <c r="E161" s="294"/>
      <c r="F161" s="294"/>
      <c r="G161" s="294"/>
      <c r="H161" s="294"/>
      <c r="I161" s="294"/>
      <c r="J161" s="294"/>
      <c r="K161" s="294"/>
      <c r="L161" s="294"/>
      <c r="M161" s="294"/>
      <c r="N161" s="294"/>
      <c r="O161" s="294"/>
      <c r="P161" s="294"/>
      <c r="Q161" s="294"/>
      <c r="R161" s="363">
        <v>0</v>
      </c>
      <c r="S161" s="297"/>
      <c r="T161" s="274"/>
    </row>
    <row r="162" spans="1:252" s="275" customFormat="1" x14ac:dyDescent="0.3">
      <c r="A162" s="301"/>
      <c r="B162" s="294" t="s">
        <v>41</v>
      </c>
      <c r="C162" s="294"/>
      <c r="D162" s="294"/>
      <c r="E162" s="294"/>
      <c r="F162" s="294"/>
      <c r="G162" s="294"/>
      <c r="H162" s="294"/>
      <c r="I162" s="294"/>
      <c r="J162" s="294"/>
      <c r="K162" s="294"/>
      <c r="L162" s="294"/>
      <c r="M162" s="294"/>
      <c r="N162" s="294"/>
      <c r="O162" s="294"/>
      <c r="P162" s="294"/>
      <c r="Q162" s="294"/>
      <c r="R162" s="363">
        <v>0</v>
      </c>
      <c r="S162" s="297"/>
      <c r="T162" s="274"/>
    </row>
    <row r="163" spans="1:252" s="275" customFormat="1" x14ac:dyDescent="0.3">
      <c r="A163" s="301"/>
      <c r="B163" s="294" t="s">
        <v>42</v>
      </c>
      <c r="C163" s="294"/>
      <c r="D163" s="294"/>
      <c r="E163" s="294"/>
      <c r="F163" s="294"/>
      <c r="G163" s="294"/>
      <c r="H163" s="294"/>
      <c r="I163" s="294"/>
      <c r="J163" s="294"/>
      <c r="K163" s="294"/>
      <c r="L163" s="294"/>
      <c r="M163" s="294"/>
      <c r="N163" s="294"/>
      <c r="O163" s="294"/>
      <c r="P163" s="294"/>
      <c r="Q163" s="294"/>
      <c r="R163" s="363">
        <f>R162+R161</f>
        <v>0</v>
      </c>
      <c r="S163" s="297"/>
      <c r="T163" s="274"/>
    </row>
    <row r="164" spans="1:252" s="275" customFormat="1" x14ac:dyDescent="0.3">
      <c r="A164" s="301"/>
      <c r="B164" s="294" t="s">
        <v>174</v>
      </c>
      <c r="C164" s="294"/>
      <c r="D164" s="294"/>
      <c r="E164" s="294"/>
      <c r="F164" s="294"/>
      <c r="G164" s="294"/>
      <c r="H164" s="294"/>
      <c r="I164" s="294"/>
      <c r="J164" s="294"/>
      <c r="K164" s="294"/>
      <c r="L164" s="294"/>
      <c r="M164" s="294"/>
      <c r="N164" s="294"/>
      <c r="O164" s="294"/>
      <c r="P164" s="294"/>
      <c r="Q164" s="294"/>
      <c r="R164" s="363">
        <f>R111</f>
        <v>0</v>
      </c>
      <c r="S164" s="297"/>
      <c r="T164" s="274"/>
    </row>
    <row r="165" spans="1:252" s="275" customFormat="1" x14ac:dyDescent="0.3">
      <c r="A165" s="301"/>
      <c r="B165" s="294" t="s">
        <v>43</v>
      </c>
      <c r="C165" s="294"/>
      <c r="D165" s="294"/>
      <c r="E165" s="294"/>
      <c r="F165" s="294"/>
      <c r="G165" s="294"/>
      <c r="H165" s="294"/>
      <c r="I165" s="294"/>
      <c r="J165" s="294"/>
      <c r="K165" s="294"/>
      <c r="L165" s="294"/>
      <c r="M165" s="294"/>
      <c r="N165" s="294"/>
      <c r="O165" s="294"/>
      <c r="P165" s="294"/>
      <c r="Q165" s="294"/>
      <c r="R165" s="363">
        <f>R163+R164</f>
        <v>0</v>
      </c>
      <c r="S165" s="297"/>
      <c r="T165" s="274"/>
    </row>
    <row r="166" spans="1:252" s="275" customFormat="1" x14ac:dyDescent="0.3">
      <c r="A166" s="301"/>
      <c r="B166" s="294" t="s">
        <v>150</v>
      </c>
      <c r="C166" s="294"/>
      <c r="D166" s="294"/>
      <c r="E166" s="294"/>
      <c r="F166" s="294"/>
      <c r="G166" s="294"/>
      <c r="H166" s="294"/>
      <c r="I166" s="294"/>
      <c r="J166" s="294"/>
      <c r="K166" s="294"/>
      <c r="L166" s="294"/>
      <c r="M166" s="294"/>
      <c r="N166" s="294"/>
      <c r="O166" s="294"/>
      <c r="P166" s="294"/>
      <c r="Q166" s="294"/>
      <c r="R166" s="363">
        <f>-R99</f>
        <v>0</v>
      </c>
      <c r="S166" s="297"/>
      <c r="T166" s="274"/>
    </row>
    <row r="167" spans="1:252" ht="16.2" thickBot="1" x14ac:dyDescent="0.35">
      <c r="A167" s="258"/>
      <c r="B167" s="343"/>
      <c r="C167" s="343"/>
      <c r="D167" s="343"/>
      <c r="E167" s="343"/>
      <c r="F167" s="343"/>
      <c r="G167" s="343"/>
      <c r="H167" s="343"/>
      <c r="I167" s="343"/>
      <c r="J167" s="343"/>
      <c r="K167" s="343"/>
      <c r="L167" s="343"/>
      <c r="M167" s="343"/>
      <c r="N167" s="343"/>
      <c r="O167" s="343"/>
      <c r="P167" s="343"/>
      <c r="Q167" s="343"/>
      <c r="R167" s="396"/>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4"/>
      <c r="S168" s="255"/>
      <c r="T168" s="256"/>
    </row>
    <row r="169" spans="1:252" s="406" customFormat="1" x14ac:dyDescent="0.3">
      <c r="A169" s="258"/>
      <c r="B169" s="395" t="s">
        <v>204</v>
      </c>
      <c r="C169" s="343"/>
      <c r="D169" s="343"/>
      <c r="E169" s="343"/>
      <c r="F169" s="343"/>
      <c r="G169" s="343"/>
      <c r="H169" s="343"/>
      <c r="I169" s="343"/>
      <c r="J169" s="343"/>
      <c r="K169" s="343"/>
      <c r="L169" s="343"/>
      <c r="M169" s="343"/>
      <c r="N169" s="343"/>
      <c r="O169" s="343"/>
      <c r="P169" s="343"/>
      <c r="Q169" s="343"/>
      <c r="R169" s="405"/>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7" customFormat="1" x14ac:dyDescent="0.3">
      <c r="A170" s="301"/>
      <c r="B170" s="294" t="s">
        <v>141</v>
      </c>
      <c r="C170" s="294"/>
      <c r="D170" s="294"/>
      <c r="E170" s="294"/>
      <c r="F170" s="294"/>
      <c r="G170" s="294"/>
      <c r="H170" s="294"/>
      <c r="I170" s="294"/>
      <c r="J170" s="294"/>
      <c r="K170" s="294"/>
      <c r="L170" s="294"/>
      <c r="M170" s="294"/>
      <c r="N170" s="294"/>
      <c r="O170" s="294"/>
      <c r="P170" s="294"/>
      <c r="Q170" s="294"/>
      <c r="R170" s="363">
        <f>+'June 17'!R173</f>
        <v>1160</v>
      </c>
      <c r="S170" s="297"/>
      <c r="T170" s="274"/>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c r="EJ170" s="275"/>
      <c r="EK170" s="275"/>
      <c r="EL170" s="275"/>
      <c r="EM170" s="275"/>
      <c r="EN170" s="275"/>
      <c r="EO170" s="275"/>
      <c r="EP170" s="275"/>
      <c r="EQ170" s="275"/>
      <c r="ER170" s="275"/>
      <c r="ES170" s="275"/>
      <c r="ET170" s="275"/>
      <c r="EU170" s="275"/>
      <c r="EV170" s="275"/>
      <c r="EW170" s="275"/>
      <c r="EX170" s="275"/>
      <c r="EY170" s="275"/>
      <c r="EZ170" s="275"/>
      <c r="FA170" s="275"/>
      <c r="FB170" s="275"/>
      <c r="FC170" s="275"/>
      <c r="FD170" s="275"/>
      <c r="FE170" s="275"/>
      <c r="FF170" s="275"/>
      <c r="FG170" s="275"/>
      <c r="FH170" s="275"/>
      <c r="FI170" s="275"/>
      <c r="FJ170" s="275"/>
      <c r="FK170" s="275"/>
      <c r="FL170" s="275"/>
      <c r="FM170" s="275"/>
      <c r="FN170" s="275"/>
      <c r="FO170" s="275"/>
      <c r="FP170" s="275"/>
      <c r="FQ170" s="275"/>
      <c r="FR170" s="275"/>
      <c r="FS170" s="275"/>
      <c r="FT170" s="275"/>
      <c r="FU170" s="275"/>
      <c r="FV170" s="275"/>
      <c r="FW170" s="275"/>
      <c r="FX170" s="275"/>
      <c r="FY170" s="275"/>
      <c r="FZ170" s="275"/>
      <c r="GA170" s="275"/>
      <c r="GB170" s="275"/>
      <c r="GC170" s="275"/>
      <c r="GD170" s="275"/>
      <c r="GE170" s="275"/>
      <c r="GF170" s="275"/>
      <c r="GG170" s="275"/>
      <c r="GH170" s="275"/>
      <c r="GI170" s="275"/>
      <c r="GJ170" s="275"/>
      <c r="GK170" s="275"/>
      <c r="GL170" s="275"/>
      <c r="GM170" s="275"/>
      <c r="GN170" s="275"/>
      <c r="GO170" s="275"/>
      <c r="GP170" s="275"/>
      <c r="GQ170" s="275"/>
      <c r="GR170" s="275"/>
      <c r="GS170" s="275"/>
      <c r="GT170" s="275"/>
      <c r="GU170" s="275"/>
      <c r="GV170" s="275"/>
      <c r="GW170" s="275"/>
      <c r="GX170" s="275"/>
      <c r="GY170" s="275"/>
      <c r="GZ170" s="275"/>
      <c r="HA170" s="275"/>
      <c r="HB170" s="275"/>
      <c r="HC170" s="275"/>
      <c r="HD170" s="275"/>
      <c r="HE170" s="275"/>
      <c r="HF170" s="275"/>
      <c r="HG170" s="275"/>
      <c r="HH170" s="275"/>
      <c r="HI170" s="275"/>
      <c r="HJ170" s="275"/>
      <c r="HK170" s="275"/>
      <c r="HL170" s="275"/>
      <c r="HM170" s="275"/>
      <c r="HN170" s="275"/>
      <c r="HO170" s="275"/>
      <c r="HP170" s="275"/>
      <c r="HQ170" s="275"/>
      <c r="HR170" s="275"/>
      <c r="HS170" s="275"/>
      <c r="HT170" s="275"/>
      <c r="HU170" s="275"/>
      <c r="HV170" s="275"/>
      <c r="HW170" s="275"/>
      <c r="HX170" s="275"/>
      <c r="HY170" s="275"/>
      <c r="HZ170" s="275"/>
      <c r="IA170" s="275"/>
      <c r="IB170" s="275"/>
      <c r="IC170" s="275"/>
      <c r="ID170" s="275"/>
      <c r="IE170" s="275"/>
      <c r="IF170" s="275"/>
      <c r="IG170" s="275"/>
      <c r="IH170" s="275"/>
      <c r="II170" s="275"/>
      <c r="IJ170" s="275"/>
      <c r="IK170" s="275"/>
      <c r="IL170" s="275"/>
      <c r="IM170" s="275"/>
      <c r="IN170" s="275"/>
      <c r="IO170" s="275"/>
      <c r="IP170" s="275"/>
      <c r="IQ170" s="275"/>
      <c r="IR170" s="275"/>
    </row>
    <row r="171" spans="1:252" s="407" customFormat="1" x14ac:dyDescent="0.3">
      <c r="A171" s="301"/>
      <c r="B171" s="294" t="s">
        <v>286</v>
      </c>
      <c r="C171" s="294"/>
      <c r="D171" s="294"/>
      <c r="E171" s="294"/>
      <c r="F171" s="294"/>
      <c r="G171" s="294"/>
      <c r="H171" s="294"/>
      <c r="I171" s="294"/>
      <c r="J171" s="294"/>
      <c r="K171" s="294"/>
      <c r="L171" s="294"/>
      <c r="M171" s="294"/>
      <c r="N171" s="294"/>
      <c r="O171" s="294"/>
      <c r="P171" s="294"/>
      <c r="Q171" s="294"/>
      <c r="R171" s="363">
        <v>0</v>
      </c>
      <c r="S171" s="297"/>
      <c r="T171" s="274"/>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c r="EJ171" s="275"/>
      <c r="EK171" s="275"/>
      <c r="EL171" s="275"/>
      <c r="EM171" s="275"/>
      <c r="EN171" s="275"/>
      <c r="EO171" s="275"/>
      <c r="EP171" s="275"/>
      <c r="EQ171" s="275"/>
      <c r="ER171" s="275"/>
      <c r="ES171" s="275"/>
      <c r="ET171" s="275"/>
      <c r="EU171" s="275"/>
      <c r="EV171" s="275"/>
      <c r="EW171" s="275"/>
      <c r="EX171" s="275"/>
      <c r="EY171" s="275"/>
      <c r="EZ171" s="275"/>
      <c r="FA171" s="275"/>
      <c r="FB171" s="275"/>
      <c r="FC171" s="275"/>
      <c r="FD171" s="275"/>
      <c r="FE171" s="275"/>
      <c r="FF171" s="275"/>
      <c r="FG171" s="275"/>
      <c r="FH171" s="275"/>
      <c r="FI171" s="275"/>
      <c r="FJ171" s="275"/>
      <c r="FK171" s="275"/>
      <c r="FL171" s="275"/>
      <c r="FM171" s="275"/>
      <c r="FN171" s="275"/>
      <c r="FO171" s="275"/>
      <c r="FP171" s="275"/>
      <c r="FQ171" s="275"/>
      <c r="FR171" s="275"/>
      <c r="FS171" s="275"/>
      <c r="FT171" s="275"/>
      <c r="FU171" s="275"/>
      <c r="FV171" s="275"/>
      <c r="FW171" s="275"/>
      <c r="FX171" s="275"/>
      <c r="FY171" s="275"/>
      <c r="FZ171" s="275"/>
      <c r="GA171" s="275"/>
      <c r="GB171" s="275"/>
      <c r="GC171" s="275"/>
      <c r="GD171" s="275"/>
      <c r="GE171" s="275"/>
      <c r="GF171" s="275"/>
      <c r="GG171" s="275"/>
      <c r="GH171" s="275"/>
      <c r="GI171" s="275"/>
      <c r="GJ171" s="275"/>
      <c r="GK171" s="275"/>
      <c r="GL171" s="275"/>
      <c r="GM171" s="275"/>
      <c r="GN171" s="275"/>
      <c r="GO171" s="275"/>
      <c r="GP171" s="275"/>
      <c r="GQ171" s="275"/>
      <c r="GR171" s="275"/>
      <c r="GS171" s="275"/>
      <c r="GT171" s="275"/>
      <c r="GU171" s="275"/>
      <c r="GV171" s="275"/>
      <c r="GW171" s="275"/>
      <c r="GX171" s="275"/>
      <c r="GY171" s="275"/>
      <c r="GZ171" s="275"/>
      <c r="HA171" s="275"/>
      <c r="HB171" s="275"/>
      <c r="HC171" s="275"/>
      <c r="HD171" s="275"/>
      <c r="HE171" s="275"/>
      <c r="HF171" s="275"/>
      <c r="HG171" s="275"/>
      <c r="HH171" s="275"/>
      <c r="HI171" s="275"/>
      <c r="HJ171" s="275"/>
      <c r="HK171" s="275"/>
      <c r="HL171" s="275"/>
      <c r="HM171" s="275"/>
      <c r="HN171" s="275"/>
      <c r="HO171" s="275"/>
      <c r="HP171" s="275"/>
      <c r="HQ171" s="275"/>
      <c r="HR171" s="275"/>
      <c r="HS171" s="275"/>
      <c r="HT171" s="275"/>
      <c r="HU171" s="275"/>
      <c r="HV171" s="275"/>
      <c r="HW171" s="275"/>
      <c r="HX171" s="275"/>
      <c r="HY171" s="275"/>
      <c r="HZ171" s="275"/>
      <c r="IA171" s="275"/>
      <c r="IB171" s="275"/>
      <c r="IC171" s="275"/>
      <c r="ID171" s="275"/>
      <c r="IE171" s="275"/>
      <c r="IF171" s="275"/>
      <c r="IG171" s="275"/>
      <c r="IH171" s="275"/>
      <c r="II171" s="275"/>
      <c r="IJ171" s="275"/>
      <c r="IK171" s="275"/>
      <c r="IL171" s="275"/>
      <c r="IM171" s="275"/>
      <c r="IN171" s="275"/>
      <c r="IO171" s="275"/>
      <c r="IP171" s="275"/>
      <c r="IQ171" s="275"/>
      <c r="IR171" s="275"/>
    </row>
    <row r="172" spans="1:252" s="407" customFormat="1" x14ac:dyDescent="0.3">
      <c r="A172" s="301"/>
      <c r="B172" s="294" t="s">
        <v>144</v>
      </c>
      <c r="C172" s="294"/>
      <c r="D172" s="294"/>
      <c r="E172" s="294"/>
      <c r="F172" s="294"/>
      <c r="G172" s="294"/>
      <c r="H172" s="294"/>
      <c r="I172" s="294"/>
      <c r="J172" s="294"/>
      <c r="K172" s="294"/>
      <c r="L172" s="294"/>
      <c r="M172" s="294"/>
      <c r="N172" s="294"/>
      <c r="O172" s="294"/>
      <c r="P172" s="294"/>
      <c r="Q172" s="294"/>
      <c r="R172" s="363">
        <f>+R92</f>
        <v>116</v>
      </c>
      <c r="S172" s="297"/>
      <c r="T172" s="274"/>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5"/>
      <c r="CY172" s="275"/>
      <c r="CZ172" s="275"/>
      <c r="DA172" s="275"/>
      <c r="DB172" s="275"/>
      <c r="DC172" s="275"/>
      <c r="DD172" s="275"/>
      <c r="DE172" s="275"/>
      <c r="DF172" s="275"/>
      <c r="DG172" s="275"/>
      <c r="DH172" s="275"/>
      <c r="DI172" s="275"/>
      <c r="DJ172" s="275"/>
      <c r="DK172" s="275"/>
      <c r="DL172" s="275"/>
      <c r="DM172" s="275"/>
      <c r="DN172" s="275"/>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5"/>
      <c r="EJ172" s="275"/>
      <c r="EK172" s="275"/>
      <c r="EL172" s="275"/>
      <c r="EM172" s="275"/>
      <c r="EN172" s="275"/>
      <c r="EO172" s="275"/>
      <c r="EP172" s="275"/>
      <c r="EQ172" s="275"/>
      <c r="ER172" s="275"/>
      <c r="ES172" s="275"/>
      <c r="ET172" s="275"/>
      <c r="EU172" s="275"/>
      <c r="EV172" s="275"/>
      <c r="EW172" s="275"/>
      <c r="EX172" s="275"/>
      <c r="EY172" s="275"/>
      <c r="EZ172" s="275"/>
      <c r="FA172" s="275"/>
      <c r="FB172" s="275"/>
      <c r="FC172" s="275"/>
      <c r="FD172" s="275"/>
      <c r="FE172" s="275"/>
      <c r="FF172" s="275"/>
      <c r="FG172" s="275"/>
      <c r="FH172" s="275"/>
      <c r="FI172" s="275"/>
      <c r="FJ172" s="275"/>
      <c r="FK172" s="275"/>
      <c r="FL172" s="275"/>
      <c r="FM172" s="275"/>
      <c r="FN172" s="275"/>
      <c r="FO172" s="275"/>
      <c r="FP172" s="275"/>
      <c r="FQ172" s="275"/>
      <c r="FR172" s="275"/>
      <c r="FS172" s="275"/>
      <c r="FT172" s="275"/>
      <c r="FU172" s="275"/>
      <c r="FV172" s="275"/>
      <c r="FW172" s="275"/>
      <c r="FX172" s="275"/>
      <c r="FY172" s="275"/>
      <c r="FZ172" s="275"/>
      <c r="GA172" s="275"/>
      <c r="GB172" s="275"/>
      <c r="GC172" s="275"/>
      <c r="GD172" s="275"/>
      <c r="GE172" s="275"/>
      <c r="GF172" s="275"/>
      <c r="GG172" s="275"/>
      <c r="GH172" s="275"/>
      <c r="GI172" s="275"/>
      <c r="GJ172" s="275"/>
      <c r="GK172" s="275"/>
      <c r="GL172" s="275"/>
      <c r="GM172" s="275"/>
      <c r="GN172" s="275"/>
      <c r="GO172" s="275"/>
      <c r="GP172" s="275"/>
      <c r="GQ172" s="275"/>
      <c r="GR172" s="275"/>
      <c r="GS172" s="275"/>
      <c r="GT172" s="275"/>
      <c r="GU172" s="275"/>
      <c r="GV172" s="275"/>
      <c r="GW172" s="275"/>
      <c r="GX172" s="275"/>
      <c r="GY172" s="275"/>
      <c r="GZ172" s="275"/>
      <c r="HA172" s="275"/>
      <c r="HB172" s="275"/>
      <c r="HC172" s="275"/>
      <c r="HD172" s="275"/>
      <c r="HE172" s="275"/>
      <c r="HF172" s="275"/>
      <c r="HG172" s="275"/>
      <c r="HH172" s="275"/>
      <c r="HI172" s="275"/>
      <c r="HJ172" s="275"/>
      <c r="HK172" s="275"/>
      <c r="HL172" s="275"/>
      <c r="HM172" s="275"/>
      <c r="HN172" s="275"/>
      <c r="HO172" s="275"/>
      <c r="HP172" s="275"/>
      <c r="HQ172" s="275"/>
      <c r="HR172" s="275"/>
      <c r="HS172" s="275"/>
      <c r="HT172" s="275"/>
      <c r="HU172" s="275"/>
      <c r="HV172" s="275"/>
      <c r="HW172" s="275"/>
      <c r="HX172" s="275"/>
      <c r="HY172" s="275"/>
      <c r="HZ172" s="275"/>
      <c r="IA172" s="275"/>
      <c r="IB172" s="275"/>
      <c r="IC172" s="275"/>
      <c r="ID172" s="275"/>
      <c r="IE172" s="275"/>
      <c r="IF172" s="275"/>
      <c r="IG172" s="275"/>
      <c r="IH172" s="275"/>
      <c r="II172" s="275"/>
      <c r="IJ172" s="275"/>
      <c r="IK172" s="275"/>
      <c r="IL172" s="275"/>
      <c r="IM172" s="275"/>
      <c r="IN172" s="275"/>
      <c r="IO172" s="275"/>
      <c r="IP172" s="275"/>
      <c r="IQ172" s="275"/>
      <c r="IR172" s="275"/>
    </row>
    <row r="173" spans="1:252" s="407" customFormat="1" x14ac:dyDescent="0.3">
      <c r="A173" s="301"/>
      <c r="B173" s="294" t="s">
        <v>142</v>
      </c>
      <c r="C173" s="294"/>
      <c r="D173" s="294"/>
      <c r="E173" s="294"/>
      <c r="F173" s="294"/>
      <c r="G173" s="294"/>
      <c r="H173" s="294"/>
      <c r="I173" s="294"/>
      <c r="J173" s="294"/>
      <c r="K173" s="294"/>
      <c r="L173" s="294"/>
      <c r="M173" s="294"/>
      <c r="N173" s="294"/>
      <c r="O173" s="294"/>
      <c r="P173" s="294"/>
      <c r="Q173" s="294"/>
      <c r="R173" s="363">
        <f>+R170+R171-R172</f>
        <v>1044</v>
      </c>
      <c r="S173" s="297"/>
      <c r="T173" s="274"/>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c r="EJ173" s="275"/>
      <c r="EK173" s="275"/>
      <c r="EL173" s="275"/>
      <c r="EM173" s="275"/>
      <c r="EN173" s="275"/>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c r="FL173" s="275"/>
      <c r="FM173" s="275"/>
      <c r="FN173" s="275"/>
      <c r="FO173" s="275"/>
      <c r="FP173" s="275"/>
      <c r="FQ173" s="275"/>
      <c r="FR173" s="275"/>
      <c r="FS173" s="275"/>
      <c r="FT173" s="275"/>
      <c r="FU173" s="275"/>
      <c r="FV173" s="275"/>
      <c r="FW173" s="275"/>
      <c r="FX173" s="275"/>
      <c r="FY173" s="275"/>
      <c r="FZ173" s="275"/>
      <c r="GA173" s="275"/>
      <c r="GB173" s="275"/>
      <c r="GC173" s="275"/>
      <c r="GD173" s="275"/>
      <c r="GE173" s="275"/>
      <c r="GF173" s="275"/>
      <c r="GG173" s="275"/>
      <c r="GH173" s="275"/>
      <c r="GI173" s="275"/>
      <c r="GJ173" s="275"/>
      <c r="GK173" s="275"/>
      <c r="GL173" s="275"/>
      <c r="GM173" s="275"/>
      <c r="GN173" s="275"/>
      <c r="GO173" s="275"/>
      <c r="GP173" s="275"/>
      <c r="GQ173" s="275"/>
      <c r="GR173" s="275"/>
      <c r="GS173" s="275"/>
      <c r="GT173" s="275"/>
      <c r="GU173" s="275"/>
      <c r="GV173" s="275"/>
      <c r="GW173" s="275"/>
      <c r="GX173" s="275"/>
      <c r="GY173" s="275"/>
      <c r="GZ173" s="275"/>
      <c r="HA173" s="275"/>
      <c r="HB173" s="275"/>
      <c r="HC173" s="275"/>
      <c r="HD173" s="275"/>
      <c r="HE173" s="275"/>
      <c r="HF173" s="275"/>
      <c r="HG173" s="275"/>
      <c r="HH173" s="275"/>
      <c r="HI173" s="275"/>
      <c r="HJ173" s="275"/>
      <c r="HK173" s="275"/>
      <c r="HL173" s="275"/>
      <c r="HM173" s="275"/>
      <c r="HN173" s="275"/>
      <c r="HO173" s="275"/>
      <c r="HP173" s="275"/>
      <c r="HQ173" s="275"/>
      <c r="HR173" s="275"/>
      <c r="HS173" s="275"/>
      <c r="HT173" s="275"/>
      <c r="HU173" s="275"/>
      <c r="HV173" s="275"/>
      <c r="HW173" s="275"/>
      <c r="HX173" s="275"/>
      <c r="HY173" s="275"/>
      <c r="HZ173" s="275"/>
      <c r="IA173" s="275"/>
      <c r="IB173" s="275"/>
      <c r="IC173" s="275"/>
      <c r="ID173" s="275"/>
      <c r="IE173" s="275"/>
      <c r="IF173" s="275"/>
      <c r="IG173" s="275"/>
      <c r="IH173" s="275"/>
      <c r="II173" s="275"/>
      <c r="IJ173" s="275"/>
      <c r="IK173" s="275"/>
      <c r="IL173" s="275"/>
      <c r="IM173" s="275"/>
      <c r="IN173" s="275"/>
      <c r="IO173" s="275"/>
      <c r="IP173" s="275"/>
      <c r="IQ173" s="275"/>
      <c r="IR173" s="275"/>
    </row>
    <row r="174" spans="1:252" s="408" customFormat="1" ht="16.2" thickBot="1" x14ac:dyDescent="0.35">
      <c r="A174" s="348"/>
      <c r="B174" s="343"/>
      <c r="C174" s="343"/>
      <c r="D174" s="343"/>
      <c r="E174" s="343"/>
      <c r="F174" s="343"/>
      <c r="G174" s="343"/>
      <c r="H174" s="343"/>
      <c r="I174" s="343"/>
      <c r="J174" s="343"/>
      <c r="K174" s="343"/>
      <c r="L174" s="343"/>
      <c r="M174" s="343"/>
      <c r="N174" s="343"/>
      <c r="O174" s="343"/>
      <c r="P174" s="343"/>
      <c r="Q174" s="343"/>
      <c r="R174" s="396"/>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9" customFormat="1" x14ac:dyDescent="0.3">
      <c r="A175" s="252"/>
      <c r="B175" s="254"/>
      <c r="C175" s="254"/>
      <c r="D175" s="254"/>
      <c r="E175" s="254"/>
      <c r="F175" s="254"/>
      <c r="G175" s="254"/>
      <c r="H175" s="254"/>
      <c r="I175" s="254"/>
      <c r="J175" s="254"/>
      <c r="K175" s="254"/>
      <c r="L175" s="254"/>
      <c r="M175" s="254"/>
      <c r="N175" s="254"/>
      <c r="O175" s="254"/>
      <c r="P175" s="254"/>
      <c r="Q175" s="254"/>
      <c r="R175" s="404"/>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5" t="s">
        <v>44</v>
      </c>
      <c r="C176" s="260"/>
      <c r="D176" s="260"/>
      <c r="E176" s="260"/>
      <c r="F176" s="260"/>
      <c r="G176" s="260"/>
      <c r="H176" s="260"/>
      <c r="I176" s="260"/>
      <c r="J176" s="260"/>
      <c r="K176" s="260"/>
      <c r="L176" s="260"/>
      <c r="M176" s="260"/>
      <c r="N176" s="260"/>
      <c r="O176" s="260"/>
      <c r="P176" s="260"/>
      <c r="Q176" s="260"/>
      <c r="R176" s="356"/>
      <c r="S176" s="261"/>
      <c r="T176" s="256"/>
    </row>
    <row r="177" spans="1:20" x14ac:dyDescent="0.3">
      <c r="A177" s="258"/>
      <c r="B177" s="394"/>
      <c r="C177" s="260"/>
      <c r="D177" s="260"/>
      <c r="E177" s="260"/>
      <c r="F177" s="260"/>
      <c r="G177" s="260"/>
      <c r="H177" s="260"/>
      <c r="I177" s="260"/>
      <c r="J177" s="260"/>
      <c r="K177" s="260"/>
      <c r="L177" s="260"/>
      <c r="M177" s="260"/>
      <c r="N177" s="260"/>
      <c r="O177" s="260"/>
      <c r="P177" s="260"/>
      <c r="Q177" s="260"/>
      <c r="R177" s="356"/>
      <c r="S177" s="261"/>
      <c r="T177" s="256"/>
    </row>
    <row r="178" spans="1:20" s="275" customFormat="1" x14ac:dyDescent="0.3">
      <c r="A178" s="301"/>
      <c r="B178" s="294" t="s">
        <v>172</v>
      </c>
      <c r="C178" s="294"/>
      <c r="D178" s="294"/>
      <c r="E178" s="294"/>
      <c r="F178" s="294"/>
      <c r="G178" s="294"/>
      <c r="H178" s="294"/>
      <c r="I178" s="294"/>
      <c r="J178" s="294"/>
      <c r="K178" s="294"/>
      <c r="L178" s="294"/>
      <c r="M178" s="294"/>
      <c r="N178" s="294"/>
      <c r="O178" s="294"/>
      <c r="P178" s="294"/>
      <c r="Q178" s="294"/>
      <c r="R178" s="363">
        <f>+R67</f>
        <v>119760</v>
      </c>
      <c r="S178" s="297"/>
      <c r="T178" s="274"/>
    </row>
    <row r="179" spans="1:20" s="275" customFormat="1" x14ac:dyDescent="0.3">
      <c r="A179" s="301"/>
      <c r="B179" s="294" t="s">
        <v>173</v>
      </c>
      <c r="C179" s="294"/>
      <c r="D179" s="294"/>
      <c r="E179" s="294"/>
      <c r="F179" s="294"/>
      <c r="G179" s="294"/>
      <c r="H179" s="294"/>
      <c r="I179" s="294"/>
      <c r="J179" s="294"/>
      <c r="K179" s="294"/>
      <c r="L179" s="294"/>
      <c r="M179" s="294"/>
      <c r="N179" s="294"/>
      <c r="O179" s="294"/>
      <c r="P179" s="294"/>
      <c r="Q179" s="294"/>
      <c r="R179" s="363">
        <f>+R77</f>
        <v>0</v>
      </c>
      <c r="S179" s="297"/>
      <c r="T179" s="274"/>
    </row>
    <row r="180" spans="1:20" s="275" customFormat="1" x14ac:dyDescent="0.3">
      <c r="A180" s="301"/>
      <c r="B180" s="294" t="s">
        <v>217</v>
      </c>
      <c r="C180" s="294"/>
      <c r="D180" s="294"/>
      <c r="E180" s="294"/>
      <c r="F180" s="294"/>
      <c r="G180" s="294"/>
      <c r="H180" s="294"/>
      <c r="I180" s="294"/>
      <c r="J180" s="294"/>
      <c r="K180" s="294"/>
      <c r="L180" s="294"/>
      <c r="M180" s="294"/>
      <c r="N180" s="294"/>
      <c r="O180" s="294"/>
      <c r="P180" s="294"/>
      <c r="Q180" s="294"/>
      <c r="R180" s="363">
        <f>+R78</f>
        <v>0</v>
      </c>
      <c r="S180" s="297"/>
      <c r="T180" s="274"/>
    </row>
    <row r="181" spans="1:20" s="275" customFormat="1" x14ac:dyDescent="0.3">
      <c r="A181" s="301"/>
      <c r="B181" s="294" t="s">
        <v>126</v>
      </c>
      <c r="C181" s="294"/>
      <c r="D181" s="294"/>
      <c r="E181" s="294"/>
      <c r="F181" s="294"/>
      <c r="G181" s="294"/>
      <c r="H181" s="294"/>
      <c r="I181" s="294"/>
      <c r="J181" s="294"/>
      <c r="K181" s="294"/>
      <c r="L181" s="294"/>
      <c r="M181" s="294"/>
      <c r="N181" s="294"/>
      <c r="O181" s="294"/>
      <c r="P181" s="294"/>
      <c r="Q181" s="294"/>
      <c r="R181" s="363">
        <f>+R178+R179+R180</f>
        <v>119760</v>
      </c>
      <c r="S181" s="297"/>
      <c r="T181" s="274"/>
    </row>
    <row r="182" spans="1:20" s="275" customFormat="1" x14ac:dyDescent="0.3">
      <c r="A182" s="301"/>
      <c r="B182" s="294" t="s">
        <v>45</v>
      </c>
      <c r="C182" s="294"/>
      <c r="D182" s="294"/>
      <c r="E182" s="294"/>
      <c r="F182" s="294"/>
      <c r="G182" s="294"/>
      <c r="H182" s="294"/>
      <c r="I182" s="294"/>
      <c r="J182" s="294"/>
      <c r="K182" s="294"/>
      <c r="L182" s="294"/>
      <c r="M182" s="294"/>
      <c r="N182" s="294"/>
      <c r="O182" s="294"/>
      <c r="P182" s="294"/>
      <c r="Q182" s="294"/>
      <c r="R182" s="363">
        <f>R80</f>
        <v>119760</v>
      </c>
      <c r="S182" s="297"/>
      <c r="T182" s="274"/>
    </row>
    <row r="183" spans="1:20" ht="16.2" thickBot="1" x14ac:dyDescent="0.35">
      <c r="A183" s="258"/>
      <c r="B183" s="343"/>
      <c r="C183" s="343"/>
      <c r="D183" s="343"/>
      <c r="E183" s="343"/>
      <c r="F183" s="343"/>
      <c r="G183" s="343"/>
      <c r="H183" s="343"/>
      <c r="I183" s="343"/>
      <c r="J183" s="343"/>
      <c r="K183" s="343"/>
      <c r="L183" s="343"/>
      <c r="M183" s="343"/>
      <c r="N183" s="343"/>
      <c r="O183" s="343"/>
      <c r="P183" s="343"/>
      <c r="Q183" s="343"/>
      <c r="R183" s="396"/>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4"/>
      <c r="S184" s="255"/>
      <c r="T184" s="256"/>
    </row>
    <row r="185" spans="1:20" s="325" customFormat="1" x14ac:dyDescent="0.3">
      <c r="A185" s="357"/>
      <c r="B185" s="395" t="s">
        <v>46</v>
      </c>
      <c r="C185" s="410"/>
      <c r="D185" s="411"/>
      <c r="E185" s="411"/>
      <c r="F185" s="411"/>
      <c r="G185" s="411"/>
      <c r="H185" s="411"/>
      <c r="I185" s="411"/>
      <c r="J185" s="411"/>
      <c r="K185" s="411"/>
      <c r="L185" s="411"/>
      <c r="M185" s="411"/>
      <c r="N185" s="411"/>
      <c r="O185" s="411" t="s">
        <v>82</v>
      </c>
      <c r="P185" s="411" t="s">
        <v>170</v>
      </c>
      <c r="Q185" s="263"/>
      <c r="R185" s="412" t="s">
        <v>94</v>
      </c>
      <c r="S185" s="413"/>
      <c r="T185" s="324"/>
    </row>
    <row r="186" spans="1:20" s="275" customFormat="1" x14ac:dyDescent="0.3">
      <c r="A186" s="301"/>
      <c r="B186" s="294" t="s">
        <v>47</v>
      </c>
      <c r="C186" s="294"/>
      <c r="D186" s="294"/>
      <c r="E186" s="294"/>
      <c r="F186" s="294"/>
      <c r="G186" s="294"/>
      <c r="H186" s="294"/>
      <c r="I186" s="294"/>
      <c r="J186" s="294"/>
      <c r="K186" s="294"/>
      <c r="L186" s="294"/>
      <c r="M186" s="294"/>
      <c r="N186" s="294"/>
      <c r="O186" s="363">
        <f>+R31*0.08</f>
        <v>24002.32</v>
      </c>
      <c r="P186" s="333"/>
      <c r="Q186" s="294"/>
      <c r="R186" s="363"/>
      <c r="S186" s="297"/>
      <c r="T186" s="274"/>
    </row>
    <row r="187" spans="1:20" s="275" customFormat="1" x14ac:dyDescent="0.3">
      <c r="A187" s="301"/>
      <c r="B187" s="294" t="s">
        <v>48</v>
      </c>
      <c r="C187" s="294"/>
      <c r="D187" s="294"/>
      <c r="E187" s="294"/>
      <c r="F187" s="294"/>
      <c r="G187" s="294"/>
      <c r="H187" s="294"/>
      <c r="I187" s="294"/>
      <c r="J187" s="294"/>
      <c r="K187" s="294"/>
      <c r="L187" s="294"/>
      <c r="M187" s="294"/>
      <c r="N187" s="294"/>
      <c r="O187" s="363">
        <f>+'June 17'!O189</f>
        <v>1034</v>
      </c>
      <c r="P187" s="363">
        <f>+'June 17'!P189</f>
        <v>557</v>
      </c>
      <c r="Q187" s="294"/>
      <c r="R187" s="363">
        <f>O187+P187</f>
        <v>1591</v>
      </c>
      <c r="S187" s="297"/>
      <c r="T187" s="274"/>
    </row>
    <row r="188" spans="1:20" s="275" customFormat="1" x14ac:dyDescent="0.3">
      <c r="A188" s="301"/>
      <c r="B188" s="294" t="s">
        <v>49</v>
      </c>
      <c r="C188" s="294"/>
      <c r="D188" s="294"/>
      <c r="E188" s="294"/>
      <c r="F188" s="294"/>
      <c r="G188" s="294"/>
      <c r="H188" s="294"/>
      <c r="I188" s="294"/>
      <c r="J188" s="294"/>
      <c r="K188" s="294"/>
      <c r="L188" s="294"/>
      <c r="M188" s="294"/>
      <c r="N188" s="294"/>
      <c r="O188" s="362">
        <v>0</v>
      </c>
      <c r="P188" s="362">
        <v>0</v>
      </c>
      <c r="Q188" s="294"/>
      <c r="R188" s="363">
        <f>O188+P188</f>
        <v>0</v>
      </c>
      <c r="S188" s="297"/>
      <c r="T188" s="274"/>
    </row>
    <row r="189" spans="1:20" s="275" customFormat="1" x14ac:dyDescent="0.3">
      <c r="A189" s="301"/>
      <c r="B189" s="294" t="s">
        <v>50</v>
      </c>
      <c r="C189" s="294"/>
      <c r="D189" s="294"/>
      <c r="E189" s="294"/>
      <c r="F189" s="294"/>
      <c r="G189" s="294"/>
      <c r="H189" s="294"/>
      <c r="I189" s="294"/>
      <c r="J189" s="294"/>
      <c r="K189" s="294"/>
      <c r="L189" s="294"/>
      <c r="M189" s="294"/>
      <c r="N189" s="294"/>
      <c r="O189" s="363">
        <f>O187+O188</f>
        <v>1034</v>
      </c>
      <c r="P189" s="363">
        <f>P188+P187</f>
        <v>557</v>
      </c>
      <c r="Q189" s="294"/>
      <c r="R189" s="363">
        <f>O189+P189</f>
        <v>1591</v>
      </c>
      <c r="S189" s="297"/>
      <c r="T189" s="274"/>
    </row>
    <row r="190" spans="1:20" s="275" customFormat="1" x14ac:dyDescent="0.3">
      <c r="A190" s="301"/>
      <c r="B190" s="294" t="s">
        <v>51</v>
      </c>
      <c r="C190" s="294"/>
      <c r="D190" s="294"/>
      <c r="E190" s="294"/>
      <c r="F190" s="294"/>
      <c r="G190" s="294"/>
      <c r="H190" s="294"/>
      <c r="I190" s="294"/>
      <c r="J190" s="294"/>
      <c r="K190" s="294"/>
      <c r="L190" s="294"/>
      <c r="M190" s="294"/>
      <c r="N190" s="294"/>
      <c r="O190" s="363">
        <f>O186-O189-P189</f>
        <v>22411.32</v>
      </c>
      <c r="P190" s="333"/>
      <c r="Q190" s="294"/>
      <c r="R190" s="363"/>
      <c r="S190" s="297"/>
      <c r="T190" s="274"/>
    </row>
    <row r="191" spans="1:20" ht="16.2" thickBot="1" x14ac:dyDescent="0.35">
      <c r="A191" s="258"/>
      <c r="B191" s="343"/>
      <c r="C191" s="343"/>
      <c r="D191" s="343"/>
      <c r="E191" s="343"/>
      <c r="F191" s="343"/>
      <c r="G191" s="343"/>
      <c r="H191" s="343"/>
      <c r="I191" s="343"/>
      <c r="J191" s="343"/>
      <c r="K191" s="343"/>
      <c r="L191" s="343"/>
      <c r="M191" s="343"/>
      <c r="N191" s="343"/>
      <c r="O191" s="343"/>
      <c r="P191" s="343"/>
      <c r="Q191" s="343"/>
      <c r="R191" s="396"/>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4"/>
      <c r="S192" s="255"/>
      <c r="T192" s="256"/>
    </row>
    <row r="193" spans="1:20" x14ac:dyDescent="0.3">
      <c r="A193" s="258"/>
      <c r="B193" s="395" t="s">
        <v>52</v>
      </c>
      <c r="C193" s="260"/>
      <c r="D193" s="260"/>
      <c r="E193" s="260"/>
      <c r="F193" s="260"/>
      <c r="G193" s="260"/>
      <c r="H193" s="260"/>
      <c r="I193" s="260"/>
      <c r="J193" s="260"/>
      <c r="K193" s="260"/>
      <c r="L193" s="260"/>
      <c r="M193" s="260"/>
      <c r="N193" s="260"/>
      <c r="O193" s="260"/>
      <c r="P193" s="260"/>
      <c r="Q193" s="260"/>
      <c r="R193" s="414"/>
      <c r="S193" s="261"/>
      <c r="T193" s="256"/>
    </row>
    <row r="194" spans="1:20" s="275" customFormat="1" x14ac:dyDescent="0.3">
      <c r="A194" s="301"/>
      <c r="B194" s="294" t="s">
        <v>53</v>
      </c>
      <c r="C194" s="294"/>
      <c r="D194" s="294"/>
      <c r="E194" s="294"/>
      <c r="F194" s="294"/>
      <c r="G194" s="294"/>
      <c r="H194" s="294"/>
      <c r="I194" s="294"/>
      <c r="J194" s="294"/>
      <c r="K194" s="294"/>
      <c r="L194" s="294"/>
      <c r="M194" s="294"/>
      <c r="N194" s="294"/>
      <c r="O194" s="294"/>
      <c r="P194" s="294"/>
      <c r="Q194" s="294"/>
      <c r="R194" s="415">
        <f>(R100+R102+R103+R104+R105)/-(R106+R107)</f>
        <v>3.3690036900369003</v>
      </c>
      <c r="S194" s="297" t="s">
        <v>95</v>
      </c>
      <c r="T194" s="274"/>
    </row>
    <row r="195" spans="1:20" s="275" customFormat="1" x14ac:dyDescent="0.3">
      <c r="A195" s="301"/>
      <c r="B195" s="294" t="s">
        <v>54</v>
      </c>
      <c r="C195" s="294"/>
      <c r="D195" s="294"/>
      <c r="E195" s="294"/>
      <c r="F195" s="294"/>
      <c r="G195" s="294"/>
      <c r="H195" s="294"/>
      <c r="I195" s="294"/>
      <c r="J195" s="294"/>
      <c r="K195" s="294"/>
      <c r="L195" s="294"/>
      <c r="M195" s="294"/>
      <c r="N195" s="294"/>
      <c r="O195" s="294"/>
      <c r="P195" s="294"/>
      <c r="Q195" s="294"/>
      <c r="R195" s="416">
        <v>2.91</v>
      </c>
      <c r="S195" s="297" t="s">
        <v>95</v>
      </c>
      <c r="T195" s="274"/>
    </row>
    <row r="196" spans="1:20" s="275" customFormat="1" x14ac:dyDescent="0.3">
      <c r="A196" s="301"/>
      <c r="B196" s="294" t="s">
        <v>183</v>
      </c>
      <c r="C196" s="294"/>
      <c r="D196" s="294"/>
      <c r="E196" s="294"/>
      <c r="F196" s="294"/>
      <c r="G196" s="294"/>
      <c r="H196" s="294"/>
      <c r="I196" s="294"/>
      <c r="J196" s="294"/>
      <c r="K196" s="294"/>
      <c r="L196" s="294"/>
      <c r="M196" s="294"/>
      <c r="N196" s="294"/>
      <c r="O196" s="294"/>
      <c r="P196" s="294"/>
      <c r="Q196" s="294"/>
      <c r="R196" s="415">
        <f>(R100+R102+R103+R104+R105+R106+R107)/-(R108)</f>
        <v>17.833333333333332</v>
      </c>
      <c r="S196" s="297" t="s">
        <v>95</v>
      </c>
      <c r="T196" s="274"/>
    </row>
    <row r="197" spans="1:20" s="275" customFormat="1" x14ac:dyDescent="0.3">
      <c r="A197" s="301"/>
      <c r="B197" s="294" t="s">
        <v>184</v>
      </c>
      <c r="C197" s="294"/>
      <c r="D197" s="294"/>
      <c r="E197" s="294"/>
      <c r="F197" s="294"/>
      <c r="G197" s="294"/>
      <c r="H197" s="294"/>
      <c r="I197" s="294"/>
      <c r="J197" s="294"/>
      <c r="K197" s="294"/>
      <c r="L197" s="294"/>
      <c r="M197" s="294"/>
      <c r="N197" s="294"/>
      <c r="O197" s="294"/>
      <c r="P197" s="294"/>
      <c r="Q197" s="294"/>
      <c r="R197" s="416">
        <v>23.62</v>
      </c>
      <c r="S197" s="297" t="s">
        <v>95</v>
      </c>
      <c r="T197" s="274"/>
    </row>
    <row r="198" spans="1:20" s="275" customFormat="1" x14ac:dyDescent="0.3">
      <c r="A198" s="301"/>
      <c r="B198" s="294" t="s">
        <v>185</v>
      </c>
      <c r="C198" s="294"/>
      <c r="D198" s="294"/>
      <c r="E198" s="294"/>
      <c r="F198" s="294"/>
      <c r="G198" s="294"/>
      <c r="H198" s="294"/>
      <c r="I198" s="294"/>
      <c r="J198" s="294"/>
      <c r="K198" s="294"/>
      <c r="L198" s="294"/>
      <c r="M198" s="294"/>
      <c r="N198" s="294"/>
      <c r="O198" s="294"/>
      <c r="P198" s="294"/>
      <c r="Q198" s="294"/>
      <c r="R198" s="415">
        <f>(R100+R102+R103+R104+R105+R106+R107+R108)/-(R109)</f>
        <v>12.36734693877551</v>
      </c>
      <c r="S198" s="297" t="s">
        <v>95</v>
      </c>
      <c r="T198" s="274"/>
    </row>
    <row r="199" spans="1:20" s="275" customFormat="1" x14ac:dyDescent="0.3">
      <c r="A199" s="301"/>
      <c r="B199" s="294" t="s">
        <v>186</v>
      </c>
      <c r="C199" s="294"/>
      <c r="D199" s="294"/>
      <c r="E199" s="294"/>
      <c r="F199" s="294"/>
      <c r="G199" s="294"/>
      <c r="H199" s="294"/>
      <c r="I199" s="294"/>
      <c r="J199" s="294"/>
      <c r="K199" s="294"/>
      <c r="L199" s="294"/>
      <c r="M199" s="294"/>
      <c r="N199" s="294"/>
      <c r="O199" s="294"/>
      <c r="P199" s="294"/>
      <c r="Q199" s="294"/>
      <c r="R199" s="416">
        <v>16.850000000000001</v>
      </c>
      <c r="S199" s="297" t="s">
        <v>95</v>
      </c>
      <c r="T199" s="274"/>
    </row>
    <row r="200" spans="1:20" s="275" customFormat="1" x14ac:dyDescent="0.3">
      <c r="A200" s="301"/>
      <c r="B200" s="294" t="s">
        <v>241</v>
      </c>
      <c r="C200" s="294"/>
      <c r="D200" s="294"/>
      <c r="E200" s="294"/>
      <c r="F200" s="294"/>
      <c r="G200" s="294"/>
      <c r="H200" s="294"/>
      <c r="I200" s="294"/>
      <c r="J200" s="294"/>
      <c r="K200" s="294"/>
      <c r="L200" s="294"/>
      <c r="M200" s="294"/>
      <c r="N200" s="294"/>
      <c r="O200" s="294"/>
      <c r="P200" s="294"/>
      <c r="Q200" s="294"/>
      <c r="R200" s="415">
        <f>(R100+R102+R103+R104+R105+R106+R107+R108+R109+R110+R111+R112+R113+R114)/-(R115)</f>
        <v>20.641509433962263</v>
      </c>
      <c r="S200" s="297" t="s">
        <v>95</v>
      </c>
      <c r="T200" s="274"/>
    </row>
    <row r="201" spans="1:20" s="275" customFormat="1" x14ac:dyDescent="0.3">
      <c r="A201" s="301"/>
      <c r="B201" s="294" t="s">
        <v>242</v>
      </c>
      <c r="C201" s="294"/>
      <c r="D201" s="294"/>
      <c r="E201" s="294"/>
      <c r="F201" s="294"/>
      <c r="G201" s="294"/>
      <c r="H201" s="294"/>
      <c r="I201" s="294"/>
      <c r="J201" s="294"/>
      <c r="K201" s="294"/>
      <c r="L201" s="294"/>
      <c r="M201" s="294"/>
      <c r="N201" s="294"/>
      <c r="O201" s="294"/>
      <c r="P201" s="294"/>
      <c r="Q201" s="294"/>
      <c r="R201" s="416">
        <v>29.23</v>
      </c>
      <c r="S201" s="297" t="s">
        <v>95</v>
      </c>
      <c r="T201" s="274"/>
    </row>
    <row r="202" spans="1:20" x14ac:dyDescent="0.3">
      <c r="A202" s="377"/>
      <c r="B202" s="380"/>
      <c r="C202" s="380"/>
      <c r="D202" s="380"/>
      <c r="E202" s="380"/>
      <c r="F202" s="380"/>
      <c r="G202" s="380"/>
      <c r="H202" s="380"/>
      <c r="I202" s="380"/>
      <c r="J202" s="380"/>
      <c r="K202" s="380"/>
      <c r="L202" s="380"/>
      <c r="M202" s="380"/>
      <c r="N202" s="380"/>
      <c r="O202" s="380"/>
      <c r="P202" s="380"/>
      <c r="Q202" s="380"/>
      <c r="R202" s="380"/>
      <c r="S202" s="417"/>
      <c r="T202" s="256"/>
    </row>
    <row r="203" spans="1:20" x14ac:dyDescent="0.3">
      <c r="A203" s="258"/>
      <c r="B203" s="397"/>
      <c r="C203" s="397"/>
      <c r="D203" s="397"/>
      <c r="E203" s="397"/>
      <c r="F203" s="397"/>
      <c r="G203" s="397"/>
      <c r="H203" s="397"/>
      <c r="I203" s="397"/>
      <c r="J203" s="397"/>
      <c r="K203" s="397"/>
      <c r="L203" s="397"/>
      <c r="M203" s="397"/>
      <c r="N203" s="397"/>
      <c r="O203" s="397"/>
      <c r="P203" s="397"/>
      <c r="Q203" s="397"/>
      <c r="R203" s="397"/>
      <c r="S203" s="418"/>
      <c r="T203" s="256"/>
    </row>
    <row r="204" spans="1:20" x14ac:dyDescent="0.3">
      <c r="A204" s="258"/>
      <c r="B204" s="419"/>
      <c r="C204" s="419"/>
      <c r="D204" s="419"/>
      <c r="E204" s="419"/>
      <c r="F204" s="419"/>
      <c r="G204" s="419"/>
      <c r="H204" s="419"/>
      <c r="I204" s="419"/>
      <c r="J204" s="419"/>
      <c r="K204" s="419"/>
      <c r="L204" s="419"/>
      <c r="M204" s="419"/>
      <c r="N204" s="419"/>
      <c r="O204" s="419"/>
      <c r="P204" s="419"/>
      <c r="Q204" s="419"/>
      <c r="R204" s="419"/>
      <c r="S204" s="418"/>
      <c r="T204" s="256"/>
    </row>
    <row r="205" spans="1:20" ht="18.600000000000001" thickBot="1" x14ac:dyDescent="0.4">
      <c r="A205" s="348"/>
      <c r="B205" s="349" t="str">
        <f>B132</f>
        <v>PM23 INVESTOR REPORT QUARTER ENDING SEPTEMBER 2017</v>
      </c>
      <c r="C205" s="420"/>
      <c r="D205" s="420"/>
      <c r="E205" s="420"/>
      <c r="F205" s="420"/>
      <c r="G205" s="420"/>
      <c r="H205" s="420"/>
      <c r="I205" s="420"/>
      <c r="J205" s="420"/>
      <c r="K205" s="420"/>
      <c r="L205" s="420"/>
      <c r="M205" s="420"/>
      <c r="N205" s="420"/>
      <c r="O205" s="420"/>
      <c r="P205" s="420"/>
      <c r="Q205" s="420"/>
      <c r="R205" s="420"/>
      <c r="S205" s="421"/>
      <c r="T205" s="256"/>
    </row>
    <row r="206" spans="1:20" x14ac:dyDescent="0.3">
      <c r="A206" s="389"/>
      <c r="B206" s="390" t="s">
        <v>55</v>
      </c>
      <c r="C206" s="422"/>
      <c r="D206" s="423"/>
      <c r="E206" s="423"/>
      <c r="F206" s="423"/>
      <c r="G206" s="423"/>
      <c r="H206" s="423"/>
      <c r="I206" s="423"/>
      <c r="J206" s="423"/>
      <c r="K206" s="423"/>
      <c r="L206" s="423"/>
      <c r="M206" s="423"/>
      <c r="N206" s="423"/>
      <c r="O206" s="423"/>
      <c r="P206" s="423">
        <v>43007</v>
      </c>
      <c r="Q206" s="391"/>
      <c r="R206" s="391"/>
      <c r="S206" s="393"/>
      <c r="T206" s="256"/>
    </row>
    <row r="207" spans="1:20" x14ac:dyDescent="0.3">
      <c r="A207" s="424"/>
      <c r="B207" s="425"/>
      <c r="C207" s="426"/>
      <c r="D207" s="427"/>
      <c r="E207" s="427"/>
      <c r="F207" s="427"/>
      <c r="G207" s="427"/>
      <c r="H207" s="427"/>
      <c r="I207" s="427"/>
      <c r="J207" s="427"/>
      <c r="K207" s="427"/>
      <c r="L207" s="427"/>
      <c r="M207" s="427"/>
      <c r="N207" s="427"/>
      <c r="O207" s="427"/>
      <c r="P207" s="427"/>
      <c r="Q207" s="260"/>
      <c r="R207" s="260"/>
      <c r="S207" s="261"/>
      <c r="T207" s="256"/>
    </row>
    <row r="208" spans="1:20" s="275" customFormat="1" x14ac:dyDescent="0.3">
      <c r="A208" s="301"/>
      <c r="B208" s="294" t="s">
        <v>56</v>
      </c>
      <c r="C208" s="428"/>
      <c r="D208" s="337"/>
      <c r="E208" s="337"/>
      <c r="F208" s="337"/>
      <c r="G208" s="337"/>
      <c r="H208" s="337"/>
      <c r="I208" s="337"/>
      <c r="J208" s="337"/>
      <c r="K208" s="337"/>
      <c r="L208" s="337"/>
      <c r="M208" s="337"/>
      <c r="N208" s="337"/>
      <c r="O208" s="337"/>
      <c r="P208" s="329">
        <v>3.8339999999999999E-2</v>
      </c>
      <c r="Q208" s="294"/>
      <c r="R208" s="294"/>
      <c r="S208" s="297"/>
      <c r="T208" s="274"/>
    </row>
    <row r="209" spans="1:20" s="275" customFormat="1" x14ac:dyDescent="0.3">
      <c r="A209" s="301"/>
      <c r="B209" s="294" t="s">
        <v>158</v>
      </c>
      <c r="C209" s="428"/>
      <c r="D209" s="337"/>
      <c r="E209" s="337"/>
      <c r="F209" s="337"/>
      <c r="G209" s="337"/>
      <c r="H209" s="337"/>
      <c r="I209" s="337"/>
      <c r="J209" s="337"/>
      <c r="K209" s="337"/>
      <c r="L209" s="337"/>
      <c r="M209" s="337"/>
      <c r="N209" s="337"/>
      <c r="O209" s="337"/>
      <c r="P209" s="329">
        <v>1.8334780428558572E-2</v>
      </c>
      <c r="Q209" s="294"/>
      <c r="R209" s="294"/>
      <c r="S209" s="297"/>
      <c r="T209" s="274"/>
    </row>
    <row r="210" spans="1:20" s="275" customFormat="1" x14ac:dyDescent="0.3">
      <c r="A210" s="301"/>
      <c r="B210" s="294" t="s">
        <v>57</v>
      </c>
      <c r="C210" s="428"/>
      <c r="D210" s="337"/>
      <c r="E210" s="337"/>
      <c r="F210" s="337"/>
      <c r="G210" s="337"/>
      <c r="H210" s="337"/>
      <c r="I210" s="337"/>
      <c r="J210" s="337"/>
      <c r="K210" s="337"/>
      <c r="L210" s="337"/>
      <c r="M210" s="337"/>
      <c r="N210" s="337"/>
      <c r="O210" s="337"/>
      <c r="P210" s="329">
        <f>P208-P209</f>
        <v>2.0005219571441427E-2</v>
      </c>
      <c r="Q210" s="294"/>
      <c r="R210" s="294"/>
      <c r="S210" s="297"/>
      <c r="T210" s="274"/>
    </row>
    <row r="211" spans="1:20" s="275" customFormat="1" x14ac:dyDescent="0.3">
      <c r="A211" s="301"/>
      <c r="B211" s="294" t="s">
        <v>161</v>
      </c>
      <c r="C211" s="428"/>
      <c r="D211" s="337"/>
      <c r="E211" s="337"/>
      <c r="F211" s="337"/>
      <c r="G211" s="337"/>
      <c r="H211" s="337"/>
      <c r="I211" s="337"/>
      <c r="J211" s="337"/>
      <c r="K211" s="337"/>
      <c r="L211" s="337"/>
      <c r="M211" s="337"/>
      <c r="N211" s="337"/>
      <c r="O211" s="337"/>
      <c r="P211" s="329">
        <v>4.2946900000000003E-2</v>
      </c>
      <c r="Q211" s="294"/>
      <c r="R211" s="294"/>
      <c r="S211" s="297"/>
      <c r="T211" s="274"/>
    </row>
    <row r="212" spans="1:20" s="275" customFormat="1" x14ac:dyDescent="0.3">
      <c r="A212" s="301"/>
      <c r="B212" s="294" t="s">
        <v>58</v>
      </c>
      <c r="C212" s="428"/>
      <c r="D212" s="337"/>
      <c r="E212" s="337"/>
      <c r="F212" s="337"/>
      <c r="G212" s="337"/>
      <c r="H212" s="337"/>
      <c r="I212" s="337"/>
      <c r="J212" s="337"/>
      <c r="K212" s="337"/>
      <c r="L212" s="337"/>
      <c r="M212" s="337"/>
      <c r="N212" s="337"/>
      <c r="O212" s="337"/>
      <c r="P212" s="329">
        <v>4.7129999999999998E-2</v>
      </c>
      <c r="Q212" s="294"/>
      <c r="R212" s="294"/>
      <c r="S212" s="297"/>
      <c r="T212" s="274"/>
    </row>
    <row r="213" spans="1:20" s="275" customFormat="1" x14ac:dyDescent="0.3">
      <c r="A213" s="301"/>
      <c r="B213" s="294" t="s">
        <v>159</v>
      </c>
      <c r="C213" s="428"/>
      <c r="D213" s="337"/>
      <c r="E213" s="337"/>
      <c r="F213" s="337"/>
      <c r="G213" s="337"/>
      <c r="H213" s="337"/>
      <c r="I213" s="337"/>
      <c r="J213" s="337"/>
      <c r="K213" s="337"/>
      <c r="L213" s="337"/>
      <c r="M213" s="337"/>
      <c r="N213" s="337"/>
      <c r="O213" s="337"/>
      <c r="P213" s="329">
        <f>R40</f>
        <v>1.6233786893423932E-2</v>
      </c>
      <c r="Q213" s="294"/>
      <c r="R213" s="294"/>
      <c r="S213" s="297"/>
      <c r="T213" s="274"/>
    </row>
    <row r="214" spans="1:20" s="275" customFormat="1" x14ac:dyDescent="0.3">
      <c r="A214" s="301"/>
      <c r="B214" s="294" t="s">
        <v>59</v>
      </c>
      <c r="C214" s="428"/>
      <c r="D214" s="337"/>
      <c r="E214" s="337"/>
      <c r="F214" s="337"/>
      <c r="G214" s="337"/>
      <c r="H214" s="337"/>
      <c r="I214" s="337"/>
      <c r="J214" s="337"/>
      <c r="K214" s="337"/>
      <c r="L214" s="337"/>
      <c r="M214" s="337"/>
      <c r="N214" s="337"/>
      <c r="O214" s="337"/>
      <c r="P214" s="329">
        <f>P212-P213</f>
        <v>3.0896213106576066E-2</v>
      </c>
      <c r="Q214" s="294"/>
      <c r="R214" s="294"/>
      <c r="S214" s="297"/>
      <c r="T214" s="274"/>
    </row>
    <row r="215" spans="1:20" s="275" customFormat="1" x14ac:dyDescent="0.3">
      <c r="A215" s="301"/>
      <c r="B215" s="294" t="s">
        <v>139</v>
      </c>
      <c r="C215" s="428"/>
      <c r="D215" s="337"/>
      <c r="E215" s="337"/>
      <c r="F215" s="337"/>
      <c r="G215" s="337"/>
      <c r="H215" s="337"/>
      <c r="I215" s="337"/>
      <c r="J215" s="337"/>
      <c r="K215" s="337"/>
      <c r="L215" s="337"/>
      <c r="M215" s="337"/>
      <c r="N215" s="337"/>
      <c r="O215" s="337"/>
      <c r="P215" s="329">
        <f>(+R100+R102)/H80</f>
        <v>1.0692442807864052E-2</v>
      </c>
      <c r="Q215" s="294"/>
      <c r="R215" s="294"/>
      <c r="S215" s="297"/>
      <c r="T215" s="274"/>
    </row>
    <row r="216" spans="1:20" s="275" customFormat="1" x14ac:dyDescent="0.3">
      <c r="A216" s="301"/>
      <c r="B216" s="294" t="s">
        <v>132</v>
      </c>
      <c r="C216" s="428"/>
      <c r="D216" s="337"/>
      <c r="E216" s="337"/>
      <c r="F216" s="337"/>
      <c r="G216" s="337"/>
      <c r="H216" s="337"/>
      <c r="I216" s="337"/>
      <c r="J216" s="337"/>
      <c r="K216" s="337"/>
      <c r="L216" s="337"/>
      <c r="M216" s="337"/>
      <c r="N216" s="337"/>
      <c r="O216" s="337"/>
      <c r="P216" s="429">
        <v>52246</v>
      </c>
      <c r="Q216" s="294"/>
      <c r="R216" s="294"/>
      <c r="S216" s="297"/>
      <c r="T216" s="274"/>
    </row>
    <row r="217" spans="1:20" s="275" customFormat="1" x14ac:dyDescent="0.3">
      <c r="A217" s="301"/>
      <c r="B217" s="294" t="s">
        <v>187</v>
      </c>
      <c r="C217" s="428"/>
      <c r="D217" s="337"/>
      <c r="E217" s="337"/>
      <c r="F217" s="337"/>
      <c r="G217" s="337"/>
      <c r="H217" s="337"/>
      <c r="I217" s="337"/>
      <c r="J217" s="337"/>
      <c r="K217" s="337"/>
      <c r="L217" s="337"/>
      <c r="M217" s="337"/>
      <c r="N217" s="337"/>
      <c r="O217" s="337"/>
      <c r="P217" s="429">
        <v>52246</v>
      </c>
      <c r="Q217" s="294"/>
      <c r="R217" s="294"/>
      <c r="S217" s="297"/>
      <c r="T217" s="274"/>
    </row>
    <row r="218" spans="1:20" s="275" customFormat="1" x14ac:dyDescent="0.3">
      <c r="A218" s="301"/>
      <c r="B218" s="294" t="s">
        <v>188</v>
      </c>
      <c r="C218" s="428"/>
      <c r="D218" s="337"/>
      <c r="E218" s="337"/>
      <c r="F218" s="337"/>
      <c r="G218" s="337"/>
      <c r="H218" s="337"/>
      <c r="I218" s="337"/>
      <c r="J218" s="337"/>
      <c r="K218" s="337"/>
      <c r="L218" s="337"/>
      <c r="M218" s="337"/>
      <c r="N218" s="337"/>
      <c r="O218" s="337"/>
      <c r="P218" s="429">
        <v>52246</v>
      </c>
      <c r="Q218" s="294"/>
      <c r="R218" s="294"/>
      <c r="S218" s="297"/>
      <c r="T218" s="274"/>
    </row>
    <row r="219" spans="1:20" s="275" customFormat="1" x14ac:dyDescent="0.3">
      <c r="A219" s="301"/>
      <c r="B219" s="294" t="s">
        <v>243</v>
      </c>
      <c r="C219" s="428"/>
      <c r="D219" s="337"/>
      <c r="E219" s="337"/>
      <c r="F219" s="337"/>
      <c r="G219" s="337"/>
      <c r="H219" s="337"/>
      <c r="I219" s="337"/>
      <c r="J219" s="337"/>
      <c r="K219" s="337"/>
      <c r="L219" s="337"/>
      <c r="M219" s="337"/>
      <c r="N219" s="337"/>
      <c r="O219" s="337"/>
      <c r="P219" s="429">
        <v>52246</v>
      </c>
      <c r="Q219" s="294"/>
      <c r="R219" s="294"/>
      <c r="S219" s="297"/>
      <c r="T219" s="274"/>
    </row>
    <row r="220" spans="1:20" s="275" customFormat="1" x14ac:dyDescent="0.3">
      <c r="A220" s="301"/>
      <c r="B220" s="294" t="s">
        <v>60</v>
      </c>
      <c r="C220" s="428"/>
      <c r="D220" s="337"/>
      <c r="E220" s="337"/>
      <c r="F220" s="337"/>
      <c r="G220" s="337"/>
      <c r="H220" s="337"/>
      <c r="I220" s="337"/>
      <c r="J220" s="337"/>
      <c r="K220" s="337"/>
      <c r="L220" s="337"/>
      <c r="M220" s="337"/>
      <c r="N220" s="337"/>
      <c r="O220" s="337"/>
      <c r="P220" s="335">
        <v>20.75</v>
      </c>
      <c r="Q220" s="294" t="s">
        <v>90</v>
      </c>
      <c r="R220" s="294"/>
      <c r="S220" s="297"/>
      <c r="T220" s="274"/>
    </row>
    <row r="221" spans="1:20" s="275" customFormat="1" x14ac:dyDescent="0.3">
      <c r="A221" s="301"/>
      <c r="B221" s="294" t="s">
        <v>61</v>
      </c>
      <c r="C221" s="428"/>
      <c r="D221" s="337"/>
      <c r="E221" s="337"/>
      <c r="F221" s="337"/>
      <c r="G221" s="337"/>
      <c r="H221" s="337"/>
      <c r="I221" s="337"/>
      <c r="J221" s="337"/>
      <c r="K221" s="337"/>
      <c r="L221" s="337"/>
      <c r="M221" s="337"/>
      <c r="N221" s="337"/>
      <c r="O221" s="337"/>
      <c r="P221" s="335">
        <v>18.47</v>
      </c>
      <c r="Q221" s="294" t="s">
        <v>90</v>
      </c>
      <c r="R221" s="294"/>
      <c r="S221" s="297"/>
      <c r="T221" s="274"/>
    </row>
    <row r="222" spans="1:20" s="275" customFormat="1" x14ac:dyDescent="0.3">
      <c r="A222" s="301"/>
      <c r="B222" s="294" t="s">
        <v>62</v>
      </c>
      <c r="C222" s="428"/>
      <c r="D222" s="337"/>
      <c r="E222" s="337"/>
      <c r="F222" s="337"/>
      <c r="G222" s="337"/>
      <c r="H222" s="337"/>
      <c r="I222" s="337"/>
      <c r="J222" s="337"/>
      <c r="K222" s="337"/>
      <c r="L222" s="337"/>
      <c r="M222" s="337"/>
      <c r="N222" s="337"/>
      <c r="O222" s="337"/>
      <c r="P222" s="329">
        <f>(+J64+L64+P64)/(H64+H77)</f>
        <v>0.36638943559139103</v>
      </c>
      <c r="Q222" s="294"/>
      <c r="R222" s="294"/>
      <c r="S222" s="297"/>
      <c r="T222" s="274"/>
    </row>
    <row r="223" spans="1:20" s="275" customFormat="1" x14ac:dyDescent="0.3">
      <c r="A223" s="301"/>
      <c r="B223" s="294" t="s">
        <v>63</v>
      </c>
      <c r="C223" s="428"/>
      <c r="D223" s="337"/>
      <c r="E223" s="337"/>
      <c r="F223" s="337"/>
      <c r="G223" s="337"/>
      <c r="H223" s="337"/>
      <c r="I223" s="337"/>
      <c r="J223" s="337"/>
      <c r="K223" s="337"/>
      <c r="L223" s="337"/>
      <c r="M223" s="337"/>
      <c r="N223" s="337"/>
      <c r="O223" s="337"/>
      <c r="P223" s="329">
        <v>0.33779999999999999</v>
      </c>
      <c r="Q223" s="294"/>
      <c r="R223" s="294"/>
      <c r="S223" s="297"/>
      <c r="T223" s="274"/>
    </row>
    <row r="224" spans="1:20" x14ac:dyDescent="0.3">
      <c r="A224" s="424"/>
      <c r="B224" s="430"/>
      <c r="C224" s="430"/>
      <c r="D224" s="343"/>
      <c r="E224" s="343"/>
      <c r="F224" s="343"/>
      <c r="G224" s="343"/>
      <c r="H224" s="343"/>
      <c r="I224" s="343"/>
      <c r="J224" s="343"/>
      <c r="K224" s="343"/>
      <c r="L224" s="343"/>
      <c r="M224" s="343"/>
      <c r="N224" s="343"/>
      <c r="O224" s="343"/>
      <c r="P224" s="396"/>
      <c r="Q224" s="343"/>
      <c r="R224" s="431"/>
      <c r="S224" s="261"/>
      <c r="T224" s="256"/>
    </row>
    <row r="225" spans="1:20" x14ac:dyDescent="0.3">
      <c r="A225" s="432"/>
      <c r="B225" s="369" t="s">
        <v>64</v>
      </c>
      <c r="C225" s="370"/>
      <c r="D225" s="370"/>
      <c r="E225" s="370"/>
      <c r="F225" s="370"/>
      <c r="G225" s="370"/>
      <c r="H225" s="370"/>
      <c r="I225" s="370"/>
      <c r="J225" s="370"/>
      <c r="K225" s="370"/>
      <c r="L225" s="370"/>
      <c r="M225" s="370"/>
      <c r="N225" s="370"/>
      <c r="O225" s="370" t="s">
        <v>83</v>
      </c>
      <c r="P225" s="433" t="s">
        <v>88</v>
      </c>
      <c r="Q225" s="287"/>
      <c r="R225" s="287"/>
      <c r="S225" s="290"/>
      <c r="T225" s="256"/>
    </row>
    <row r="226" spans="1:20" s="275" customFormat="1" x14ac:dyDescent="0.3">
      <c r="A226" s="434"/>
      <c r="B226" s="291" t="s">
        <v>65</v>
      </c>
      <c r="C226" s="373"/>
      <c r="D226" s="435"/>
      <c r="E226" s="435"/>
      <c r="F226" s="435"/>
      <c r="G226" s="435"/>
      <c r="H226" s="435"/>
      <c r="I226" s="435"/>
      <c r="J226" s="435"/>
      <c r="K226" s="435"/>
      <c r="L226" s="435"/>
      <c r="M226" s="435"/>
      <c r="N226" s="435"/>
      <c r="O226" s="435">
        <v>0</v>
      </c>
      <c r="P226" s="436">
        <v>0</v>
      </c>
      <c r="Q226" s="291"/>
      <c r="R226" s="437"/>
      <c r="S226" s="438"/>
      <c r="T226" s="274"/>
    </row>
    <row r="227" spans="1:20" s="275" customFormat="1" x14ac:dyDescent="0.3">
      <c r="A227" s="439"/>
      <c r="B227" s="294" t="s">
        <v>113</v>
      </c>
      <c r="C227" s="362"/>
      <c r="D227" s="302"/>
      <c r="E227" s="302"/>
      <c r="F227" s="302"/>
      <c r="G227" s="302"/>
      <c r="H227" s="302"/>
      <c r="I227" s="302"/>
      <c r="J227" s="302"/>
      <c r="K227" s="302"/>
      <c r="L227" s="302"/>
      <c r="M227" s="302"/>
      <c r="N227" s="302"/>
      <c r="O227" s="440">
        <f>+N279</f>
        <v>0</v>
      </c>
      <c r="P227" s="441">
        <f>+P279</f>
        <v>0</v>
      </c>
      <c r="Q227" s="294"/>
      <c r="R227" s="442"/>
      <c r="S227" s="443"/>
      <c r="T227" s="274"/>
    </row>
    <row r="228" spans="1:20" s="275" customFormat="1" x14ac:dyDescent="0.3">
      <c r="A228" s="439"/>
      <c r="B228" s="294" t="s">
        <v>66</v>
      </c>
      <c r="C228" s="362"/>
      <c r="D228" s="302"/>
      <c r="E228" s="302"/>
      <c r="F228" s="302"/>
      <c r="G228" s="302"/>
      <c r="H228" s="302"/>
      <c r="I228" s="302"/>
      <c r="J228" s="302"/>
      <c r="K228" s="302"/>
      <c r="L228" s="302"/>
      <c r="M228" s="302"/>
      <c r="N228" s="302"/>
      <c r="O228" s="440">
        <f>+N291</f>
        <v>0</v>
      </c>
      <c r="P228" s="441">
        <f>+P291</f>
        <v>0</v>
      </c>
      <c r="Q228" s="294"/>
      <c r="R228" s="442"/>
      <c r="S228" s="443"/>
      <c r="T228" s="274"/>
    </row>
    <row r="229" spans="1:20" x14ac:dyDescent="0.3">
      <c r="A229" s="444"/>
      <c r="B229" s="445" t="s">
        <v>281</v>
      </c>
      <c r="C229" s="446"/>
      <c r="D229" s="317"/>
      <c r="E229" s="317"/>
      <c r="F229" s="317"/>
      <c r="G229" s="317"/>
      <c r="H229" s="317"/>
      <c r="I229" s="317"/>
      <c r="J229" s="317"/>
      <c r="K229" s="317"/>
      <c r="L229" s="317"/>
      <c r="M229" s="317"/>
      <c r="N229" s="317"/>
      <c r="O229" s="380"/>
      <c r="P229" s="441">
        <f>+P64</f>
        <v>11791</v>
      </c>
      <c r="Q229" s="317"/>
      <c r="R229" s="447"/>
      <c r="S229" s="448"/>
      <c r="T229" s="256"/>
    </row>
    <row r="230" spans="1:20" x14ac:dyDescent="0.3">
      <c r="A230" s="444"/>
      <c r="B230" s="445" t="s">
        <v>140</v>
      </c>
      <c r="C230" s="446"/>
      <c r="D230" s="317"/>
      <c r="E230" s="317"/>
      <c r="F230" s="317"/>
      <c r="G230" s="317"/>
      <c r="H230" s="317"/>
      <c r="I230" s="317"/>
      <c r="J230" s="317"/>
      <c r="K230" s="317"/>
      <c r="L230" s="317"/>
      <c r="M230" s="317"/>
      <c r="N230" s="317"/>
      <c r="O230" s="380"/>
      <c r="P230" s="441">
        <f>-J77</f>
        <v>0</v>
      </c>
      <c r="Q230" s="317"/>
      <c r="R230" s="447"/>
      <c r="S230" s="448"/>
      <c r="T230" s="256"/>
    </row>
    <row r="231" spans="1:20" x14ac:dyDescent="0.3">
      <c r="A231" s="449"/>
      <c r="B231" s="445" t="s">
        <v>67</v>
      </c>
      <c r="C231" s="450"/>
      <c r="D231" s="317"/>
      <c r="E231" s="317"/>
      <c r="F231" s="317"/>
      <c r="G231" s="317"/>
      <c r="H231" s="317"/>
      <c r="I231" s="317"/>
      <c r="J231" s="317"/>
      <c r="K231" s="317"/>
      <c r="L231" s="317"/>
      <c r="M231" s="317"/>
      <c r="N231" s="317"/>
      <c r="O231" s="380"/>
      <c r="P231" s="441"/>
      <c r="Q231" s="317"/>
      <c r="R231" s="447"/>
      <c r="S231" s="451"/>
      <c r="T231" s="256"/>
    </row>
    <row r="232" spans="1:20" s="275" customFormat="1" x14ac:dyDescent="0.3">
      <c r="A232" s="452"/>
      <c r="B232" s="294" t="s">
        <v>68</v>
      </c>
      <c r="C232" s="294"/>
      <c r="D232" s="294"/>
      <c r="E232" s="294"/>
      <c r="F232" s="294"/>
      <c r="G232" s="294"/>
      <c r="H232" s="294"/>
      <c r="I232" s="294"/>
      <c r="J232" s="294"/>
      <c r="K232" s="294"/>
      <c r="L232" s="294"/>
      <c r="M232" s="294"/>
      <c r="N232" s="294"/>
      <c r="O232" s="302"/>
      <c r="P232" s="441">
        <f>R162</f>
        <v>0</v>
      </c>
      <c r="Q232" s="294"/>
      <c r="R232" s="442"/>
      <c r="S232" s="453"/>
      <c r="T232" s="274"/>
    </row>
    <row r="233" spans="1:20" s="275" customFormat="1" x14ac:dyDescent="0.3">
      <c r="A233" s="439"/>
      <c r="B233" s="294" t="s">
        <v>69</v>
      </c>
      <c r="C233" s="362"/>
      <c r="D233" s="294"/>
      <c r="E233" s="294"/>
      <c r="F233" s="294"/>
      <c r="G233" s="294"/>
      <c r="H233" s="294"/>
      <c r="I233" s="294"/>
      <c r="J233" s="294"/>
      <c r="K233" s="294"/>
      <c r="L233" s="294"/>
      <c r="M233" s="294"/>
      <c r="N233" s="294"/>
      <c r="O233" s="302"/>
      <c r="P233" s="441">
        <f>'June 17'!P233+P232</f>
        <v>0</v>
      </c>
      <c r="Q233" s="294"/>
      <c r="R233" s="442"/>
      <c r="S233" s="453"/>
      <c r="T233" s="274"/>
    </row>
    <row r="234" spans="1:20" x14ac:dyDescent="0.3">
      <c r="A234" s="449"/>
      <c r="B234" s="445" t="s">
        <v>151</v>
      </c>
      <c r="C234" s="450"/>
      <c r="D234" s="317"/>
      <c r="E234" s="317"/>
      <c r="F234" s="317"/>
      <c r="G234" s="317"/>
      <c r="H234" s="317"/>
      <c r="I234" s="317"/>
      <c r="J234" s="317"/>
      <c r="K234" s="317"/>
      <c r="L234" s="317"/>
      <c r="M234" s="317"/>
      <c r="N234" s="317"/>
      <c r="O234" s="454"/>
      <c r="P234" s="455"/>
      <c r="Q234" s="317"/>
      <c r="R234" s="447"/>
      <c r="S234" s="451"/>
      <c r="T234" s="256"/>
    </row>
    <row r="235" spans="1:20" s="275" customFormat="1" x14ac:dyDescent="0.3">
      <c r="A235" s="452"/>
      <c r="B235" s="294" t="s">
        <v>160</v>
      </c>
      <c r="C235" s="294"/>
      <c r="D235" s="294"/>
      <c r="E235" s="294"/>
      <c r="F235" s="294"/>
      <c r="G235" s="294"/>
      <c r="H235" s="294"/>
      <c r="I235" s="294"/>
      <c r="J235" s="294"/>
      <c r="K235" s="294"/>
      <c r="L235" s="294"/>
      <c r="M235" s="294"/>
      <c r="N235" s="294"/>
      <c r="O235" s="302">
        <v>0</v>
      </c>
      <c r="P235" s="441">
        <v>0</v>
      </c>
      <c r="Q235" s="294"/>
      <c r="R235" s="442"/>
      <c r="S235" s="453"/>
      <c r="T235" s="274"/>
    </row>
    <row r="236" spans="1:20" s="275" customFormat="1" x14ac:dyDescent="0.3">
      <c r="A236" s="439"/>
      <c r="B236" s="294" t="s">
        <v>70</v>
      </c>
      <c r="C236" s="333"/>
      <c r="D236" s="294"/>
      <c r="E236" s="294"/>
      <c r="F236" s="294"/>
      <c r="G236" s="294"/>
      <c r="H236" s="294"/>
      <c r="I236" s="294"/>
      <c r="J236" s="294"/>
      <c r="K236" s="294"/>
      <c r="L236" s="294"/>
      <c r="M236" s="294"/>
      <c r="N236" s="294"/>
      <c r="O236" s="294"/>
      <c r="P236" s="456">
        <v>0</v>
      </c>
      <c r="Q236" s="294"/>
      <c r="R236" s="442"/>
      <c r="S236" s="453"/>
      <c r="T236" s="274"/>
    </row>
    <row r="237" spans="1:20" s="275" customFormat="1" x14ac:dyDescent="0.3">
      <c r="A237" s="439"/>
      <c r="B237" s="294" t="s">
        <v>71</v>
      </c>
      <c r="C237" s="333"/>
      <c r="D237" s="294"/>
      <c r="E237" s="294"/>
      <c r="F237" s="294"/>
      <c r="G237" s="294"/>
      <c r="H237" s="294"/>
      <c r="I237" s="294"/>
      <c r="J237" s="294"/>
      <c r="K237" s="294"/>
      <c r="L237" s="294"/>
      <c r="M237" s="294"/>
      <c r="N237" s="294"/>
      <c r="O237" s="294"/>
      <c r="P237" s="456">
        <v>0</v>
      </c>
      <c r="Q237" s="294"/>
      <c r="R237" s="442"/>
      <c r="S237" s="453"/>
      <c r="T237" s="274"/>
    </row>
    <row r="238" spans="1:20" x14ac:dyDescent="0.3">
      <c r="A238" s="444"/>
      <c r="B238" s="445" t="s">
        <v>136</v>
      </c>
      <c r="C238" s="457"/>
      <c r="D238" s="317"/>
      <c r="E238" s="317"/>
      <c r="F238" s="317"/>
      <c r="G238" s="317"/>
      <c r="H238" s="317"/>
      <c r="I238" s="317"/>
      <c r="J238" s="317"/>
      <c r="K238" s="317"/>
      <c r="L238" s="317"/>
      <c r="M238" s="317"/>
      <c r="N238" s="317"/>
      <c r="O238" s="380"/>
      <c r="P238" s="458"/>
      <c r="Q238" s="317"/>
      <c r="R238" s="447"/>
      <c r="S238" s="451"/>
      <c r="T238" s="256"/>
    </row>
    <row r="239" spans="1:20" s="275" customFormat="1" x14ac:dyDescent="0.3">
      <c r="A239" s="439"/>
      <c r="B239" s="294" t="s">
        <v>160</v>
      </c>
      <c r="C239" s="333"/>
      <c r="D239" s="294"/>
      <c r="E239" s="294"/>
      <c r="F239" s="294"/>
      <c r="G239" s="294"/>
      <c r="H239" s="294"/>
      <c r="I239" s="294"/>
      <c r="J239" s="294"/>
      <c r="K239" s="294"/>
      <c r="L239" s="294"/>
      <c r="M239" s="294"/>
      <c r="N239" s="294"/>
      <c r="O239" s="302">
        <v>0</v>
      </c>
      <c r="P239" s="441">
        <v>0</v>
      </c>
      <c r="Q239" s="294"/>
      <c r="R239" s="442"/>
      <c r="S239" s="453"/>
      <c r="T239" s="274"/>
    </row>
    <row r="240" spans="1:20" s="275" customFormat="1" x14ac:dyDescent="0.3">
      <c r="A240" s="439"/>
      <c r="B240" s="294" t="s">
        <v>137</v>
      </c>
      <c r="C240" s="333"/>
      <c r="D240" s="294"/>
      <c r="E240" s="294"/>
      <c r="F240" s="294"/>
      <c r="G240" s="294"/>
      <c r="H240" s="294"/>
      <c r="I240" s="294"/>
      <c r="J240" s="294"/>
      <c r="K240" s="294"/>
      <c r="L240" s="294"/>
      <c r="M240" s="294"/>
      <c r="N240" s="294"/>
      <c r="O240" s="294"/>
      <c r="P240" s="456">
        <v>0</v>
      </c>
      <c r="Q240" s="294"/>
      <c r="R240" s="442"/>
      <c r="S240" s="453"/>
      <c r="T240" s="274"/>
    </row>
    <row r="241" spans="1:20" x14ac:dyDescent="0.3">
      <c r="A241" s="444"/>
      <c r="B241" s="450"/>
      <c r="C241" s="457"/>
      <c r="D241" s="317"/>
      <c r="E241" s="317"/>
      <c r="F241" s="317"/>
      <c r="G241" s="317"/>
      <c r="H241" s="317"/>
      <c r="I241" s="317"/>
      <c r="J241" s="317"/>
      <c r="K241" s="317"/>
      <c r="L241" s="317"/>
      <c r="M241" s="317"/>
      <c r="N241" s="317"/>
      <c r="O241" s="380"/>
      <c r="P241" s="458"/>
      <c r="Q241" s="317"/>
      <c r="R241" s="447"/>
      <c r="S241" s="451"/>
      <c r="T241" s="256"/>
    </row>
    <row r="242" spans="1:20" x14ac:dyDescent="0.3">
      <c r="A242" s="444"/>
      <c r="B242" s="450"/>
      <c r="C242" s="457"/>
      <c r="D242" s="317"/>
      <c r="E242" s="317"/>
      <c r="F242" s="317"/>
      <c r="G242" s="317"/>
      <c r="H242" s="317"/>
      <c r="I242" s="317"/>
      <c r="J242" s="317"/>
      <c r="K242" s="317"/>
      <c r="L242" s="317"/>
      <c r="M242" s="317"/>
      <c r="N242" s="317"/>
      <c r="O242" s="317"/>
      <c r="P242" s="459"/>
      <c r="Q242" s="317"/>
      <c r="R242" s="447"/>
      <c r="S242" s="451"/>
      <c r="T242" s="256"/>
    </row>
    <row r="243" spans="1:20" ht="18" x14ac:dyDescent="0.35">
      <c r="A243" s="444"/>
      <c r="B243" s="460" t="s">
        <v>129</v>
      </c>
      <c r="C243" s="457"/>
      <c r="D243" s="317"/>
      <c r="E243" s="317"/>
      <c r="F243" s="317"/>
      <c r="G243" s="317"/>
      <c r="H243" s="317"/>
      <c r="I243" s="317"/>
      <c r="J243" s="317"/>
      <c r="K243" s="317"/>
      <c r="L243" s="461"/>
      <c r="M243" s="317"/>
      <c r="N243" s="462" t="s">
        <v>289</v>
      </c>
      <c r="O243" s="461"/>
      <c r="P243" s="459"/>
      <c r="Q243" s="317"/>
      <c r="R243" s="447"/>
      <c r="S243" s="451"/>
      <c r="T243" s="256"/>
    </row>
    <row r="244" spans="1:20" ht="18" x14ac:dyDescent="0.35">
      <c r="A244" s="463"/>
      <c r="B244" s="464"/>
      <c r="C244" s="465"/>
      <c r="D244" s="343"/>
      <c r="E244" s="343"/>
      <c r="F244" s="343"/>
      <c r="G244" s="343"/>
      <c r="H244" s="343"/>
      <c r="I244" s="343"/>
      <c r="J244" s="343"/>
      <c r="K244" s="343"/>
      <c r="L244" s="466"/>
      <c r="M244" s="343"/>
      <c r="N244" s="343"/>
      <c r="O244" s="343"/>
      <c r="P244" s="467"/>
      <c r="Q244" s="343"/>
      <c r="R244" s="431"/>
      <c r="S244" s="468"/>
      <c r="T244" s="256"/>
    </row>
    <row r="245" spans="1:20" x14ac:dyDescent="0.3">
      <c r="A245" s="286"/>
      <c r="B245" s="369" t="s">
        <v>152</v>
      </c>
      <c r="C245" s="370"/>
      <c r="D245" s="370"/>
      <c r="E245" s="370"/>
      <c r="F245" s="370"/>
      <c r="G245" s="370"/>
      <c r="H245" s="370"/>
      <c r="I245" s="370"/>
      <c r="J245" s="370"/>
      <c r="K245" s="370"/>
      <c r="L245" s="370"/>
      <c r="M245" s="370"/>
      <c r="N245" s="433" t="s">
        <v>83</v>
      </c>
      <c r="O245" s="370" t="s">
        <v>84</v>
      </c>
      <c r="P245" s="433" t="s">
        <v>89</v>
      </c>
      <c r="Q245" s="370" t="s">
        <v>84</v>
      </c>
      <c r="R245" s="287"/>
      <c r="S245" s="469"/>
      <c r="T245" s="256"/>
    </row>
    <row r="246" spans="1:20" s="275" customFormat="1" x14ac:dyDescent="0.3">
      <c r="A246" s="270"/>
      <c r="B246" s="373" t="s">
        <v>72</v>
      </c>
      <c r="C246" s="470"/>
      <c r="D246" s="470"/>
      <c r="E246" s="470"/>
      <c r="F246" s="470"/>
      <c r="G246" s="470"/>
      <c r="H246" s="470"/>
      <c r="I246" s="470"/>
      <c r="J246" s="470"/>
      <c r="K246" s="470"/>
      <c r="L246" s="470"/>
      <c r="M246" s="470"/>
      <c r="N246" s="373">
        <f>+N258+N270+N282</f>
        <v>791</v>
      </c>
      <c r="O246" s="471">
        <f>N246/$N$255</f>
        <v>0.9987373737373737</v>
      </c>
      <c r="P246" s="374">
        <f>+P258+P270+P282</f>
        <v>119651</v>
      </c>
      <c r="Q246" s="471">
        <f t="shared" ref="Q246:Q253" si="5">P246/$P$255</f>
        <v>0.99908984635938547</v>
      </c>
      <c r="R246" s="437"/>
      <c r="S246" s="472"/>
      <c r="T246" s="274"/>
    </row>
    <row r="247" spans="1:20" s="275" customFormat="1" x14ac:dyDescent="0.3">
      <c r="A247" s="301"/>
      <c r="B247" s="362" t="s">
        <v>73</v>
      </c>
      <c r="C247" s="473"/>
      <c r="D247" s="473"/>
      <c r="E247" s="473"/>
      <c r="F247" s="473"/>
      <c r="G247" s="473"/>
      <c r="H247" s="473"/>
      <c r="I247" s="473"/>
      <c r="J247" s="473"/>
      <c r="K247" s="473"/>
      <c r="L247" s="473"/>
      <c r="M247" s="473"/>
      <c r="N247" s="474">
        <f t="shared" ref="N247:N252" si="6">+N259+N271+N283</f>
        <v>1</v>
      </c>
      <c r="O247" s="475">
        <f t="shared" ref="O247:O253" si="7">N247/$N$255</f>
        <v>1.2626262626262627E-3</v>
      </c>
      <c r="P247" s="476">
        <f t="shared" ref="P247:P253" si="8">+P259+P271+P283</f>
        <v>109</v>
      </c>
      <c r="Q247" s="477">
        <f t="shared" si="5"/>
        <v>9.1015364061456251E-4</v>
      </c>
      <c r="R247" s="442"/>
      <c r="S247" s="453"/>
      <c r="T247" s="274"/>
    </row>
    <row r="248" spans="1:20" s="275" customFormat="1" x14ac:dyDescent="0.3">
      <c r="A248" s="301"/>
      <c r="B248" s="362" t="s">
        <v>74</v>
      </c>
      <c r="C248" s="473"/>
      <c r="D248" s="473"/>
      <c r="E248" s="473"/>
      <c r="F248" s="473"/>
      <c r="G248" s="473"/>
      <c r="H248" s="473"/>
      <c r="I248" s="473"/>
      <c r="J248" s="473"/>
      <c r="K248" s="473"/>
      <c r="L248" s="473"/>
      <c r="M248" s="473"/>
      <c r="N248" s="478">
        <f t="shared" si="6"/>
        <v>0</v>
      </c>
      <c r="O248" s="479">
        <f t="shared" si="7"/>
        <v>0</v>
      </c>
      <c r="P248" s="401">
        <f t="shared" si="8"/>
        <v>0</v>
      </c>
      <c r="Q248" s="477">
        <f t="shared" si="5"/>
        <v>0</v>
      </c>
      <c r="R248" s="442"/>
      <c r="S248" s="453"/>
      <c r="T248" s="274"/>
    </row>
    <row r="249" spans="1:20" s="275" customFormat="1" x14ac:dyDescent="0.3">
      <c r="A249" s="301"/>
      <c r="B249" s="362" t="s">
        <v>119</v>
      </c>
      <c r="C249" s="473"/>
      <c r="D249" s="473"/>
      <c r="E249" s="473"/>
      <c r="F249" s="473"/>
      <c r="G249" s="473"/>
      <c r="H249" s="473"/>
      <c r="I249" s="473"/>
      <c r="J249" s="473"/>
      <c r="K249" s="473"/>
      <c r="L249" s="473"/>
      <c r="M249" s="473"/>
      <c r="N249" s="478">
        <f t="shared" si="6"/>
        <v>0</v>
      </c>
      <c r="O249" s="479">
        <f t="shared" si="7"/>
        <v>0</v>
      </c>
      <c r="P249" s="401">
        <f t="shared" si="8"/>
        <v>0</v>
      </c>
      <c r="Q249" s="477">
        <f t="shared" si="5"/>
        <v>0</v>
      </c>
      <c r="R249" s="442"/>
      <c r="S249" s="453"/>
      <c r="T249" s="274"/>
    </row>
    <row r="250" spans="1:20" s="275" customFormat="1" x14ac:dyDescent="0.3">
      <c r="A250" s="301"/>
      <c r="B250" s="362" t="s">
        <v>120</v>
      </c>
      <c r="C250" s="473"/>
      <c r="D250" s="473"/>
      <c r="E250" s="473"/>
      <c r="F250" s="473"/>
      <c r="G250" s="473"/>
      <c r="H250" s="473"/>
      <c r="I250" s="473"/>
      <c r="J250" s="473"/>
      <c r="K250" s="473"/>
      <c r="L250" s="473"/>
      <c r="M250" s="473"/>
      <c r="N250" s="478">
        <f t="shared" si="6"/>
        <v>0</v>
      </c>
      <c r="O250" s="479">
        <f t="shared" si="7"/>
        <v>0</v>
      </c>
      <c r="P250" s="401">
        <f t="shared" si="8"/>
        <v>0</v>
      </c>
      <c r="Q250" s="477">
        <f t="shared" si="5"/>
        <v>0</v>
      </c>
      <c r="R250" s="442"/>
      <c r="S250" s="453"/>
      <c r="T250" s="274"/>
    </row>
    <row r="251" spans="1:20" s="275" customFormat="1" x14ac:dyDescent="0.3">
      <c r="A251" s="301"/>
      <c r="B251" s="362" t="s">
        <v>121</v>
      </c>
      <c r="C251" s="473"/>
      <c r="D251" s="473"/>
      <c r="E251" s="473"/>
      <c r="F251" s="473"/>
      <c r="G251" s="473"/>
      <c r="H251" s="473"/>
      <c r="I251" s="473"/>
      <c r="J251" s="473"/>
      <c r="K251" s="473"/>
      <c r="L251" s="473"/>
      <c r="M251" s="473"/>
      <c r="N251" s="478">
        <f t="shared" si="6"/>
        <v>0</v>
      </c>
      <c r="O251" s="479">
        <f t="shared" si="7"/>
        <v>0</v>
      </c>
      <c r="P251" s="401">
        <f t="shared" si="8"/>
        <v>0</v>
      </c>
      <c r="Q251" s="477">
        <f t="shared" si="5"/>
        <v>0</v>
      </c>
      <c r="R251" s="442"/>
      <c r="S251" s="453"/>
      <c r="T251" s="274"/>
    </row>
    <row r="252" spans="1:20" s="275" customFormat="1" x14ac:dyDescent="0.3">
      <c r="A252" s="301"/>
      <c r="B252" s="362" t="s">
        <v>122</v>
      </c>
      <c r="C252" s="473"/>
      <c r="D252" s="473"/>
      <c r="E252" s="473"/>
      <c r="F252" s="473"/>
      <c r="G252" s="473"/>
      <c r="H252" s="473"/>
      <c r="I252" s="473"/>
      <c r="J252" s="473"/>
      <c r="K252" s="473"/>
      <c r="L252" s="473"/>
      <c r="M252" s="473"/>
      <c r="N252" s="480">
        <f t="shared" si="6"/>
        <v>0</v>
      </c>
      <c r="O252" s="481">
        <f t="shared" si="7"/>
        <v>0</v>
      </c>
      <c r="P252" s="482">
        <f t="shared" si="8"/>
        <v>0</v>
      </c>
      <c r="Q252" s="477">
        <f t="shared" si="5"/>
        <v>0</v>
      </c>
      <c r="R252" s="442"/>
      <c r="S252" s="453"/>
      <c r="T252" s="274"/>
    </row>
    <row r="253" spans="1:20" s="275" customFormat="1" x14ac:dyDescent="0.3">
      <c r="A253" s="301"/>
      <c r="B253" s="362" t="s">
        <v>123</v>
      </c>
      <c r="C253" s="473"/>
      <c r="D253" s="473"/>
      <c r="E253" s="473"/>
      <c r="F253" s="473"/>
      <c r="G253" s="473"/>
      <c r="H253" s="473"/>
      <c r="I253" s="473"/>
      <c r="J253" s="473"/>
      <c r="K253" s="473"/>
      <c r="L253" s="473"/>
      <c r="M253" s="473"/>
      <c r="N253" s="373">
        <f>+N265+N277+N289</f>
        <v>0</v>
      </c>
      <c r="O253" s="477">
        <f t="shared" si="7"/>
        <v>0</v>
      </c>
      <c r="P253" s="374">
        <f t="shared" si="8"/>
        <v>0</v>
      </c>
      <c r="Q253" s="477">
        <f t="shared" si="5"/>
        <v>0</v>
      </c>
      <c r="R253" s="442"/>
      <c r="S253" s="453"/>
      <c r="T253" s="274"/>
    </row>
    <row r="254" spans="1:20" s="275" customFormat="1" x14ac:dyDescent="0.3">
      <c r="A254" s="301"/>
      <c r="B254" s="362"/>
      <c r="C254" s="473"/>
      <c r="D254" s="473"/>
      <c r="E254" s="473"/>
      <c r="F254" s="473"/>
      <c r="G254" s="473"/>
      <c r="H254" s="473"/>
      <c r="I254" s="473"/>
      <c r="J254" s="473"/>
      <c r="K254" s="473"/>
      <c r="L254" s="473"/>
      <c r="M254" s="473"/>
      <c r="N254" s="362"/>
      <c r="O254" s="477"/>
      <c r="P254" s="363"/>
      <c r="Q254" s="477"/>
      <c r="R254" s="442"/>
      <c r="S254" s="453"/>
      <c r="T254" s="274"/>
    </row>
    <row r="255" spans="1:20" s="275" customFormat="1" x14ac:dyDescent="0.3">
      <c r="A255" s="301"/>
      <c r="B255" s="294" t="s">
        <v>94</v>
      </c>
      <c r="C255" s="294"/>
      <c r="D255" s="483"/>
      <c r="E255" s="483"/>
      <c r="F255" s="483"/>
      <c r="G255" s="483"/>
      <c r="H255" s="483"/>
      <c r="I255" s="483"/>
      <c r="J255" s="483"/>
      <c r="K255" s="483"/>
      <c r="L255" s="483"/>
      <c r="M255" s="483"/>
      <c r="N255" s="362">
        <f>SUM(N246:N254)</f>
        <v>792</v>
      </c>
      <c r="O255" s="477">
        <f>SUM(O246:O254)</f>
        <v>1</v>
      </c>
      <c r="P255" s="363">
        <f>SUM(P246:P254)</f>
        <v>119760</v>
      </c>
      <c r="Q255" s="477">
        <f>SUM(Q246:Q254)</f>
        <v>1</v>
      </c>
      <c r="R255" s="294"/>
      <c r="S255" s="297"/>
      <c r="T255" s="274"/>
    </row>
    <row r="256" spans="1:20" x14ac:dyDescent="0.3">
      <c r="A256" s="258"/>
      <c r="B256" s="430"/>
      <c r="C256" s="465"/>
      <c r="D256" s="343"/>
      <c r="E256" s="343"/>
      <c r="F256" s="343"/>
      <c r="G256" s="343"/>
      <c r="H256" s="343"/>
      <c r="I256" s="343"/>
      <c r="J256" s="343"/>
      <c r="K256" s="343"/>
      <c r="L256" s="343"/>
      <c r="M256" s="343"/>
      <c r="N256" s="343"/>
      <c r="O256" s="343"/>
      <c r="P256" s="467"/>
      <c r="Q256" s="343"/>
      <c r="R256" s="343"/>
      <c r="S256" s="261"/>
      <c r="T256" s="256"/>
    </row>
    <row r="257" spans="1:21" x14ac:dyDescent="0.3">
      <c r="A257" s="286"/>
      <c r="B257" s="369" t="s">
        <v>124</v>
      </c>
      <c r="C257" s="370"/>
      <c r="D257" s="370"/>
      <c r="E257" s="370"/>
      <c r="F257" s="370"/>
      <c r="G257" s="370"/>
      <c r="H257" s="370"/>
      <c r="I257" s="370"/>
      <c r="J257" s="370"/>
      <c r="K257" s="370"/>
      <c r="L257" s="370"/>
      <c r="M257" s="370"/>
      <c r="N257" s="433" t="s">
        <v>83</v>
      </c>
      <c r="O257" s="370" t="s">
        <v>84</v>
      </c>
      <c r="P257" s="433" t="s">
        <v>89</v>
      </c>
      <c r="Q257" s="370" t="s">
        <v>84</v>
      </c>
      <c r="R257" s="287"/>
      <c r="S257" s="469"/>
      <c r="T257" s="256"/>
    </row>
    <row r="258" spans="1:21" s="275" customFormat="1" x14ac:dyDescent="0.3">
      <c r="A258" s="270"/>
      <c r="B258" s="373" t="s">
        <v>72</v>
      </c>
      <c r="C258" s="470"/>
      <c r="D258" s="470"/>
      <c r="E258" s="470"/>
      <c r="F258" s="470"/>
      <c r="G258" s="470"/>
      <c r="H258" s="470"/>
      <c r="I258" s="470"/>
      <c r="J258" s="470"/>
      <c r="K258" s="470"/>
      <c r="L258" s="470"/>
      <c r="M258" s="470"/>
      <c r="N258" s="373">
        <v>791</v>
      </c>
      <c r="O258" s="471">
        <f>N258/$N$267</f>
        <v>0.9987373737373737</v>
      </c>
      <c r="P258" s="374">
        <v>119651</v>
      </c>
      <c r="Q258" s="471">
        <f>P258/$P$267</f>
        <v>0.99908984635938547</v>
      </c>
      <c r="R258" s="437"/>
      <c r="S258" s="472"/>
      <c r="T258" s="274"/>
    </row>
    <row r="259" spans="1:21" s="275" customFormat="1" x14ac:dyDescent="0.3">
      <c r="A259" s="301"/>
      <c r="B259" s="362" t="s">
        <v>73</v>
      </c>
      <c r="C259" s="473"/>
      <c r="D259" s="473"/>
      <c r="E259" s="473"/>
      <c r="F259" s="473"/>
      <c r="G259" s="473"/>
      <c r="H259" s="473"/>
      <c r="I259" s="473"/>
      <c r="J259" s="473"/>
      <c r="K259" s="473"/>
      <c r="L259" s="473"/>
      <c r="M259" s="473"/>
      <c r="N259" s="362">
        <v>1</v>
      </c>
      <c r="O259" s="477">
        <f t="shared" ref="O259:O265" si="9">N259/$N$267</f>
        <v>1.2626262626262627E-3</v>
      </c>
      <c r="P259" s="363">
        <v>109</v>
      </c>
      <c r="Q259" s="477">
        <f t="shared" ref="Q259:Q265" si="10">P259/$P$267</f>
        <v>9.1015364061456251E-4</v>
      </c>
      <c r="R259" s="442"/>
      <c r="S259" s="453"/>
      <c r="T259" s="274"/>
      <c r="U259" s="364"/>
    </row>
    <row r="260" spans="1:21" s="275" customFormat="1" x14ac:dyDescent="0.3">
      <c r="A260" s="301"/>
      <c r="B260" s="362" t="s">
        <v>74</v>
      </c>
      <c r="C260" s="473"/>
      <c r="D260" s="473"/>
      <c r="E260" s="473"/>
      <c r="F260" s="473"/>
      <c r="G260" s="473"/>
      <c r="H260" s="473"/>
      <c r="I260" s="473"/>
      <c r="J260" s="473"/>
      <c r="K260" s="473"/>
      <c r="L260" s="473"/>
      <c r="M260" s="473"/>
      <c r="N260" s="362">
        <v>0</v>
      </c>
      <c r="O260" s="477">
        <f t="shared" si="9"/>
        <v>0</v>
      </c>
      <c r="P260" s="363">
        <v>0</v>
      </c>
      <c r="Q260" s="477">
        <f t="shared" si="10"/>
        <v>0</v>
      </c>
      <c r="R260" s="442"/>
      <c r="S260" s="453"/>
      <c r="T260" s="274"/>
    </row>
    <row r="261" spans="1:21" s="275" customFormat="1" x14ac:dyDescent="0.3">
      <c r="A261" s="301"/>
      <c r="B261" s="362" t="s">
        <v>119</v>
      </c>
      <c r="C261" s="473"/>
      <c r="D261" s="473"/>
      <c r="E261" s="473"/>
      <c r="F261" s="473"/>
      <c r="G261" s="473"/>
      <c r="H261" s="473"/>
      <c r="I261" s="473"/>
      <c r="J261" s="473"/>
      <c r="K261" s="473"/>
      <c r="L261" s="473"/>
      <c r="M261" s="473"/>
      <c r="N261" s="362">
        <v>0</v>
      </c>
      <c r="O261" s="477">
        <f t="shared" si="9"/>
        <v>0</v>
      </c>
      <c r="P261" s="363">
        <v>0</v>
      </c>
      <c r="Q261" s="477">
        <f t="shared" si="10"/>
        <v>0</v>
      </c>
      <c r="R261" s="442"/>
      <c r="S261" s="453"/>
      <c r="T261" s="274"/>
      <c r="U261" s="364"/>
    </row>
    <row r="262" spans="1:21" s="275" customFormat="1" x14ac:dyDescent="0.3">
      <c r="A262" s="301"/>
      <c r="B262" s="362" t="s">
        <v>120</v>
      </c>
      <c r="C262" s="473"/>
      <c r="D262" s="473"/>
      <c r="E262" s="473"/>
      <c r="F262" s="473"/>
      <c r="G262" s="473"/>
      <c r="H262" s="473"/>
      <c r="I262" s="473"/>
      <c r="J262" s="473"/>
      <c r="K262" s="473"/>
      <c r="L262" s="473"/>
      <c r="M262" s="473"/>
      <c r="N262" s="362">
        <v>0</v>
      </c>
      <c r="O262" s="477">
        <f t="shared" si="9"/>
        <v>0</v>
      </c>
      <c r="P262" s="363">
        <v>0</v>
      </c>
      <c r="Q262" s="477">
        <f t="shared" si="10"/>
        <v>0</v>
      </c>
      <c r="R262" s="442"/>
      <c r="S262" s="453"/>
      <c r="T262" s="274"/>
    </row>
    <row r="263" spans="1:21" s="275" customFormat="1" x14ac:dyDescent="0.3">
      <c r="A263" s="301"/>
      <c r="B263" s="362" t="s">
        <v>121</v>
      </c>
      <c r="C263" s="473"/>
      <c r="D263" s="473"/>
      <c r="E263" s="473"/>
      <c r="F263" s="473"/>
      <c r="G263" s="473"/>
      <c r="H263" s="473"/>
      <c r="I263" s="473"/>
      <c r="J263" s="473"/>
      <c r="K263" s="473"/>
      <c r="L263" s="473"/>
      <c r="M263" s="473"/>
      <c r="N263" s="362">
        <v>0</v>
      </c>
      <c r="O263" s="477">
        <f t="shared" si="9"/>
        <v>0</v>
      </c>
      <c r="P263" s="363">
        <v>0</v>
      </c>
      <c r="Q263" s="477">
        <f t="shared" si="10"/>
        <v>0</v>
      </c>
      <c r="R263" s="442"/>
      <c r="S263" s="453"/>
      <c r="T263" s="274"/>
      <c r="U263" s="364"/>
    </row>
    <row r="264" spans="1:21" s="275" customFormat="1" x14ac:dyDescent="0.3">
      <c r="A264" s="301"/>
      <c r="B264" s="362" t="s">
        <v>122</v>
      </c>
      <c r="C264" s="473"/>
      <c r="D264" s="473"/>
      <c r="E264" s="473"/>
      <c r="F264" s="473"/>
      <c r="G264" s="473"/>
      <c r="H264" s="473"/>
      <c r="I264" s="473"/>
      <c r="J264" s="473"/>
      <c r="K264" s="473"/>
      <c r="L264" s="473"/>
      <c r="M264" s="473"/>
      <c r="N264" s="362">
        <v>0</v>
      </c>
      <c r="O264" s="477">
        <f t="shared" si="9"/>
        <v>0</v>
      </c>
      <c r="P264" s="363">
        <v>0</v>
      </c>
      <c r="Q264" s="477">
        <f t="shared" si="10"/>
        <v>0</v>
      </c>
      <c r="R264" s="442"/>
      <c r="S264" s="453"/>
      <c r="T264" s="274"/>
    </row>
    <row r="265" spans="1:21" s="275" customFormat="1" x14ac:dyDescent="0.3">
      <c r="A265" s="301"/>
      <c r="B265" s="362" t="s">
        <v>123</v>
      </c>
      <c r="C265" s="473"/>
      <c r="D265" s="473"/>
      <c r="E265" s="473"/>
      <c r="F265" s="473"/>
      <c r="G265" s="473"/>
      <c r="H265" s="473"/>
      <c r="I265" s="473"/>
      <c r="J265" s="473"/>
      <c r="K265" s="473"/>
      <c r="L265" s="473"/>
      <c r="M265" s="473"/>
      <c r="N265" s="362">
        <v>0</v>
      </c>
      <c r="O265" s="477">
        <f t="shared" si="9"/>
        <v>0</v>
      </c>
      <c r="P265" s="363">
        <v>0</v>
      </c>
      <c r="Q265" s="477">
        <f t="shared" si="10"/>
        <v>0</v>
      </c>
      <c r="R265" s="442"/>
      <c r="S265" s="453"/>
      <c r="T265" s="274"/>
      <c r="U265" s="364"/>
    </row>
    <row r="266" spans="1:21" s="275" customFormat="1" x14ac:dyDescent="0.3">
      <c r="A266" s="301"/>
      <c r="B266" s="362"/>
      <c r="C266" s="473"/>
      <c r="D266" s="473"/>
      <c r="E266" s="473"/>
      <c r="F266" s="473"/>
      <c r="G266" s="473"/>
      <c r="H266" s="473"/>
      <c r="I266" s="473"/>
      <c r="J266" s="473"/>
      <c r="K266" s="473"/>
      <c r="L266" s="473"/>
      <c r="M266" s="473"/>
      <c r="N266" s="362"/>
      <c r="O266" s="477"/>
      <c r="P266" s="363"/>
      <c r="Q266" s="477"/>
      <c r="R266" s="442"/>
      <c r="S266" s="453"/>
      <c r="T266" s="274"/>
    </row>
    <row r="267" spans="1:21" s="275" customFormat="1" x14ac:dyDescent="0.3">
      <c r="A267" s="301"/>
      <c r="B267" s="294" t="s">
        <v>94</v>
      </c>
      <c r="C267" s="294"/>
      <c r="D267" s="483"/>
      <c r="E267" s="483"/>
      <c r="F267" s="483"/>
      <c r="G267" s="483"/>
      <c r="H267" s="483"/>
      <c r="I267" s="483"/>
      <c r="J267" s="483"/>
      <c r="K267" s="483"/>
      <c r="L267" s="483"/>
      <c r="M267" s="483"/>
      <c r="N267" s="362">
        <f>SUM(N258:N266)</f>
        <v>792</v>
      </c>
      <c r="O267" s="477">
        <f>SUM(O258:O266)</f>
        <v>1</v>
      </c>
      <c r="P267" s="363">
        <f>SUM(P258:P266)</f>
        <v>119760</v>
      </c>
      <c r="Q267" s="477">
        <f>SUM(Q258:Q266)</f>
        <v>1</v>
      </c>
      <c r="R267" s="294"/>
      <c r="S267" s="297"/>
      <c r="T267" s="274"/>
    </row>
    <row r="268" spans="1:21" x14ac:dyDescent="0.3">
      <c r="A268" s="258"/>
      <c r="B268" s="343"/>
      <c r="C268" s="343"/>
      <c r="D268" s="484"/>
      <c r="E268" s="484"/>
      <c r="F268" s="484"/>
      <c r="G268" s="484"/>
      <c r="H268" s="484"/>
      <c r="I268" s="484"/>
      <c r="J268" s="484"/>
      <c r="K268" s="484"/>
      <c r="L268" s="484"/>
      <c r="M268" s="484"/>
      <c r="N268" s="365"/>
      <c r="O268" s="485"/>
      <c r="P268" s="486"/>
      <c r="Q268" s="485"/>
      <c r="R268" s="343"/>
      <c r="S268" s="261"/>
      <c r="T268" s="256"/>
    </row>
    <row r="269" spans="1:21" x14ac:dyDescent="0.3">
      <c r="A269" s="286"/>
      <c r="B269" s="369" t="s">
        <v>146</v>
      </c>
      <c r="C269" s="370"/>
      <c r="D269" s="370"/>
      <c r="E269" s="370"/>
      <c r="F269" s="370"/>
      <c r="G269" s="370"/>
      <c r="H269" s="370"/>
      <c r="I269" s="370"/>
      <c r="J269" s="370"/>
      <c r="K269" s="370"/>
      <c r="L269" s="370"/>
      <c r="M269" s="370"/>
      <c r="N269" s="433" t="s">
        <v>83</v>
      </c>
      <c r="O269" s="370" t="s">
        <v>84</v>
      </c>
      <c r="P269" s="433" t="s">
        <v>89</v>
      </c>
      <c r="Q269" s="370" t="s">
        <v>84</v>
      </c>
      <c r="R269" s="287"/>
      <c r="S269" s="290"/>
      <c r="T269" s="256"/>
    </row>
    <row r="270" spans="1:21" s="275" customFormat="1" x14ac:dyDescent="0.3">
      <c r="A270" s="270"/>
      <c r="B270" s="373" t="s">
        <v>72</v>
      </c>
      <c r="C270" s="470"/>
      <c r="D270" s="470"/>
      <c r="E270" s="470"/>
      <c r="F270" s="470"/>
      <c r="G270" s="470"/>
      <c r="H270" s="470"/>
      <c r="I270" s="470"/>
      <c r="J270" s="470"/>
      <c r="K270" s="470"/>
      <c r="L270" s="470"/>
      <c r="M270" s="470"/>
      <c r="N270" s="373">
        <v>0</v>
      </c>
      <c r="O270" s="471">
        <v>0</v>
      </c>
      <c r="P270" s="374">
        <v>0</v>
      </c>
      <c r="Q270" s="471">
        <v>0</v>
      </c>
      <c r="R270" s="291"/>
      <c r="S270" s="273"/>
      <c r="T270" s="274"/>
    </row>
    <row r="271" spans="1:21" s="275" customFormat="1" x14ac:dyDescent="0.3">
      <c r="A271" s="301"/>
      <c r="B271" s="362" t="s">
        <v>73</v>
      </c>
      <c r="C271" s="473"/>
      <c r="D271" s="473"/>
      <c r="E271" s="473"/>
      <c r="F271" s="473"/>
      <c r="G271" s="473"/>
      <c r="H271" s="473"/>
      <c r="I271" s="473"/>
      <c r="J271" s="473"/>
      <c r="K271" s="473"/>
      <c r="L271" s="473"/>
      <c r="M271" s="473"/>
      <c r="N271" s="362">
        <v>0</v>
      </c>
      <c r="O271" s="477">
        <v>0</v>
      </c>
      <c r="P271" s="363">
        <v>0</v>
      </c>
      <c r="Q271" s="477">
        <v>0</v>
      </c>
      <c r="R271" s="294"/>
      <c r="S271" s="297"/>
      <c r="T271" s="274"/>
    </row>
    <row r="272" spans="1:21" s="275" customFormat="1" x14ac:dyDescent="0.3">
      <c r="A272" s="301"/>
      <c r="B272" s="362" t="s">
        <v>74</v>
      </c>
      <c r="C272" s="473"/>
      <c r="D272" s="473"/>
      <c r="E272" s="473"/>
      <c r="F272" s="473"/>
      <c r="G272" s="473"/>
      <c r="H272" s="473"/>
      <c r="I272" s="473"/>
      <c r="J272" s="473"/>
      <c r="K272" s="473"/>
      <c r="L272" s="473"/>
      <c r="M272" s="473"/>
      <c r="N272" s="362">
        <v>0</v>
      </c>
      <c r="O272" s="477">
        <v>0</v>
      </c>
      <c r="P272" s="363">
        <v>0</v>
      </c>
      <c r="Q272" s="477">
        <v>0</v>
      </c>
      <c r="R272" s="294"/>
      <c r="S272" s="297"/>
      <c r="T272" s="274"/>
    </row>
    <row r="273" spans="1:20" s="275" customFormat="1" x14ac:dyDescent="0.3">
      <c r="A273" s="301"/>
      <c r="B273" s="362" t="s">
        <v>119</v>
      </c>
      <c r="C273" s="473"/>
      <c r="D273" s="473"/>
      <c r="E273" s="473"/>
      <c r="F273" s="473"/>
      <c r="G273" s="473"/>
      <c r="H273" s="473"/>
      <c r="I273" s="473"/>
      <c r="J273" s="473"/>
      <c r="K273" s="473"/>
      <c r="L273" s="473"/>
      <c r="M273" s="473"/>
      <c r="N273" s="362">
        <v>0</v>
      </c>
      <c r="O273" s="477">
        <v>0</v>
      </c>
      <c r="P273" s="363">
        <v>0</v>
      </c>
      <c r="Q273" s="477">
        <v>0</v>
      </c>
      <c r="R273" s="294"/>
      <c r="S273" s="297"/>
      <c r="T273" s="274"/>
    </row>
    <row r="274" spans="1:20" s="275" customFormat="1" x14ac:dyDescent="0.3">
      <c r="A274" s="301"/>
      <c r="B274" s="362" t="s">
        <v>120</v>
      </c>
      <c r="C274" s="473"/>
      <c r="D274" s="473"/>
      <c r="E274" s="473"/>
      <c r="F274" s="473"/>
      <c r="G274" s="473"/>
      <c r="H274" s="473"/>
      <c r="I274" s="473"/>
      <c r="J274" s="473"/>
      <c r="K274" s="473"/>
      <c r="L274" s="473"/>
      <c r="M274" s="473"/>
      <c r="N274" s="362">
        <v>0</v>
      </c>
      <c r="O274" s="477">
        <v>0</v>
      </c>
      <c r="P274" s="363">
        <v>0</v>
      </c>
      <c r="Q274" s="477">
        <v>0</v>
      </c>
      <c r="R274" s="294"/>
      <c r="S274" s="297"/>
      <c r="T274" s="274"/>
    </row>
    <row r="275" spans="1:20" s="275" customFormat="1" x14ac:dyDescent="0.3">
      <c r="A275" s="301"/>
      <c r="B275" s="362" t="s">
        <v>121</v>
      </c>
      <c r="C275" s="473"/>
      <c r="D275" s="473"/>
      <c r="E275" s="473"/>
      <c r="F275" s="473"/>
      <c r="G275" s="473"/>
      <c r="H275" s="473"/>
      <c r="I275" s="473"/>
      <c r="J275" s="473"/>
      <c r="K275" s="473"/>
      <c r="L275" s="473"/>
      <c r="M275" s="473"/>
      <c r="N275" s="362">
        <v>0</v>
      </c>
      <c r="O275" s="477">
        <v>0</v>
      </c>
      <c r="P275" s="363">
        <v>0</v>
      </c>
      <c r="Q275" s="477">
        <v>0</v>
      </c>
      <c r="R275" s="294"/>
      <c r="S275" s="297"/>
      <c r="T275" s="274"/>
    </row>
    <row r="276" spans="1:20" s="275" customFormat="1" x14ac:dyDescent="0.3">
      <c r="A276" s="301"/>
      <c r="B276" s="362" t="s">
        <v>122</v>
      </c>
      <c r="C276" s="473"/>
      <c r="D276" s="473"/>
      <c r="E276" s="473"/>
      <c r="F276" s="473"/>
      <c r="G276" s="473"/>
      <c r="H276" s="473"/>
      <c r="I276" s="473"/>
      <c r="J276" s="473"/>
      <c r="K276" s="473"/>
      <c r="L276" s="473"/>
      <c r="M276" s="473"/>
      <c r="N276" s="362">
        <v>0</v>
      </c>
      <c r="O276" s="477">
        <v>0</v>
      </c>
      <c r="P276" s="363">
        <v>0</v>
      </c>
      <c r="Q276" s="477">
        <v>0</v>
      </c>
      <c r="R276" s="294"/>
      <c r="S276" s="297"/>
      <c r="T276" s="274"/>
    </row>
    <row r="277" spans="1:20" s="275" customFormat="1" x14ac:dyDescent="0.3">
      <c r="A277" s="301"/>
      <c r="B277" s="362" t="s">
        <v>123</v>
      </c>
      <c r="C277" s="473"/>
      <c r="D277" s="473"/>
      <c r="E277" s="473"/>
      <c r="F277" s="473"/>
      <c r="G277" s="473"/>
      <c r="H277" s="473"/>
      <c r="I277" s="473"/>
      <c r="J277" s="473"/>
      <c r="K277" s="473"/>
      <c r="L277" s="473"/>
      <c r="M277" s="473"/>
      <c r="N277" s="362">
        <v>0</v>
      </c>
      <c r="O277" s="477">
        <v>0</v>
      </c>
      <c r="P277" s="363">
        <v>0</v>
      </c>
      <c r="Q277" s="477">
        <v>0</v>
      </c>
      <c r="R277" s="294"/>
      <c r="S277" s="297"/>
      <c r="T277" s="274"/>
    </row>
    <row r="278" spans="1:20" s="275" customFormat="1" x14ac:dyDescent="0.3">
      <c r="A278" s="301"/>
      <c r="B278" s="362"/>
      <c r="C278" s="473"/>
      <c r="D278" s="473"/>
      <c r="E278" s="473"/>
      <c r="F278" s="473"/>
      <c r="G278" s="473"/>
      <c r="H278" s="473"/>
      <c r="I278" s="473"/>
      <c r="J278" s="473"/>
      <c r="K278" s="473"/>
      <c r="L278" s="473"/>
      <c r="M278" s="473"/>
      <c r="N278" s="362"/>
      <c r="O278" s="477"/>
      <c r="P278" s="363"/>
      <c r="Q278" s="477"/>
      <c r="R278" s="294"/>
      <c r="S278" s="297"/>
      <c r="T278" s="274"/>
    </row>
    <row r="279" spans="1:20" s="275" customFormat="1" x14ac:dyDescent="0.3">
      <c r="A279" s="301"/>
      <c r="B279" s="294" t="s">
        <v>94</v>
      </c>
      <c r="C279" s="294"/>
      <c r="D279" s="483"/>
      <c r="E279" s="483"/>
      <c r="F279" s="483"/>
      <c r="G279" s="483"/>
      <c r="H279" s="483"/>
      <c r="I279" s="483"/>
      <c r="J279" s="483"/>
      <c r="K279" s="483"/>
      <c r="L279" s="483"/>
      <c r="M279" s="483"/>
      <c r="N279" s="362">
        <f>SUM(N270:N278)</f>
        <v>0</v>
      </c>
      <c r="O279" s="477">
        <f>SUM(O270:O278)</f>
        <v>0</v>
      </c>
      <c r="P279" s="363">
        <f>SUM(P270:P278)</f>
        <v>0</v>
      </c>
      <c r="Q279" s="477">
        <f>SUM(Q270:Q278)</f>
        <v>0</v>
      </c>
      <c r="R279" s="294"/>
      <c r="S279" s="297"/>
      <c r="T279" s="274"/>
    </row>
    <row r="280" spans="1:20" x14ac:dyDescent="0.3">
      <c r="A280" s="258"/>
      <c r="B280" s="343"/>
      <c r="C280" s="343"/>
      <c r="D280" s="484"/>
      <c r="E280" s="484"/>
      <c r="F280" s="484"/>
      <c r="G280" s="484"/>
      <c r="H280" s="484"/>
      <c r="I280" s="484"/>
      <c r="J280" s="484"/>
      <c r="K280" s="484"/>
      <c r="L280" s="484"/>
      <c r="M280" s="484"/>
      <c r="N280" s="365"/>
      <c r="O280" s="485"/>
      <c r="P280" s="486"/>
      <c r="Q280" s="485"/>
      <c r="R280" s="343"/>
      <c r="S280" s="261"/>
      <c r="T280" s="256"/>
    </row>
    <row r="281" spans="1:20" x14ac:dyDescent="0.3">
      <c r="A281" s="286"/>
      <c r="B281" s="369" t="s">
        <v>125</v>
      </c>
      <c r="C281" s="287"/>
      <c r="D281" s="487"/>
      <c r="E281" s="487"/>
      <c r="F281" s="487"/>
      <c r="G281" s="487"/>
      <c r="H281" s="487"/>
      <c r="I281" s="487"/>
      <c r="J281" s="487"/>
      <c r="K281" s="487"/>
      <c r="L281" s="487"/>
      <c r="M281" s="487"/>
      <c r="N281" s="433" t="s">
        <v>83</v>
      </c>
      <c r="O281" s="370" t="s">
        <v>84</v>
      </c>
      <c r="P281" s="433" t="s">
        <v>89</v>
      </c>
      <c r="Q281" s="370" t="s">
        <v>84</v>
      </c>
      <c r="R281" s="287"/>
      <c r="S281" s="290"/>
      <c r="T281" s="256"/>
    </row>
    <row r="282" spans="1:20" s="275" customFormat="1" x14ac:dyDescent="0.3">
      <c r="A282" s="270"/>
      <c r="B282" s="373" t="s">
        <v>72</v>
      </c>
      <c r="C282" s="291"/>
      <c r="D282" s="488"/>
      <c r="E282" s="488"/>
      <c r="F282" s="488"/>
      <c r="G282" s="488"/>
      <c r="H282" s="488"/>
      <c r="I282" s="488"/>
      <c r="J282" s="488"/>
      <c r="K282" s="488"/>
      <c r="L282" s="488"/>
      <c r="M282" s="488"/>
      <c r="N282" s="373">
        <v>0</v>
      </c>
      <c r="O282" s="471">
        <v>0</v>
      </c>
      <c r="P282" s="374">
        <v>0</v>
      </c>
      <c r="Q282" s="471">
        <v>0</v>
      </c>
      <c r="R282" s="291"/>
      <c r="S282" s="273"/>
      <c r="T282" s="274"/>
    </row>
    <row r="283" spans="1:20" s="275" customFormat="1" x14ac:dyDescent="0.3">
      <c r="A283" s="301"/>
      <c r="B283" s="362" t="s">
        <v>73</v>
      </c>
      <c r="C283" s="294"/>
      <c r="D283" s="483"/>
      <c r="E283" s="483"/>
      <c r="F283" s="483"/>
      <c r="G283" s="483"/>
      <c r="H283" s="483"/>
      <c r="I283" s="483"/>
      <c r="J283" s="483"/>
      <c r="K283" s="483"/>
      <c r="L283" s="483"/>
      <c r="M283" s="483"/>
      <c r="N283" s="362">
        <v>0</v>
      </c>
      <c r="O283" s="477">
        <v>0</v>
      </c>
      <c r="P283" s="363">
        <v>0</v>
      </c>
      <c r="Q283" s="477">
        <v>0</v>
      </c>
      <c r="R283" s="294"/>
      <c r="S283" s="297"/>
      <c r="T283" s="274"/>
    </row>
    <row r="284" spans="1:20" s="275" customFormat="1" x14ac:dyDescent="0.3">
      <c r="A284" s="301"/>
      <c r="B284" s="362" t="s">
        <v>74</v>
      </c>
      <c r="C284" s="294"/>
      <c r="D284" s="483"/>
      <c r="E284" s="483"/>
      <c r="F284" s="483"/>
      <c r="G284" s="483"/>
      <c r="H284" s="483"/>
      <c r="I284" s="483"/>
      <c r="J284" s="483"/>
      <c r="K284" s="483"/>
      <c r="L284" s="483"/>
      <c r="M284" s="483"/>
      <c r="N284" s="362">
        <v>0</v>
      </c>
      <c r="O284" s="477">
        <v>0</v>
      </c>
      <c r="P284" s="363">
        <v>0</v>
      </c>
      <c r="Q284" s="477">
        <v>0</v>
      </c>
      <c r="R284" s="294"/>
      <c r="S284" s="297"/>
      <c r="T284" s="274"/>
    </row>
    <row r="285" spans="1:20" s="275" customFormat="1" x14ac:dyDescent="0.3">
      <c r="A285" s="301"/>
      <c r="B285" s="362" t="s">
        <v>119</v>
      </c>
      <c r="C285" s="294"/>
      <c r="D285" s="483"/>
      <c r="E285" s="483"/>
      <c r="F285" s="483"/>
      <c r="G285" s="483"/>
      <c r="H285" s="483"/>
      <c r="I285" s="483"/>
      <c r="J285" s="483"/>
      <c r="K285" s="483"/>
      <c r="L285" s="483"/>
      <c r="M285" s="483"/>
      <c r="N285" s="362">
        <v>0</v>
      </c>
      <c r="O285" s="477">
        <v>0</v>
      </c>
      <c r="P285" s="363">
        <v>0</v>
      </c>
      <c r="Q285" s="477">
        <v>0</v>
      </c>
      <c r="R285" s="294"/>
      <c r="S285" s="297"/>
      <c r="T285" s="274"/>
    </row>
    <row r="286" spans="1:20" s="275" customFormat="1" x14ac:dyDescent="0.3">
      <c r="A286" s="301"/>
      <c r="B286" s="362" t="s">
        <v>120</v>
      </c>
      <c r="C286" s="294"/>
      <c r="D286" s="483"/>
      <c r="E286" s="483"/>
      <c r="F286" s="483"/>
      <c r="G286" s="483"/>
      <c r="H286" s="483"/>
      <c r="I286" s="483"/>
      <c r="J286" s="483"/>
      <c r="K286" s="483"/>
      <c r="L286" s="483"/>
      <c r="M286" s="483"/>
      <c r="N286" s="362">
        <v>0</v>
      </c>
      <c r="O286" s="477">
        <v>0</v>
      </c>
      <c r="P286" s="363">
        <v>0</v>
      </c>
      <c r="Q286" s="477">
        <v>0</v>
      </c>
      <c r="R286" s="294"/>
      <c r="S286" s="297"/>
      <c r="T286" s="274"/>
    </row>
    <row r="287" spans="1:20" s="275" customFormat="1" x14ac:dyDescent="0.3">
      <c r="A287" s="301"/>
      <c r="B287" s="362" t="s">
        <v>121</v>
      </c>
      <c r="C287" s="294"/>
      <c r="D287" s="483"/>
      <c r="E287" s="483"/>
      <c r="F287" s="483"/>
      <c r="G287" s="483"/>
      <c r="H287" s="483"/>
      <c r="I287" s="483"/>
      <c r="J287" s="483"/>
      <c r="K287" s="483"/>
      <c r="L287" s="483"/>
      <c r="M287" s="483"/>
      <c r="N287" s="362">
        <v>0</v>
      </c>
      <c r="O287" s="477">
        <v>0</v>
      </c>
      <c r="P287" s="363">
        <v>0</v>
      </c>
      <c r="Q287" s="477">
        <v>0</v>
      </c>
      <c r="R287" s="294"/>
      <c r="S287" s="297"/>
      <c r="T287" s="274"/>
    </row>
    <row r="288" spans="1:20" s="275" customFormat="1" x14ac:dyDescent="0.3">
      <c r="A288" s="301"/>
      <c r="B288" s="362" t="s">
        <v>122</v>
      </c>
      <c r="C288" s="294"/>
      <c r="D288" s="483"/>
      <c r="E288" s="483"/>
      <c r="F288" s="483"/>
      <c r="G288" s="483"/>
      <c r="H288" s="483"/>
      <c r="I288" s="483"/>
      <c r="J288" s="483"/>
      <c r="K288" s="483"/>
      <c r="L288" s="483"/>
      <c r="M288" s="483"/>
      <c r="N288" s="362">
        <v>0</v>
      </c>
      <c r="O288" s="477">
        <v>0</v>
      </c>
      <c r="P288" s="363">
        <v>0</v>
      </c>
      <c r="Q288" s="477">
        <v>0</v>
      </c>
      <c r="R288" s="294"/>
      <c r="S288" s="297"/>
      <c r="T288" s="274"/>
    </row>
    <row r="289" spans="1:20" s="275" customFormat="1" x14ac:dyDescent="0.3">
      <c r="A289" s="301"/>
      <c r="B289" s="362" t="s">
        <v>123</v>
      </c>
      <c r="C289" s="294"/>
      <c r="D289" s="483"/>
      <c r="E289" s="483"/>
      <c r="F289" s="483"/>
      <c r="G289" s="483"/>
      <c r="H289" s="483"/>
      <c r="I289" s="483"/>
      <c r="J289" s="483"/>
      <c r="K289" s="483"/>
      <c r="L289" s="483"/>
      <c r="M289" s="483"/>
      <c r="N289" s="362">
        <v>0</v>
      </c>
      <c r="O289" s="477">
        <v>0</v>
      </c>
      <c r="P289" s="363">
        <v>0</v>
      </c>
      <c r="Q289" s="477">
        <v>0</v>
      </c>
      <c r="R289" s="294"/>
      <c r="S289" s="297"/>
      <c r="T289" s="274"/>
    </row>
    <row r="290" spans="1:20" s="275" customFormat="1" x14ac:dyDescent="0.3">
      <c r="A290" s="301"/>
      <c r="B290" s="362"/>
      <c r="C290" s="294"/>
      <c r="D290" s="483"/>
      <c r="E290" s="483"/>
      <c r="F290" s="483"/>
      <c r="G290" s="483"/>
      <c r="H290" s="483"/>
      <c r="I290" s="483"/>
      <c r="J290" s="483"/>
      <c r="K290" s="483"/>
      <c r="L290" s="483"/>
      <c r="M290" s="483"/>
      <c r="N290" s="362"/>
      <c r="O290" s="477"/>
      <c r="P290" s="363"/>
      <c r="Q290" s="477"/>
      <c r="R290" s="294"/>
      <c r="S290" s="297"/>
      <c r="T290" s="274"/>
    </row>
    <row r="291" spans="1:20" s="275" customFormat="1" x14ac:dyDescent="0.3">
      <c r="A291" s="301"/>
      <c r="B291" s="294" t="s">
        <v>94</v>
      </c>
      <c r="C291" s="294"/>
      <c r="D291" s="483"/>
      <c r="E291" s="483"/>
      <c r="F291" s="483"/>
      <c r="G291" s="483"/>
      <c r="H291" s="483"/>
      <c r="I291" s="483"/>
      <c r="J291" s="483"/>
      <c r="K291" s="483"/>
      <c r="L291" s="483"/>
      <c r="M291" s="483"/>
      <c r="N291" s="362">
        <f>SUM(N282:N289)</f>
        <v>0</v>
      </c>
      <c r="O291" s="477">
        <f>SUM(O282:O289)</f>
        <v>0</v>
      </c>
      <c r="P291" s="363">
        <f>SUM(P282:P289)</f>
        <v>0</v>
      </c>
      <c r="Q291" s="477">
        <f>SUM(Q282:Q289)</f>
        <v>0</v>
      </c>
      <c r="R291" s="294"/>
      <c r="S291" s="297"/>
      <c r="T291" s="274"/>
    </row>
    <row r="292" spans="1:20" s="275" customFormat="1" x14ac:dyDescent="0.3">
      <c r="A292" s="301"/>
      <c r="B292" s="294"/>
      <c r="C292" s="294"/>
      <c r="D292" s="483"/>
      <c r="E292" s="483"/>
      <c r="F292" s="483"/>
      <c r="G292" s="483"/>
      <c r="H292" s="483"/>
      <c r="I292" s="483"/>
      <c r="J292" s="483"/>
      <c r="K292" s="483"/>
      <c r="L292" s="483"/>
      <c r="M292" s="483"/>
      <c r="N292" s="362"/>
      <c r="O292" s="477"/>
      <c r="P292" s="363"/>
      <c r="Q292" s="477"/>
      <c r="R292" s="294"/>
      <c r="S292" s="297"/>
      <c r="T292" s="274"/>
    </row>
    <row r="293" spans="1:20" s="275" customFormat="1" x14ac:dyDescent="0.3">
      <c r="A293" s="301"/>
      <c r="B293" s="298" t="s">
        <v>177</v>
      </c>
      <c r="C293" s="294"/>
      <c r="D293" s="483"/>
      <c r="E293" s="483"/>
      <c r="F293" s="483"/>
      <c r="G293" s="483"/>
      <c r="H293" s="483"/>
      <c r="I293" s="483"/>
      <c r="J293" s="483"/>
      <c r="K293" s="483"/>
      <c r="L293" s="483"/>
      <c r="M293" s="483"/>
      <c r="N293" s="489">
        <f>N291+N279+N267</f>
        <v>792</v>
      </c>
      <c r="O293" s="477"/>
      <c r="P293" s="490">
        <f>+P291+P279+P267</f>
        <v>119760</v>
      </c>
      <c r="Q293" s="477"/>
      <c r="R293" s="294"/>
      <c r="S293" s="297"/>
      <c r="T293" s="274"/>
    </row>
    <row r="294" spans="1:20" s="275" customFormat="1" x14ac:dyDescent="0.3">
      <c r="A294" s="301"/>
      <c r="B294" s="298" t="s">
        <v>218</v>
      </c>
      <c r="C294" s="298"/>
      <c r="D294" s="491"/>
      <c r="E294" s="491"/>
      <c r="F294" s="491"/>
      <c r="G294" s="491"/>
      <c r="H294" s="491"/>
      <c r="I294" s="491"/>
      <c r="J294" s="491"/>
      <c r="K294" s="491"/>
      <c r="L294" s="491"/>
      <c r="M294" s="491"/>
      <c r="N294" s="489"/>
      <c r="O294" s="492"/>
      <c r="P294" s="490">
        <f>+R180</f>
        <v>0</v>
      </c>
      <c r="Q294" s="477"/>
      <c r="R294" s="294"/>
      <c r="S294" s="297"/>
      <c r="T294" s="274"/>
    </row>
    <row r="295" spans="1:20" s="275" customFormat="1" x14ac:dyDescent="0.3">
      <c r="A295" s="301"/>
      <c r="B295" s="298" t="s">
        <v>126</v>
      </c>
      <c r="C295" s="298"/>
      <c r="D295" s="491"/>
      <c r="E295" s="491"/>
      <c r="F295" s="491"/>
      <c r="G295" s="491"/>
      <c r="H295" s="491"/>
      <c r="I295" s="491"/>
      <c r="J295" s="491"/>
      <c r="K295" s="491"/>
      <c r="L295" s="491"/>
      <c r="M295" s="491"/>
      <c r="N295" s="489"/>
      <c r="O295" s="492"/>
      <c r="P295" s="490">
        <f>+P293+P294</f>
        <v>119760</v>
      </c>
      <c r="Q295" s="477"/>
      <c r="R295" s="294"/>
      <c r="S295" s="297"/>
      <c r="T295" s="274"/>
    </row>
    <row r="296" spans="1:20" s="275" customFormat="1" x14ac:dyDescent="0.3">
      <c r="A296" s="301"/>
      <c r="B296" s="298" t="s">
        <v>176</v>
      </c>
      <c r="C296" s="294"/>
      <c r="D296" s="483"/>
      <c r="E296" s="483"/>
      <c r="F296" s="483"/>
      <c r="G296" s="483"/>
      <c r="H296" s="483"/>
      <c r="I296" s="483"/>
      <c r="J296" s="483"/>
      <c r="K296" s="483"/>
      <c r="L296" s="483"/>
      <c r="M296" s="483"/>
      <c r="N296" s="489"/>
      <c r="O296" s="477"/>
      <c r="P296" s="490">
        <f>+R80</f>
        <v>119760</v>
      </c>
      <c r="Q296" s="477"/>
      <c r="R296" s="294"/>
      <c r="S296" s="297"/>
      <c r="T296" s="274"/>
    </row>
    <row r="297" spans="1:20" s="275" customFormat="1" x14ac:dyDescent="0.3">
      <c r="A297" s="301"/>
      <c r="B297" s="298"/>
      <c r="C297" s="294"/>
      <c r="D297" s="483"/>
      <c r="E297" s="483"/>
      <c r="F297" s="483"/>
      <c r="G297" s="483"/>
      <c r="H297" s="483"/>
      <c r="I297" s="483"/>
      <c r="J297" s="483"/>
      <c r="K297" s="483"/>
      <c r="L297" s="483"/>
      <c r="M297" s="483"/>
      <c r="N297" s="489"/>
      <c r="O297" s="477"/>
      <c r="P297" s="490"/>
      <c r="Q297" s="477"/>
      <c r="R297" s="294"/>
      <c r="S297" s="297"/>
      <c r="T297" s="274"/>
    </row>
    <row r="298" spans="1:20" s="275" customFormat="1" x14ac:dyDescent="0.3">
      <c r="A298" s="301"/>
      <c r="B298" s="298" t="s">
        <v>202</v>
      </c>
      <c r="C298" s="294"/>
      <c r="D298" s="483"/>
      <c r="E298" s="483"/>
      <c r="F298" s="483"/>
      <c r="G298" s="483"/>
      <c r="H298" s="483"/>
      <c r="I298" s="483"/>
      <c r="J298" s="483"/>
      <c r="K298" s="483"/>
      <c r="L298" s="483"/>
      <c r="M298" s="483"/>
      <c r="N298" s="489"/>
      <c r="O298" s="477"/>
      <c r="P298" s="493">
        <f>(L33+R147)/R33</f>
        <v>0.12530028245296651</v>
      </c>
      <c r="Q298" s="477"/>
      <c r="R298" s="294"/>
      <c r="S298" s="297"/>
      <c r="T298" s="274"/>
    </row>
    <row r="299" spans="1:20" s="275" customFormat="1" x14ac:dyDescent="0.3">
      <c r="A299" s="270"/>
      <c r="B299" s="272"/>
      <c r="C299" s="272"/>
      <c r="D299" s="494"/>
      <c r="E299" s="494"/>
      <c r="F299" s="494"/>
      <c r="G299" s="494"/>
      <c r="H299" s="494"/>
      <c r="I299" s="494"/>
      <c r="J299" s="494"/>
      <c r="K299" s="494"/>
      <c r="L299" s="494"/>
      <c r="M299" s="494"/>
      <c r="N299" s="494"/>
      <c r="O299" s="494"/>
      <c r="P299" s="495"/>
      <c r="Q299" s="494"/>
      <c r="R299" s="272"/>
      <c r="S299" s="273"/>
      <c r="T299" s="274"/>
    </row>
    <row r="300" spans="1:20" s="275" customFormat="1" x14ac:dyDescent="0.3">
      <c r="A300" s="270"/>
      <c r="B300" s="271" t="s">
        <v>75</v>
      </c>
      <c r="C300" s="272"/>
      <c r="D300" s="496" t="s">
        <v>79</v>
      </c>
      <c r="E300" s="271"/>
      <c r="F300" s="271" t="s">
        <v>80</v>
      </c>
      <c r="G300" s="272"/>
      <c r="H300" s="271"/>
      <c r="I300" s="272"/>
      <c r="J300" s="272"/>
      <c r="K300" s="272"/>
      <c r="L300" s="272"/>
      <c r="M300" s="272"/>
      <c r="N300" s="272"/>
      <c r="O300" s="272"/>
      <c r="P300" s="272"/>
      <c r="Q300" s="272"/>
      <c r="R300" s="272"/>
      <c r="S300" s="273"/>
      <c r="T300" s="274"/>
    </row>
    <row r="301" spans="1:20" s="275" customFormat="1" x14ac:dyDescent="0.3">
      <c r="A301" s="270"/>
      <c r="B301" s="272"/>
      <c r="C301" s="272"/>
      <c r="D301" s="272"/>
      <c r="E301" s="272"/>
      <c r="F301" s="272"/>
      <c r="G301" s="272"/>
      <c r="H301" s="272"/>
      <c r="I301" s="272"/>
      <c r="J301" s="272"/>
      <c r="K301" s="272"/>
      <c r="L301" s="272"/>
      <c r="M301" s="272"/>
      <c r="N301" s="272"/>
      <c r="O301" s="272"/>
      <c r="P301" s="272"/>
      <c r="Q301" s="272"/>
      <c r="R301" s="272"/>
      <c r="S301" s="273"/>
      <c r="T301" s="274"/>
    </row>
    <row r="302" spans="1:20" s="275" customFormat="1" x14ac:dyDescent="0.3">
      <c r="A302" s="270"/>
      <c r="B302" s="271" t="s">
        <v>193</v>
      </c>
      <c r="C302" s="271"/>
      <c r="D302" s="497" t="s">
        <v>147</v>
      </c>
      <c r="E302" s="271"/>
      <c r="F302" s="271" t="s">
        <v>290</v>
      </c>
      <c r="G302" s="271"/>
      <c r="H302" s="271"/>
      <c r="I302" s="272"/>
      <c r="J302" s="272"/>
      <c r="K302" s="272"/>
      <c r="L302" s="272"/>
      <c r="M302" s="272"/>
      <c r="N302" s="272"/>
      <c r="O302" s="272"/>
      <c r="P302" s="272"/>
      <c r="Q302" s="272"/>
      <c r="R302" s="272"/>
      <c r="S302" s="273"/>
      <c r="T302" s="274"/>
    </row>
    <row r="303" spans="1:20" s="275" customFormat="1" x14ac:dyDescent="0.3">
      <c r="A303" s="270"/>
      <c r="B303" s="271" t="s">
        <v>194</v>
      </c>
      <c r="C303" s="271"/>
      <c r="D303" s="497" t="s">
        <v>114</v>
      </c>
      <c r="E303" s="271"/>
      <c r="F303" s="271" t="s">
        <v>291</v>
      </c>
      <c r="G303" s="271"/>
      <c r="H303" s="271"/>
      <c r="I303" s="272"/>
      <c r="J303" s="272"/>
      <c r="K303" s="272"/>
      <c r="L303" s="272"/>
      <c r="M303" s="272"/>
      <c r="N303" s="272"/>
      <c r="O303" s="272"/>
      <c r="P303" s="272"/>
      <c r="Q303" s="272"/>
      <c r="R303" s="272"/>
      <c r="S303" s="273"/>
      <c r="T303" s="274"/>
    </row>
    <row r="304" spans="1:20" s="275" customFormat="1" x14ac:dyDescent="0.3">
      <c r="A304" s="270"/>
      <c r="B304" s="271"/>
      <c r="C304" s="271"/>
      <c r="D304" s="272"/>
      <c r="E304" s="272"/>
      <c r="F304" s="272"/>
      <c r="G304" s="272"/>
      <c r="H304" s="272"/>
      <c r="I304" s="272"/>
      <c r="J304" s="272"/>
      <c r="K304" s="272"/>
      <c r="L304" s="272"/>
      <c r="M304" s="272"/>
      <c r="N304" s="272"/>
      <c r="O304" s="272"/>
      <c r="P304" s="272"/>
      <c r="Q304" s="272"/>
      <c r="R304" s="272"/>
      <c r="S304" s="273"/>
      <c r="T304" s="274"/>
    </row>
    <row r="305" spans="1:20" s="275" customFormat="1" x14ac:dyDescent="0.3">
      <c r="A305" s="270"/>
      <c r="B305" s="271"/>
      <c r="C305" s="271"/>
      <c r="D305" s="272"/>
      <c r="E305" s="272"/>
      <c r="F305" s="272"/>
      <c r="G305" s="272"/>
      <c r="H305" s="272"/>
      <c r="I305" s="272"/>
      <c r="J305" s="272"/>
      <c r="K305" s="272"/>
      <c r="L305" s="272"/>
      <c r="M305" s="272"/>
      <c r="N305" s="272"/>
      <c r="O305" s="272"/>
      <c r="P305" s="272"/>
      <c r="Q305" s="272"/>
      <c r="R305" s="272"/>
      <c r="S305" s="273"/>
      <c r="T305" s="274"/>
    </row>
    <row r="306" spans="1:20" s="275" customFormat="1" ht="18.600000000000001" thickBot="1" x14ac:dyDescent="0.4">
      <c r="A306" s="270"/>
      <c r="B306" s="498" t="str">
        <f>B205</f>
        <v>PM23 INVESTOR REPORT QUARTER ENDING SEPTEMBER 2017</v>
      </c>
      <c r="C306" s="271"/>
      <c r="D306" s="272"/>
      <c r="E306" s="272"/>
      <c r="F306" s="272"/>
      <c r="G306" s="272"/>
      <c r="H306" s="272"/>
      <c r="I306" s="272"/>
      <c r="J306" s="272"/>
      <c r="K306" s="272"/>
      <c r="L306" s="272"/>
      <c r="M306" s="272"/>
      <c r="N306" s="272"/>
      <c r="O306" s="272"/>
      <c r="P306" s="272"/>
      <c r="Q306" s="272"/>
      <c r="R306" s="272"/>
      <c r="S306" s="388"/>
      <c r="T306" s="274"/>
    </row>
    <row r="307" spans="1:20" x14ac:dyDescent="0.3">
      <c r="A307" s="499"/>
      <c r="B307" s="499"/>
      <c r="C307" s="499"/>
      <c r="D307" s="499"/>
      <c r="E307" s="499"/>
      <c r="F307" s="499"/>
      <c r="G307" s="499"/>
      <c r="H307" s="499"/>
      <c r="I307" s="499"/>
      <c r="J307" s="499"/>
      <c r="K307" s="499"/>
      <c r="L307" s="499"/>
      <c r="M307" s="499"/>
      <c r="N307" s="499"/>
      <c r="O307" s="499"/>
      <c r="P307" s="499"/>
      <c r="Q307" s="499"/>
      <c r="R307" s="499"/>
      <c r="S307" s="499"/>
    </row>
  </sheetData>
  <hyperlinks>
    <hyperlink ref="N243" r:id="rId1" display="http://www.paragon-group.co.uk" xr:uid="{00000000-0004-0000-0800-000000000000}"/>
    <hyperlink ref="K9" r:id="rId2" display="http://www.paragon-group.co.uk" xr:uid="{00000000-0004-0000-08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85</vt:i4>
      </vt:variant>
    </vt:vector>
  </HeadingPairs>
  <TitlesOfParts>
    <vt:vector size="102" baseType="lpstr">
      <vt:lpstr>Sept 15</vt:lpstr>
      <vt:lpstr>Dec 15</vt:lpstr>
      <vt:lpstr>March 16</vt:lpstr>
      <vt:lpstr>June 16</vt:lpstr>
      <vt:lpstr>Sept 16</vt:lpstr>
      <vt:lpstr>Dec 16</vt:lpstr>
      <vt:lpstr>March 17</vt:lpstr>
      <vt:lpstr>June 17</vt:lpstr>
      <vt:lpstr>Sept 17</vt:lpstr>
      <vt:lpstr>Dec 17</vt:lpstr>
      <vt:lpstr>March 18</vt:lpstr>
      <vt:lpstr>June 18</vt:lpstr>
      <vt:lpstr>Sept 18</vt:lpstr>
      <vt:lpstr>Dec 18</vt:lpstr>
      <vt:lpstr>March 19</vt:lpstr>
      <vt:lpstr>June 19</vt:lpstr>
      <vt:lpstr>Sept 19</vt:lpstr>
      <vt:lpstr>'Dec 15'!_1PAGE_1</vt:lpstr>
      <vt:lpstr>'Dec 16'!_1PAGE_1</vt:lpstr>
      <vt:lpstr>'Dec 17'!_1PAGE_1</vt:lpstr>
      <vt:lpstr>'Dec 18'!_1PAGE_1</vt:lpstr>
      <vt:lpstr>'June 16'!_1PAGE_1</vt:lpstr>
      <vt:lpstr>'June 17'!_1PAGE_1</vt:lpstr>
      <vt:lpstr>'June 18'!_1PAGE_1</vt:lpstr>
      <vt:lpstr>'June 19'!_1PAGE_1</vt:lpstr>
      <vt:lpstr>'March 16'!_1PAGE_1</vt:lpstr>
      <vt:lpstr>'March 17'!_1PAGE_1</vt:lpstr>
      <vt:lpstr>'March 18'!_1PAGE_1</vt:lpstr>
      <vt:lpstr>'March 19'!_1PAGE_1</vt:lpstr>
      <vt:lpstr>'Sept 15'!_1PAGE_1</vt:lpstr>
      <vt:lpstr>'Sept 16'!_1PAGE_1</vt:lpstr>
      <vt:lpstr>'Sept 17'!_1PAGE_1</vt:lpstr>
      <vt:lpstr>'Sept 18'!_1PAGE_1</vt:lpstr>
      <vt:lpstr>'Sept 19'!_1PAGE_1</vt:lpstr>
      <vt:lpstr>'Dec 15'!_3PAGE_2</vt:lpstr>
      <vt:lpstr>'Dec 16'!_3PAGE_2</vt:lpstr>
      <vt:lpstr>'Dec 17'!_3PAGE_2</vt:lpstr>
      <vt:lpstr>'Dec 18'!_3PAGE_2</vt:lpstr>
      <vt:lpstr>'June 16'!_3PAGE_2</vt:lpstr>
      <vt:lpstr>'June 17'!_3PAGE_2</vt:lpstr>
      <vt:lpstr>'June 18'!_3PAGE_2</vt:lpstr>
      <vt:lpstr>'June 19'!_3PAGE_2</vt:lpstr>
      <vt:lpstr>'March 16'!_3PAGE_2</vt:lpstr>
      <vt:lpstr>'March 17'!_3PAGE_2</vt:lpstr>
      <vt:lpstr>'March 18'!_3PAGE_2</vt:lpstr>
      <vt:lpstr>'March 19'!_3PAGE_2</vt:lpstr>
      <vt:lpstr>'Sept 15'!_3PAGE_2</vt:lpstr>
      <vt:lpstr>'Sept 16'!_3PAGE_2</vt:lpstr>
      <vt:lpstr>'Sept 17'!_3PAGE_2</vt:lpstr>
      <vt:lpstr>'Sept 18'!_3PAGE_2</vt:lpstr>
      <vt:lpstr>'Sept 19'!_3PAGE_2</vt:lpstr>
      <vt:lpstr>'Dec 15'!_5PAGE_3</vt:lpstr>
      <vt:lpstr>'Dec 16'!_5PAGE_3</vt:lpstr>
      <vt:lpstr>'Dec 17'!_5PAGE_3</vt:lpstr>
      <vt:lpstr>'Dec 18'!_5PAGE_3</vt:lpstr>
      <vt:lpstr>'June 16'!_5PAGE_3</vt:lpstr>
      <vt:lpstr>'June 17'!_5PAGE_3</vt:lpstr>
      <vt:lpstr>'June 18'!_5PAGE_3</vt:lpstr>
      <vt:lpstr>'June 19'!_5PAGE_3</vt:lpstr>
      <vt:lpstr>'March 16'!_5PAGE_3</vt:lpstr>
      <vt:lpstr>'March 17'!_5PAGE_3</vt:lpstr>
      <vt:lpstr>'March 18'!_5PAGE_3</vt:lpstr>
      <vt:lpstr>'March 19'!_5PAGE_3</vt:lpstr>
      <vt:lpstr>'Sept 15'!_5PAGE_3</vt:lpstr>
      <vt:lpstr>'Sept 16'!_5PAGE_3</vt:lpstr>
      <vt:lpstr>'Sept 17'!_5PAGE_3</vt:lpstr>
      <vt:lpstr>'Sept 18'!_5PAGE_3</vt:lpstr>
      <vt:lpstr>'Sept 19'!_5PAGE_3</vt:lpstr>
      <vt:lpstr>'Dec 15'!_7PAGE_4</vt:lpstr>
      <vt:lpstr>'Dec 16'!_7PAGE_4</vt:lpstr>
      <vt:lpstr>'Dec 17'!_7PAGE_4</vt:lpstr>
      <vt:lpstr>'Dec 18'!_7PAGE_4</vt:lpstr>
      <vt:lpstr>'June 16'!_7PAGE_4</vt:lpstr>
      <vt:lpstr>'June 17'!_7PAGE_4</vt:lpstr>
      <vt:lpstr>'June 18'!_7PAGE_4</vt:lpstr>
      <vt:lpstr>'June 19'!_7PAGE_4</vt:lpstr>
      <vt:lpstr>'March 16'!_7PAGE_4</vt:lpstr>
      <vt:lpstr>'March 17'!_7PAGE_4</vt:lpstr>
      <vt:lpstr>'March 18'!_7PAGE_4</vt:lpstr>
      <vt:lpstr>'March 19'!_7PAGE_4</vt:lpstr>
      <vt:lpstr>'Sept 15'!_7PAGE_4</vt:lpstr>
      <vt:lpstr>'Sept 16'!_7PAGE_4</vt:lpstr>
      <vt:lpstr>'Sept 17'!_7PAGE_4</vt:lpstr>
      <vt:lpstr>'Sept 18'!_7PAGE_4</vt:lpstr>
      <vt:lpstr>'Sept 19'!_7PAGE_4</vt:lpstr>
      <vt:lpstr>'Dec 15'!Print_Area</vt:lpstr>
      <vt:lpstr>'Dec 16'!Print_Area</vt:lpstr>
      <vt:lpstr>'Dec 17'!Print_Area</vt:lpstr>
      <vt:lpstr>'Dec 18'!Print_Area</vt:lpstr>
      <vt:lpstr>'June 16'!Print_Area</vt:lpstr>
      <vt:lpstr>'June 17'!Print_Area</vt:lpstr>
      <vt:lpstr>'June 18'!Print_Area</vt:lpstr>
      <vt:lpstr>'June 19'!Print_Area</vt:lpstr>
      <vt:lpstr>'March 16'!Print_Area</vt:lpstr>
      <vt:lpstr>'March 17'!Print_Area</vt:lpstr>
      <vt:lpstr>'March 18'!Print_Area</vt:lpstr>
      <vt:lpstr>'March 19'!Print_Area</vt:lpstr>
      <vt:lpstr>'Sept 15'!Print_Area</vt:lpstr>
      <vt:lpstr>'Sept 16'!Print_Area</vt:lpstr>
      <vt:lpstr>'Sept 17'!Print_Area</vt:lpstr>
      <vt:lpstr>'Sept 18'!Print_Area</vt:lpstr>
      <vt:lpstr>'Sept 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2019-10-08T08:28:30Z</cp:lastPrinted>
  <dcterms:created xsi:type="dcterms:W3CDTF">2003-11-18T07:58:35Z</dcterms:created>
  <dcterms:modified xsi:type="dcterms:W3CDTF">2019-10-10T13:12:44Z</dcterms:modified>
</cp:coreProperties>
</file>