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N:\JPG\Investor Reporting\Paragon Finance\PM22\"/>
    </mc:Choice>
  </mc:AlternateContent>
  <bookViews>
    <workbookView xWindow="3420" yWindow="2460" windowWidth="19980" windowHeight="11628" firstSheet="7" activeTab="16"/>
  </bookViews>
  <sheets>
    <sheet name="May 15" sheetId="11" r:id="rId1"/>
    <sheet name="Aug 15" sheetId="12" r:id="rId2"/>
    <sheet name="Nov 15" sheetId="13" r:id="rId3"/>
    <sheet name="Feb 16" sheetId="14" r:id="rId4"/>
    <sheet name="May 16" sheetId="15" r:id="rId5"/>
    <sheet name="Aug 16" sheetId="16" r:id="rId6"/>
    <sheet name="Nov 16" sheetId="17" r:id="rId7"/>
    <sheet name="Feb 17" sheetId="18" r:id="rId8"/>
    <sheet name="May 17" sheetId="19" r:id="rId9"/>
    <sheet name="Aug 17" sheetId="20" r:id="rId10"/>
    <sheet name="Nov 17" sheetId="21" r:id="rId11"/>
    <sheet name="Feb 18" sheetId="22" r:id="rId12"/>
    <sheet name="May 18" sheetId="23" r:id="rId13"/>
    <sheet name="Aug 18" sheetId="24" r:id="rId14"/>
    <sheet name="Nov 18" sheetId="25" r:id="rId15"/>
    <sheet name="Feb 19" sheetId="26" r:id="rId16"/>
    <sheet name="May 19" sheetId="27" r:id="rId17"/>
  </sheets>
  <definedNames>
    <definedName name="_1PAGE_1" localSheetId="1">'Aug 15'!$A$1:$S$60</definedName>
    <definedName name="_1PAGE_1" localSheetId="5">'Aug 16'!$A$1:$S$60</definedName>
    <definedName name="_1PAGE_1" localSheetId="9">'Aug 17'!$A$1:$S$60</definedName>
    <definedName name="_1PAGE_1" localSheetId="13">'Aug 18'!$A$1:$S$60</definedName>
    <definedName name="_1PAGE_1" localSheetId="3">'Feb 16'!$A$1:$S$60</definedName>
    <definedName name="_1PAGE_1" localSheetId="7">'Feb 17'!$A$1:$S$60</definedName>
    <definedName name="_1PAGE_1" localSheetId="11">'Feb 18'!$A$1:$S$60</definedName>
    <definedName name="_1PAGE_1" localSheetId="15">'Feb 19'!$A$1:$S$60</definedName>
    <definedName name="_1PAGE_1" localSheetId="0">'May 15'!$A$1:$S$60</definedName>
    <definedName name="_1PAGE_1" localSheetId="4">'May 16'!$A$1:$S$60</definedName>
    <definedName name="_1PAGE_1" localSheetId="8">'May 17'!$A$1:$S$60</definedName>
    <definedName name="_1PAGE_1" localSheetId="12">'May 18'!$A$1:$S$60</definedName>
    <definedName name="_1PAGE_1" localSheetId="16">'May 19'!$A$1:$S$60</definedName>
    <definedName name="_1PAGE_1" localSheetId="2">'Nov 15'!$A$1:$S$60</definedName>
    <definedName name="_1PAGE_1" localSheetId="6">'Nov 16'!$A$1:$S$60</definedName>
    <definedName name="_1PAGE_1" localSheetId="10">'Nov 17'!$A$1:$S$60</definedName>
    <definedName name="_1PAGE_1" localSheetId="14">'Nov 18'!$A$1:$S$60</definedName>
    <definedName name="_2PAGE_1" localSheetId="1">#REF!</definedName>
    <definedName name="_2PAGE_1" localSheetId="5">#REF!</definedName>
    <definedName name="_2PAGE_1" localSheetId="9">#REF!</definedName>
    <definedName name="_2PAGE_1" localSheetId="13">#REF!</definedName>
    <definedName name="_2PAGE_1" localSheetId="3">#REF!</definedName>
    <definedName name="_2PAGE_1" localSheetId="7">#REF!</definedName>
    <definedName name="_2PAGE_1" localSheetId="11">#REF!</definedName>
    <definedName name="_2PAGE_1" localSheetId="15">#REF!</definedName>
    <definedName name="_2PAGE_1" localSheetId="4">#REF!</definedName>
    <definedName name="_2PAGE_1" localSheetId="8">#REF!</definedName>
    <definedName name="_2PAGE_1" localSheetId="12">#REF!</definedName>
    <definedName name="_2PAGE_1" localSheetId="16">#REF!</definedName>
    <definedName name="_2PAGE_1" localSheetId="2">#REF!</definedName>
    <definedName name="_2PAGE_1" localSheetId="6">#REF!</definedName>
    <definedName name="_2PAGE_1" localSheetId="10">#REF!</definedName>
    <definedName name="_2PAGE_1" localSheetId="14">#REF!</definedName>
    <definedName name="_2PAGE_1">#REF!</definedName>
    <definedName name="_3PAGE_2" localSheetId="1">'Aug 15'!$A$61:$S$132</definedName>
    <definedName name="_3PAGE_2" localSheetId="5">'Aug 16'!$A$61:$S$132</definedName>
    <definedName name="_3PAGE_2" localSheetId="9">'Aug 17'!$A$61:$S$132</definedName>
    <definedName name="_3PAGE_2" localSheetId="13">'Aug 18'!$A$61:$S$132</definedName>
    <definedName name="_3PAGE_2" localSheetId="3">'Feb 16'!$A$61:$S$132</definedName>
    <definedName name="_3PAGE_2" localSheetId="7">'Feb 17'!$A$61:$S$132</definedName>
    <definedName name="_3PAGE_2" localSheetId="11">'Feb 18'!$A$61:$S$132</definedName>
    <definedName name="_3PAGE_2" localSheetId="15">'Feb 19'!$A$61:$S$132</definedName>
    <definedName name="_3PAGE_2" localSheetId="0">'May 15'!$A$61:$S$133</definedName>
    <definedName name="_3PAGE_2" localSheetId="4">'May 16'!$A$61:$S$132</definedName>
    <definedName name="_3PAGE_2" localSheetId="8">'May 17'!$A$61:$S$132</definedName>
    <definedName name="_3PAGE_2" localSheetId="12">'May 18'!$A$61:$S$132</definedName>
    <definedName name="_3PAGE_2" localSheetId="16">'May 19'!$A$61:$S$133</definedName>
    <definedName name="_3PAGE_2" localSheetId="2">'Nov 15'!$A$61:$S$132</definedName>
    <definedName name="_3PAGE_2" localSheetId="6">'Nov 16'!$A$61:$S$132</definedName>
    <definedName name="_3PAGE_2" localSheetId="10">'Nov 17'!$A$61:$S$132</definedName>
    <definedName name="_3PAGE_2" localSheetId="14">'Nov 18'!$A$61:$S$132</definedName>
    <definedName name="_4PAGE_2" localSheetId="1">#REF!</definedName>
    <definedName name="_4PAGE_2" localSheetId="5">#REF!</definedName>
    <definedName name="_4PAGE_2" localSheetId="9">#REF!</definedName>
    <definedName name="_4PAGE_2" localSheetId="13">#REF!</definedName>
    <definedName name="_4PAGE_2" localSheetId="3">#REF!</definedName>
    <definedName name="_4PAGE_2" localSheetId="7">#REF!</definedName>
    <definedName name="_4PAGE_2" localSheetId="11">#REF!</definedName>
    <definedName name="_4PAGE_2" localSheetId="15">#REF!</definedName>
    <definedName name="_4PAGE_2" localSheetId="4">#REF!</definedName>
    <definedName name="_4PAGE_2" localSheetId="8">#REF!</definedName>
    <definedName name="_4PAGE_2" localSheetId="12">#REF!</definedName>
    <definedName name="_4PAGE_2" localSheetId="16">#REF!</definedName>
    <definedName name="_4PAGE_2" localSheetId="2">#REF!</definedName>
    <definedName name="_4PAGE_2" localSheetId="6">#REF!</definedName>
    <definedName name="_4PAGE_2" localSheetId="10">#REF!</definedName>
    <definedName name="_4PAGE_2" localSheetId="14">#REF!</definedName>
    <definedName name="_4PAGE_2">#REF!</definedName>
    <definedName name="_5PAGE_3" localSheetId="1">'Aug 15'!$A$133:$S$204</definedName>
    <definedName name="_5PAGE_3" localSheetId="5">'Aug 16'!$A$133:$S$205</definedName>
    <definedName name="_5PAGE_3" localSheetId="9">'Aug 17'!$A$133:$S$205</definedName>
    <definedName name="_5PAGE_3" localSheetId="13">'Aug 18'!$A$133:$S$205</definedName>
    <definedName name="_5PAGE_3" localSheetId="3">'Feb 16'!$A$133:$S$204</definedName>
    <definedName name="_5PAGE_3" localSheetId="7">'Feb 17'!$A$133:$S$205</definedName>
    <definedName name="_5PAGE_3" localSheetId="11">'Feb 18'!$A$133:$S$205</definedName>
    <definedName name="_5PAGE_3" localSheetId="15">'Feb 19'!$A$133:$S$205</definedName>
    <definedName name="_5PAGE_3" localSheetId="0">'May 15'!$A$134:$S$205</definedName>
    <definedName name="_5PAGE_3" localSheetId="4">'May 16'!$A$133:$S$204</definedName>
    <definedName name="_5PAGE_3" localSheetId="8">'May 17'!$A$133:$S$205</definedName>
    <definedName name="_5PAGE_3" localSheetId="12">'May 18'!$A$133:$S$205</definedName>
    <definedName name="_5PAGE_3" localSheetId="16">'May 19'!$A$134:$S$207</definedName>
    <definedName name="_5PAGE_3" localSheetId="2">'Nov 15'!$A$133:$S$204</definedName>
    <definedName name="_5PAGE_3" localSheetId="6">'Nov 16'!$A$133:$S$205</definedName>
    <definedName name="_5PAGE_3" localSheetId="10">'Nov 17'!$A$133:$S$205</definedName>
    <definedName name="_5PAGE_3" localSheetId="14">'Nov 18'!$A$133:$S$205</definedName>
    <definedName name="_6PAGE_3" localSheetId="1">#REF!</definedName>
    <definedName name="_6PAGE_3" localSheetId="5">#REF!</definedName>
    <definedName name="_6PAGE_3" localSheetId="9">#REF!</definedName>
    <definedName name="_6PAGE_3" localSheetId="13">#REF!</definedName>
    <definedName name="_6PAGE_3" localSheetId="3">#REF!</definedName>
    <definedName name="_6PAGE_3" localSheetId="7">#REF!</definedName>
    <definedName name="_6PAGE_3" localSheetId="11">#REF!</definedName>
    <definedName name="_6PAGE_3" localSheetId="15">#REF!</definedName>
    <definedName name="_6PAGE_3" localSheetId="4">#REF!</definedName>
    <definedName name="_6PAGE_3" localSheetId="8">#REF!</definedName>
    <definedName name="_6PAGE_3" localSheetId="12">#REF!</definedName>
    <definedName name="_6PAGE_3" localSheetId="16">#REF!</definedName>
    <definedName name="_6PAGE_3" localSheetId="2">#REF!</definedName>
    <definedName name="_6PAGE_3" localSheetId="6">#REF!</definedName>
    <definedName name="_6PAGE_3" localSheetId="10">#REF!</definedName>
    <definedName name="_6PAGE_3" localSheetId="14">#REF!</definedName>
    <definedName name="_6PAGE_3">#REF!</definedName>
    <definedName name="_7PAGE_4" localSheetId="1">'Aug 15'!$A$205:$S$306</definedName>
    <definedName name="_7PAGE_4" localSheetId="5">'Aug 16'!$A$206:$S$307</definedName>
    <definedName name="_7PAGE_4" localSheetId="9">'Aug 17'!$A$206:$S$306</definedName>
    <definedName name="_7PAGE_4" localSheetId="13">'Aug 18'!$A$206:$S$306</definedName>
    <definedName name="_7PAGE_4" localSheetId="3">'Feb 16'!$A$205:$S$306</definedName>
    <definedName name="_7PAGE_4" localSheetId="7">'Feb 17'!$A$206:$S$306</definedName>
    <definedName name="_7PAGE_4" localSheetId="11">'Feb 18'!$A$206:$S$306</definedName>
    <definedName name="_7PAGE_4" localSheetId="15">'Feb 19'!$A$206:$S$306</definedName>
    <definedName name="_7PAGE_4" localSheetId="0">'May 15'!$A$206:$S$307</definedName>
    <definedName name="_7PAGE_4" localSheetId="4">'May 16'!$A$205:$S$306</definedName>
    <definedName name="_7PAGE_4" localSheetId="8">'May 17'!$A$206:$S$306</definedName>
    <definedName name="_7PAGE_4" localSheetId="12">'May 18'!$A$206:$S$306</definedName>
    <definedName name="_7PAGE_4" localSheetId="16">'May 19'!$A$208:$S$308</definedName>
    <definedName name="_7PAGE_4" localSheetId="2">'Nov 15'!$A$205:$S$306</definedName>
    <definedName name="_7PAGE_4" localSheetId="6">'Nov 16'!$A$206:$S$307</definedName>
    <definedName name="_7PAGE_4" localSheetId="10">'Nov 17'!$A$206:$S$306</definedName>
    <definedName name="_7PAGE_4" localSheetId="14">'Nov 18'!$A$206:$S$306</definedName>
    <definedName name="_8PAGE_4" localSheetId="1">#REF!</definedName>
    <definedName name="_8PAGE_4" localSheetId="5">#REF!</definedName>
    <definedName name="_8PAGE_4" localSheetId="9">#REF!</definedName>
    <definedName name="_8PAGE_4" localSheetId="13">#REF!</definedName>
    <definedName name="_8PAGE_4" localSheetId="3">#REF!</definedName>
    <definedName name="_8PAGE_4" localSheetId="7">#REF!</definedName>
    <definedName name="_8PAGE_4" localSheetId="11">#REF!</definedName>
    <definedName name="_8PAGE_4" localSheetId="15">#REF!</definedName>
    <definedName name="_8PAGE_4" localSheetId="4">#REF!</definedName>
    <definedName name="_8PAGE_4" localSheetId="8">#REF!</definedName>
    <definedName name="_8PAGE_4" localSheetId="12">#REF!</definedName>
    <definedName name="_8PAGE_4" localSheetId="16">#REF!</definedName>
    <definedName name="_8PAGE_4" localSheetId="2">#REF!</definedName>
    <definedName name="_8PAGE_4" localSheetId="6">#REF!</definedName>
    <definedName name="_8PAGE_4" localSheetId="10">#REF!</definedName>
    <definedName name="_8PAGE_4" localSheetId="14">#REF!</definedName>
    <definedName name="_8PAGE_4">#REF!</definedName>
    <definedName name="_xlnm.Print_Area" localSheetId="1">'Aug 15'!$A$1:$S$307</definedName>
    <definedName name="_xlnm.Print_Area" localSheetId="5">'Aug 16'!$A$1:$S$308</definedName>
    <definedName name="_xlnm.Print_Area" localSheetId="9">'Aug 17'!$A$1:$S$307</definedName>
    <definedName name="_xlnm.Print_Area" localSheetId="13">'Aug 18'!$A$1:$S$307</definedName>
    <definedName name="_xlnm.Print_Area" localSheetId="3">'Feb 16'!$A$1:$S$307</definedName>
    <definedName name="_xlnm.Print_Area" localSheetId="7">'Feb 17'!$A$1:$S$307</definedName>
    <definedName name="_xlnm.Print_Area" localSheetId="11">'Feb 18'!$A$1:$S$307</definedName>
    <definedName name="_xlnm.Print_Area" localSheetId="15">'Feb 19'!$A$1:$S$307</definedName>
    <definedName name="_xlnm.Print_Area" localSheetId="0">'May 15'!$A$1:$S$308</definedName>
    <definedName name="_xlnm.Print_Area" localSheetId="4">'May 16'!$A$1:$S$307</definedName>
    <definedName name="_xlnm.Print_Area" localSheetId="8">'May 17'!$A$1:$S$307</definedName>
    <definedName name="_xlnm.Print_Area" localSheetId="12">'May 18'!$A$1:$S$307</definedName>
    <definedName name="_xlnm.Print_Area" localSheetId="16">'May 19'!$A$1:$S$309</definedName>
    <definedName name="_xlnm.Print_Area" localSheetId="2">'Nov 15'!$A$1:$S$307</definedName>
    <definedName name="_xlnm.Print_Area" localSheetId="6">'Nov 16'!$A$1:$S$308</definedName>
    <definedName name="_xlnm.Print_Area" localSheetId="10">'Nov 17'!$A$1:$S$307</definedName>
    <definedName name="_xlnm.Print_Area" localSheetId="14">'Nov 18'!$A$1:$S$307</definedName>
    <definedName name="_xlnm.Print_Area">#REF!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129" i="27" l="1"/>
  <c r="P87" i="27" l="1"/>
  <c r="R97" i="27" l="1"/>
  <c r="R98" i="27" l="1"/>
  <c r="R172" i="27" l="1"/>
  <c r="R119" i="27"/>
  <c r="R105" i="27"/>
  <c r="R88" i="27"/>
  <c r="P64" i="27"/>
  <c r="L41" i="27"/>
  <c r="J41" i="27"/>
  <c r="H41" i="27"/>
  <c r="F41" i="27"/>
  <c r="Q293" i="27" l="1"/>
  <c r="P293" i="27"/>
  <c r="O293" i="27"/>
  <c r="N293" i="27"/>
  <c r="O230" i="27" s="1"/>
  <c r="Q281" i="27"/>
  <c r="P281" i="27"/>
  <c r="O281" i="27"/>
  <c r="N281" i="27"/>
  <c r="P269" i="27"/>
  <c r="N269" i="27"/>
  <c r="P255" i="27"/>
  <c r="N255" i="27"/>
  <c r="P254" i="27"/>
  <c r="N254" i="27"/>
  <c r="P253" i="27"/>
  <c r="N253" i="27"/>
  <c r="P252" i="27"/>
  <c r="N252" i="27"/>
  <c r="P251" i="27"/>
  <c r="N251" i="27"/>
  <c r="P250" i="27"/>
  <c r="N250" i="27"/>
  <c r="P249" i="27"/>
  <c r="N249" i="27"/>
  <c r="P248" i="27"/>
  <c r="N248" i="27"/>
  <c r="P234" i="27"/>
  <c r="P232" i="27"/>
  <c r="P230" i="27"/>
  <c r="P229" i="27"/>
  <c r="O229" i="27"/>
  <c r="P212" i="27"/>
  <c r="R190" i="27"/>
  <c r="R181" i="27"/>
  <c r="R174" i="27"/>
  <c r="R168" i="27"/>
  <c r="R166" i="27"/>
  <c r="R167" i="27" s="1"/>
  <c r="R165" i="27"/>
  <c r="R158" i="27"/>
  <c r="R154" i="27"/>
  <c r="R153" i="27"/>
  <c r="B133" i="27"/>
  <c r="B207" i="27" s="1"/>
  <c r="B308" i="27" s="1"/>
  <c r="P123" i="27"/>
  <c r="P122" i="27"/>
  <c r="P129" i="27" s="1"/>
  <c r="P112" i="27"/>
  <c r="P99" i="27"/>
  <c r="R101" i="27"/>
  <c r="P85" i="27"/>
  <c r="J83" i="27"/>
  <c r="R78" i="27"/>
  <c r="R182" i="27" s="1"/>
  <c r="P296" i="27" s="1"/>
  <c r="N67" i="27"/>
  <c r="L67" i="27"/>
  <c r="J67" i="27"/>
  <c r="H67" i="27"/>
  <c r="H80" i="27" s="1"/>
  <c r="F67" i="27"/>
  <c r="F80" i="27" s="1"/>
  <c r="R65" i="27"/>
  <c r="N54" i="27"/>
  <c r="N53" i="27"/>
  <c r="R47" i="27"/>
  <c r="L40" i="27"/>
  <c r="J40" i="27"/>
  <c r="H40" i="27"/>
  <c r="F40" i="27"/>
  <c r="L33" i="27"/>
  <c r="J33" i="27"/>
  <c r="H33" i="27"/>
  <c r="F33" i="27"/>
  <c r="D33" i="27"/>
  <c r="L32" i="27"/>
  <c r="J32" i="27"/>
  <c r="H32" i="27"/>
  <c r="F32" i="27"/>
  <c r="D32" i="27"/>
  <c r="R31" i="27"/>
  <c r="O188" i="27" s="1"/>
  <c r="L30" i="27"/>
  <c r="J30" i="27"/>
  <c r="H30" i="27"/>
  <c r="F30" i="27"/>
  <c r="D30" i="27"/>
  <c r="L29" i="27"/>
  <c r="J29" i="27"/>
  <c r="H29" i="27"/>
  <c r="F29" i="27"/>
  <c r="D29" i="27"/>
  <c r="R140" i="27" l="1"/>
  <c r="R139" i="27" s="1"/>
  <c r="R149" i="27" s="1"/>
  <c r="R32" i="27"/>
  <c r="R40" i="27" s="1"/>
  <c r="P216" i="27" s="1"/>
  <c r="P257" i="27"/>
  <c r="P295" i="27"/>
  <c r="P297" i="27" s="1"/>
  <c r="N295" i="27"/>
  <c r="P98" i="27"/>
  <c r="P101" i="27" s="1"/>
  <c r="P130" i="27" s="1"/>
  <c r="R120" i="27"/>
  <c r="R130" i="27" s="1"/>
  <c r="P67" i="27"/>
  <c r="P224" i="27"/>
  <c r="R64" i="27"/>
  <c r="R67" i="27" s="1"/>
  <c r="P231" i="27"/>
  <c r="N257" i="27"/>
  <c r="R33" i="27"/>
  <c r="R47" i="26"/>
  <c r="Q269" i="27" l="1"/>
  <c r="O269" i="27"/>
  <c r="R180" i="27"/>
  <c r="R183" i="27" s="1"/>
  <c r="R80" i="27"/>
  <c r="Q257" i="27"/>
  <c r="R118" i="26"/>
  <c r="R104" i="26"/>
  <c r="R88" i="26"/>
  <c r="P64" i="26"/>
  <c r="P87" i="26" s="1"/>
  <c r="L41" i="26"/>
  <c r="J41" i="26"/>
  <c r="H41" i="26"/>
  <c r="F41" i="26"/>
  <c r="P298" i="27" l="1"/>
  <c r="R184" i="27"/>
  <c r="O257" i="27"/>
  <c r="Q291" i="26"/>
  <c r="P291" i="26"/>
  <c r="O291" i="26"/>
  <c r="N291" i="26"/>
  <c r="O228" i="26" s="1"/>
  <c r="Q279" i="26"/>
  <c r="P279" i="26"/>
  <c r="O279" i="26"/>
  <c r="N279" i="26"/>
  <c r="O227" i="26" s="1"/>
  <c r="P267" i="26"/>
  <c r="P293" i="26" s="1"/>
  <c r="N267" i="26"/>
  <c r="O265" i="26"/>
  <c r="Q264" i="26"/>
  <c r="O264" i="26"/>
  <c r="O263" i="26"/>
  <c r="Q262" i="26"/>
  <c r="O262" i="26"/>
  <c r="O261" i="26"/>
  <c r="Q260" i="26"/>
  <c r="O260" i="26"/>
  <c r="O259" i="26"/>
  <c r="Q258" i="26"/>
  <c r="O258" i="26"/>
  <c r="P253" i="26"/>
  <c r="N253" i="26"/>
  <c r="P252" i="26"/>
  <c r="N252" i="26"/>
  <c r="P251" i="26"/>
  <c r="N251" i="26"/>
  <c r="P250" i="26"/>
  <c r="N250" i="26"/>
  <c r="P249" i="26"/>
  <c r="N249" i="26"/>
  <c r="P248" i="26"/>
  <c r="N248" i="26"/>
  <c r="P247" i="26"/>
  <c r="N247" i="26"/>
  <c r="P246" i="26"/>
  <c r="P255" i="26" s="1"/>
  <c r="N246" i="26"/>
  <c r="P232" i="26"/>
  <c r="P230" i="26"/>
  <c r="P228" i="26"/>
  <c r="P227" i="26"/>
  <c r="P210" i="26"/>
  <c r="R188" i="26"/>
  <c r="R179" i="26"/>
  <c r="R172" i="26"/>
  <c r="R166" i="26"/>
  <c r="R164" i="26"/>
  <c r="R163" i="26"/>
  <c r="R156" i="26"/>
  <c r="R151" i="26"/>
  <c r="R152" i="26" s="1"/>
  <c r="B132" i="26"/>
  <c r="B205" i="26" s="1"/>
  <c r="B306" i="26" s="1"/>
  <c r="P122" i="26"/>
  <c r="P121" i="26"/>
  <c r="P111" i="26"/>
  <c r="P98" i="26"/>
  <c r="R97" i="26"/>
  <c r="R100" i="26" s="1"/>
  <c r="P85" i="26"/>
  <c r="J83" i="26"/>
  <c r="R78" i="26"/>
  <c r="R180" i="26" s="1"/>
  <c r="P294" i="26" s="1"/>
  <c r="N67" i="26"/>
  <c r="L67" i="26"/>
  <c r="J67" i="26"/>
  <c r="H67" i="26"/>
  <c r="H80" i="26" s="1"/>
  <c r="F67" i="26"/>
  <c r="F80" i="26" s="1"/>
  <c r="R65" i="26"/>
  <c r="P229" i="26"/>
  <c r="N54" i="26"/>
  <c r="N53" i="26"/>
  <c r="L40" i="26"/>
  <c r="J40" i="26"/>
  <c r="H40" i="26"/>
  <c r="F40" i="26"/>
  <c r="L33" i="26"/>
  <c r="J33" i="26"/>
  <c r="H33" i="26"/>
  <c r="F33" i="26"/>
  <c r="D33" i="26"/>
  <c r="L32" i="26"/>
  <c r="J32" i="26"/>
  <c r="H32" i="26"/>
  <c r="F32" i="26"/>
  <c r="D32" i="26"/>
  <c r="R31" i="26"/>
  <c r="O186" i="26" s="1"/>
  <c r="L30" i="26"/>
  <c r="J30" i="26"/>
  <c r="H30" i="26"/>
  <c r="F30" i="26"/>
  <c r="D30" i="26"/>
  <c r="L29" i="26"/>
  <c r="J29" i="26"/>
  <c r="H29" i="26"/>
  <c r="F29" i="26"/>
  <c r="D29" i="26"/>
  <c r="Q259" i="26" l="1"/>
  <c r="Q261" i="26"/>
  <c r="Q263" i="26"/>
  <c r="Q265" i="26"/>
  <c r="R165" i="26"/>
  <c r="N255" i="26"/>
  <c r="O267" i="26"/>
  <c r="R32" i="26"/>
  <c r="R40" i="26" s="1"/>
  <c r="P213" i="26" s="1"/>
  <c r="P214" i="26" s="1"/>
  <c r="R139" i="26"/>
  <c r="R138" i="26" s="1"/>
  <c r="R147" i="26" s="1"/>
  <c r="R48" i="26"/>
  <c r="P128" i="26"/>
  <c r="Q267" i="26"/>
  <c r="P295" i="26"/>
  <c r="R33" i="26"/>
  <c r="N293" i="26"/>
  <c r="P215" i="26"/>
  <c r="R198" i="26"/>
  <c r="R194" i="26"/>
  <c r="R200" i="26"/>
  <c r="R196" i="26"/>
  <c r="R119" i="26"/>
  <c r="R128" i="26" s="1"/>
  <c r="R129" i="26" s="1"/>
  <c r="Q253" i="26"/>
  <c r="Q252" i="26"/>
  <c r="Q251" i="26"/>
  <c r="Q250" i="26"/>
  <c r="Q249" i="26"/>
  <c r="Q248" i="26"/>
  <c r="Q247" i="26"/>
  <c r="Q246" i="26"/>
  <c r="O253" i="26"/>
  <c r="O252" i="26"/>
  <c r="O251" i="26"/>
  <c r="O250" i="26"/>
  <c r="O249" i="26"/>
  <c r="O248" i="26"/>
  <c r="O247" i="26"/>
  <c r="O246" i="26"/>
  <c r="P67" i="26"/>
  <c r="P97" i="26"/>
  <c r="P100" i="26" s="1"/>
  <c r="P129" i="26" s="1"/>
  <c r="P222" i="26"/>
  <c r="R64" i="26"/>
  <c r="R67" i="26" s="1"/>
  <c r="R118" i="25"/>
  <c r="P298" i="26" l="1"/>
  <c r="R178" i="26"/>
  <c r="R181" i="26" s="1"/>
  <c r="R80" i="26"/>
  <c r="O255" i="26"/>
  <c r="Q255" i="26"/>
  <c r="R104" i="25"/>
  <c r="R88" i="25"/>
  <c r="P64" i="25"/>
  <c r="P87" i="25" s="1"/>
  <c r="P296" i="26" l="1"/>
  <c r="R182" i="26"/>
  <c r="L41" i="25"/>
  <c r="J41" i="25"/>
  <c r="H41" i="25"/>
  <c r="F41" i="25"/>
  <c r="R166" i="25" l="1"/>
  <c r="P267" i="25" l="1"/>
  <c r="N267" i="25"/>
  <c r="Q291" i="25" l="1"/>
  <c r="P291" i="25"/>
  <c r="O291" i="25"/>
  <c r="N291" i="25"/>
  <c r="O228" i="25" s="1"/>
  <c r="Q279" i="25"/>
  <c r="P279" i="25"/>
  <c r="P227" i="25" s="1"/>
  <c r="O279" i="25"/>
  <c r="N279" i="25"/>
  <c r="O227" i="25" s="1"/>
  <c r="Q265" i="25"/>
  <c r="O265" i="25"/>
  <c r="Q261" i="25"/>
  <c r="Q259" i="25"/>
  <c r="Q258" i="25"/>
  <c r="P253" i="25"/>
  <c r="N253" i="25"/>
  <c r="P252" i="25"/>
  <c r="N252" i="25"/>
  <c r="P251" i="25"/>
  <c r="N251" i="25"/>
  <c r="P250" i="25"/>
  <c r="N250" i="25"/>
  <c r="P249" i="25"/>
  <c r="N249" i="25"/>
  <c r="P248" i="25"/>
  <c r="N248" i="25"/>
  <c r="P247" i="25"/>
  <c r="N247" i="25"/>
  <c r="P246" i="25"/>
  <c r="N246" i="25"/>
  <c r="P232" i="25"/>
  <c r="P230" i="25"/>
  <c r="P229" i="25"/>
  <c r="P222" i="25"/>
  <c r="P210" i="25"/>
  <c r="R188" i="25"/>
  <c r="R179" i="25"/>
  <c r="R172" i="25"/>
  <c r="R164" i="25"/>
  <c r="R163" i="25"/>
  <c r="R156" i="25"/>
  <c r="R151" i="25"/>
  <c r="R152" i="25" s="1"/>
  <c r="B132" i="25"/>
  <c r="B205" i="25" s="1"/>
  <c r="B306" i="25" s="1"/>
  <c r="P122" i="25"/>
  <c r="P121" i="25"/>
  <c r="P111" i="25"/>
  <c r="P98" i="25"/>
  <c r="R97" i="25"/>
  <c r="R100" i="25" s="1"/>
  <c r="P85" i="25"/>
  <c r="J83" i="25"/>
  <c r="R78" i="25"/>
  <c r="R180" i="25" s="1"/>
  <c r="P294" i="25" s="1"/>
  <c r="P67" i="25"/>
  <c r="N67" i="25"/>
  <c r="L67" i="25"/>
  <c r="J67" i="25"/>
  <c r="H67" i="25"/>
  <c r="H80" i="25" s="1"/>
  <c r="F67" i="25"/>
  <c r="F80" i="25" s="1"/>
  <c r="R65" i="25"/>
  <c r="R64" i="25"/>
  <c r="N54" i="25"/>
  <c r="N53" i="25"/>
  <c r="R47" i="25"/>
  <c r="L40" i="25"/>
  <c r="J40" i="25"/>
  <c r="H40" i="25"/>
  <c r="F40" i="25"/>
  <c r="L33" i="25"/>
  <c r="J33" i="25"/>
  <c r="H33" i="25"/>
  <c r="F33" i="25"/>
  <c r="D33" i="25"/>
  <c r="L32" i="25"/>
  <c r="J32" i="25"/>
  <c r="H32" i="25"/>
  <c r="F32" i="25"/>
  <c r="D32" i="25"/>
  <c r="R31" i="25"/>
  <c r="O186" i="25" s="1"/>
  <c r="L30" i="25"/>
  <c r="J30" i="25"/>
  <c r="H30" i="25"/>
  <c r="F30" i="25"/>
  <c r="D30" i="25"/>
  <c r="L29" i="25"/>
  <c r="J29" i="25"/>
  <c r="H29" i="25"/>
  <c r="F29" i="25"/>
  <c r="D29" i="25"/>
  <c r="P128" i="25" l="1"/>
  <c r="Q262" i="25"/>
  <c r="P255" i="25"/>
  <c r="Q249" i="25" s="1"/>
  <c r="Q263" i="25"/>
  <c r="Q260" i="25"/>
  <c r="Q264" i="25"/>
  <c r="P293" i="25"/>
  <c r="P295" i="25" s="1"/>
  <c r="N255" i="25"/>
  <c r="O247" i="25" s="1"/>
  <c r="O260" i="25"/>
  <c r="P228" i="25"/>
  <c r="O258" i="25"/>
  <c r="O262" i="25"/>
  <c r="O264" i="25"/>
  <c r="P97" i="25"/>
  <c r="P100" i="25" s="1"/>
  <c r="R32" i="25"/>
  <c r="R40" i="25" s="1"/>
  <c r="P213" i="25" s="1"/>
  <c r="P214" i="25" s="1"/>
  <c r="O259" i="25"/>
  <c r="O261" i="25"/>
  <c r="O263" i="25"/>
  <c r="N293" i="25"/>
  <c r="R139" i="25"/>
  <c r="R138" i="25" s="1"/>
  <c r="R147" i="25" s="1"/>
  <c r="R67" i="25"/>
  <c r="R178" i="25" s="1"/>
  <c r="R181" i="25" s="1"/>
  <c r="R165" i="25"/>
  <c r="P215" i="25"/>
  <c r="R198" i="25"/>
  <c r="R194" i="25"/>
  <c r="R200" i="25"/>
  <c r="R196" i="25"/>
  <c r="R119" i="25"/>
  <c r="R128" i="25" s="1"/>
  <c r="R129" i="25" s="1"/>
  <c r="Q250" i="25"/>
  <c r="Q251" i="25"/>
  <c r="R48" i="25"/>
  <c r="Q246" i="25"/>
  <c r="R33" i="25"/>
  <c r="P87" i="24"/>
  <c r="Q253" i="25" l="1"/>
  <c r="Q248" i="25"/>
  <c r="Q252" i="25"/>
  <c r="Q247" i="25"/>
  <c r="O250" i="25"/>
  <c r="O252" i="25"/>
  <c r="O248" i="25"/>
  <c r="Q267" i="25"/>
  <c r="O246" i="25"/>
  <c r="O253" i="25"/>
  <c r="O251" i="25"/>
  <c r="O249" i="25"/>
  <c r="P129" i="25"/>
  <c r="R80" i="25"/>
  <c r="R182" i="25" s="1"/>
  <c r="P298" i="25"/>
  <c r="Q255" i="25"/>
  <c r="O267" i="25"/>
  <c r="R118" i="24"/>
  <c r="R104" i="24"/>
  <c r="R88" i="24"/>
  <c r="L41" i="24"/>
  <c r="J41" i="24"/>
  <c r="H41" i="24"/>
  <c r="F41" i="24"/>
  <c r="O255" i="25" l="1"/>
  <c r="P296" i="25"/>
  <c r="Q291" i="24"/>
  <c r="P291" i="24"/>
  <c r="P228" i="24" s="1"/>
  <c r="O291" i="24"/>
  <c r="N291" i="24"/>
  <c r="Q279" i="24"/>
  <c r="P279" i="24"/>
  <c r="P227" i="24" s="1"/>
  <c r="O279" i="24"/>
  <c r="N279" i="24"/>
  <c r="P267" i="24"/>
  <c r="Q258" i="24" s="1"/>
  <c r="N267" i="24"/>
  <c r="O265" i="24" s="1"/>
  <c r="P253" i="24"/>
  <c r="N253" i="24"/>
  <c r="P252" i="24"/>
  <c r="N252" i="24"/>
  <c r="P251" i="24"/>
  <c r="N251" i="24"/>
  <c r="P250" i="24"/>
  <c r="N250" i="24"/>
  <c r="P249" i="24"/>
  <c r="N249" i="24"/>
  <c r="P248" i="24"/>
  <c r="N248" i="24"/>
  <c r="P247" i="24"/>
  <c r="N247" i="24"/>
  <c r="P246" i="24"/>
  <c r="N246" i="24"/>
  <c r="P232" i="24"/>
  <c r="P230" i="24"/>
  <c r="O228" i="24"/>
  <c r="O227" i="24"/>
  <c r="P210" i="24"/>
  <c r="R188" i="24"/>
  <c r="R179" i="24"/>
  <c r="R172" i="24"/>
  <c r="R166" i="24"/>
  <c r="R164" i="24"/>
  <c r="R163" i="24"/>
  <c r="R156" i="24"/>
  <c r="R151" i="24"/>
  <c r="R152" i="24" s="1"/>
  <c r="B132" i="24"/>
  <c r="B205" i="24" s="1"/>
  <c r="B306" i="24" s="1"/>
  <c r="P122" i="24"/>
  <c r="P121" i="24"/>
  <c r="P111" i="24"/>
  <c r="P98" i="24"/>
  <c r="R97" i="24"/>
  <c r="R100" i="24" s="1"/>
  <c r="P85" i="24"/>
  <c r="J83" i="24"/>
  <c r="R78" i="24"/>
  <c r="R180" i="24" s="1"/>
  <c r="P294" i="24" s="1"/>
  <c r="N67" i="24"/>
  <c r="L67" i="24"/>
  <c r="J67" i="24"/>
  <c r="H67" i="24"/>
  <c r="H80" i="24" s="1"/>
  <c r="F67" i="24"/>
  <c r="F80" i="24" s="1"/>
  <c r="R65" i="24"/>
  <c r="P229" i="24"/>
  <c r="N54" i="24"/>
  <c r="N53" i="24"/>
  <c r="R47" i="24"/>
  <c r="L40" i="24"/>
  <c r="J40" i="24"/>
  <c r="H40" i="24"/>
  <c r="F40" i="24"/>
  <c r="L33" i="24"/>
  <c r="J33" i="24"/>
  <c r="H33" i="24"/>
  <c r="F33" i="24"/>
  <c r="D33" i="24"/>
  <c r="L32" i="24"/>
  <c r="J32" i="24"/>
  <c r="H32" i="24"/>
  <c r="F32" i="24"/>
  <c r="D32" i="24"/>
  <c r="R31" i="24"/>
  <c r="O186" i="24" s="1"/>
  <c r="L30" i="24"/>
  <c r="J30" i="24"/>
  <c r="H30" i="24"/>
  <c r="F30" i="24"/>
  <c r="D30" i="24"/>
  <c r="L29" i="24"/>
  <c r="J29" i="24"/>
  <c r="H29" i="24"/>
  <c r="F29" i="24"/>
  <c r="D29" i="24"/>
  <c r="O259" i="24" l="1"/>
  <c r="O261" i="24"/>
  <c r="O258" i="24"/>
  <c r="Q262" i="24"/>
  <c r="O264" i="24"/>
  <c r="O260" i="24"/>
  <c r="O262" i="24"/>
  <c r="O263" i="24"/>
  <c r="O267" i="24" s="1"/>
  <c r="P293" i="24"/>
  <c r="Q260" i="24"/>
  <c r="Q264" i="24"/>
  <c r="R32" i="24"/>
  <c r="R40" i="24" s="1"/>
  <c r="P213" i="24" s="1"/>
  <c r="P214" i="24" s="1"/>
  <c r="R165" i="24"/>
  <c r="Q259" i="24"/>
  <c r="Q261" i="24"/>
  <c r="Q263" i="24"/>
  <c r="Q265" i="24"/>
  <c r="P128" i="24"/>
  <c r="R139" i="24"/>
  <c r="R138" i="24" s="1"/>
  <c r="R147" i="24" s="1"/>
  <c r="P298" i="24" s="1"/>
  <c r="R33" i="24"/>
  <c r="P255" i="24"/>
  <c r="Q252" i="24" s="1"/>
  <c r="N255" i="24"/>
  <c r="O252" i="24" s="1"/>
  <c r="N293" i="24"/>
  <c r="P215" i="24"/>
  <c r="R198" i="24"/>
  <c r="R194" i="24"/>
  <c r="R200" i="24"/>
  <c r="R196" i="24"/>
  <c r="R119" i="24"/>
  <c r="R128" i="24" s="1"/>
  <c r="R129" i="24" s="1"/>
  <c r="P295" i="24"/>
  <c r="P67" i="24"/>
  <c r="P97" i="24"/>
  <c r="P100" i="24" s="1"/>
  <c r="P222" i="24"/>
  <c r="R48" i="24"/>
  <c r="R64" i="24"/>
  <c r="R67" i="24" s="1"/>
  <c r="O247" i="24" l="1"/>
  <c r="O249" i="24"/>
  <c r="Q247" i="24"/>
  <c r="Q246" i="24"/>
  <c r="Q253" i="24"/>
  <c r="Q267" i="24"/>
  <c r="P129" i="24"/>
  <c r="O251" i="24"/>
  <c r="O246" i="24"/>
  <c r="O253" i="24"/>
  <c r="Q248" i="24"/>
  <c r="Q249" i="24"/>
  <c r="Q251" i="24"/>
  <c r="Q250" i="24"/>
  <c r="O248" i="24"/>
  <c r="O250" i="24"/>
  <c r="R178" i="24"/>
  <c r="R181" i="24" s="1"/>
  <c r="R80" i="24"/>
  <c r="R118" i="23"/>
  <c r="R104" i="23"/>
  <c r="R88" i="23"/>
  <c r="P64" i="23"/>
  <c r="P87" i="23" s="1"/>
  <c r="L41" i="23"/>
  <c r="J41" i="23"/>
  <c r="H41" i="23"/>
  <c r="F41" i="23"/>
  <c r="Q255" i="24" l="1"/>
  <c r="O255" i="24"/>
  <c r="P296" i="24"/>
  <c r="R182" i="24"/>
  <c r="Q291" i="23"/>
  <c r="P291" i="23"/>
  <c r="O291" i="23"/>
  <c r="N291" i="23"/>
  <c r="O228" i="23" s="1"/>
  <c r="Q279" i="23"/>
  <c r="P279" i="23"/>
  <c r="P227" i="23" s="1"/>
  <c r="O279" i="23"/>
  <c r="N279" i="23"/>
  <c r="O227" i="23" s="1"/>
  <c r="P267" i="23"/>
  <c r="Q265" i="23" s="1"/>
  <c r="N267" i="23"/>
  <c r="O265" i="23" s="1"/>
  <c r="P253" i="23"/>
  <c r="N253" i="23"/>
  <c r="P252" i="23"/>
  <c r="N252" i="23"/>
  <c r="P251" i="23"/>
  <c r="N251" i="23"/>
  <c r="P250" i="23"/>
  <c r="N250" i="23"/>
  <c r="P249" i="23"/>
  <c r="N249" i="23"/>
  <c r="P248" i="23"/>
  <c r="N248" i="23"/>
  <c r="P247" i="23"/>
  <c r="N247" i="23"/>
  <c r="P246" i="23"/>
  <c r="N246" i="23"/>
  <c r="P232" i="23"/>
  <c r="P230" i="23"/>
  <c r="P229" i="23"/>
  <c r="P210" i="23"/>
  <c r="R188" i="23"/>
  <c r="R179" i="23"/>
  <c r="R172" i="23"/>
  <c r="R166" i="23"/>
  <c r="R164" i="23"/>
  <c r="R163" i="23"/>
  <c r="R165" i="23" s="1"/>
  <c r="R156" i="23"/>
  <c r="R151" i="23"/>
  <c r="R152" i="23" s="1"/>
  <c r="B132" i="23"/>
  <c r="B205" i="23" s="1"/>
  <c r="B306" i="23" s="1"/>
  <c r="P122" i="23"/>
  <c r="P121" i="23"/>
  <c r="P111" i="23"/>
  <c r="P98" i="23"/>
  <c r="R97" i="23"/>
  <c r="R100" i="23" s="1"/>
  <c r="P85" i="23"/>
  <c r="J83" i="23"/>
  <c r="R78" i="23"/>
  <c r="R180" i="23" s="1"/>
  <c r="P294" i="23" s="1"/>
  <c r="N67" i="23"/>
  <c r="J67" i="23"/>
  <c r="H67" i="23"/>
  <c r="H80" i="23" s="1"/>
  <c r="F67" i="23"/>
  <c r="F80" i="23" s="1"/>
  <c r="R65" i="23"/>
  <c r="P67" i="23"/>
  <c r="P222" i="23"/>
  <c r="N54" i="23"/>
  <c r="N53" i="23"/>
  <c r="R47" i="23"/>
  <c r="L40" i="23"/>
  <c r="J40" i="23"/>
  <c r="H40" i="23"/>
  <c r="F40" i="23"/>
  <c r="L33" i="23"/>
  <c r="J33" i="23"/>
  <c r="H33" i="23"/>
  <c r="F33" i="23"/>
  <c r="D33" i="23"/>
  <c r="L32" i="23"/>
  <c r="J32" i="23"/>
  <c r="H32" i="23"/>
  <c r="F32" i="23"/>
  <c r="D32" i="23"/>
  <c r="R31" i="23"/>
  <c r="O186" i="23" s="1"/>
  <c r="L30" i="23"/>
  <c r="J30" i="23"/>
  <c r="H30" i="23"/>
  <c r="F30" i="23"/>
  <c r="D30" i="23"/>
  <c r="L29" i="23"/>
  <c r="J29" i="23"/>
  <c r="H29" i="23"/>
  <c r="F29" i="23"/>
  <c r="D29" i="23"/>
  <c r="P128" i="23" l="1"/>
  <c r="O258" i="23"/>
  <c r="R32" i="23"/>
  <c r="R40" i="23" s="1"/>
  <c r="P213" i="23" s="1"/>
  <c r="P214" i="23" s="1"/>
  <c r="O262" i="23"/>
  <c r="P293" i="23"/>
  <c r="P295" i="23" s="1"/>
  <c r="O260" i="23"/>
  <c r="O264" i="23"/>
  <c r="O259" i="23"/>
  <c r="O261" i="23"/>
  <c r="O263" i="23"/>
  <c r="N293" i="23"/>
  <c r="R139" i="23"/>
  <c r="R138" i="23" s="1"/>
  <c r="R147" i="23" s="1"/>
  <c r="R33" i="23"/>
  <c r="R48" i="23"/>
  <c r="R200" i="23"/>
  <c r="R196" i="23"/>
  <c r="R119" i="23"/>
  <c r="R128" i="23" s="1"/>
  <c r="R129" i="23" s="1"/>
  <c r="P215" i="23"/>
  <c r="R198" i="23"/>
  <c r="R194" i="23"/>
  <c r="R64" i="23"/>
  <c r="R67" i="23" s="1"/>
  <c r="N255" i="23"/>
  <c r="O247" i="23" s="1"/>
  <c r="P255" i="23"/>
  <c r="Q247" i="23" s="1"/>
  <c r="L67" i="23"/>
  <c r="P97" i="23"/>
  <c r="P100" i="23" s="1"/>
  <c r="P129" i="23" s="1"/>
  <c r="P228" i="23"/>
  <c r="Q258" i="23"/>
  <c r="Q259" i="23"/>
  <c r="Q260" i="23"/>
  <c r="Q261" i="23"/>
  <c r="Q262" i="23"/>
  <c r="Q263" i="23"/>
  <c r="Q264" i="23"/>
  <c r="P298" i="23" l="1"/>
  <c r="O267" i="23"/>
  <c r="Q252" i="23"/>
  <c r="Q248" i="23"/>
  <c r="Q250" i="23"/>
  <c r="Q246" i="23"/>
  <c r="R178" i="23"/>
  <c r="R181" i="23" s="1"/>
  <c r="R80" i="23"/>
  <c r="O252" i="23"/>
  <c r="O250" i="23"/>
  <c r="O248" i="23"/>
  <c r="O246" i="23"/>
  <c r="Q267" i="23"/>
  <c r="Q253" i="23"/>
  <c r="Q251" i="23"/>
  <c r="Q249" i="23"/>
  <c r="O253" i="23"/>
  <c r="O251" i="23"/>
  <c r="O249" i="23"/>
  <c r="R118" i="22"/>
  <c r="R104" i="22"/>
  <c r="R88" i="22"/>
  <c r="L64" i="22"/>
  <c r="P64" i="22"/>
  <c r="L41" i="22"/>
  <c r="J41" i="22"/>
  <c r="H41" i="22"/>
  <c r="F41" i="22"/>
  <c r="P87" i="22" l="1"/>
  <c r="Q255" i="23"/>
  <c r="P296" i="23"/>
  <c r="R182" i="23"/>
  <c r="O255" i="23"/>
  <c r="Q291" i="22"/>
  <c r="P291" i="22"/>
  <c r="O291" i="22"/>
  <c r="N291" i="22"/>
  <c r="Q279" i="22"/>
  <c r="P279" i="22"/>
  <c r="P227" i="22" s="1"/>
  <c r="O279" i="22"/>
  <c r="N279" i="22"/>
  <c r="P267" i="22"/>
  <c r="Q265" i="22" s="1"/>
  <c r="N267" i="22"/>
  <c r="O264" i="22" s="1"/>
  <c r="O265" i="22"/>
  <c r="Q258" i="22"/>
  <c r="O258" i="22"/>
  <c r="P253" i="22"/>
  <c r="N253" i="22"/>
  <c r="P252" i="22"/>
  <c r="N252" i="22"/>
  <c r="P251" i="22"/>
  <c r="N251" i="22"/>
  <c r="P250" i="22"/>
  <c r="N250" i="22"/>
  <c r="P249" i="22"/>
  <c r="N249" i="22"/>
  <c r="P248" i="22"/>
  <c r="N248" i="22"/>
  <c r="P247" i="22"/>
  <c r="N247" i="22"/>
  <c r="P246" i="22"/>
  <c r="P255" i="22" s="1"/>
  <c r="N246" i="22"/>
  <c r="P232" i="22"/>
  <c r="P230" i="22"/>
  <c r="P228" i="22"/>
  <c r="O228" i="22"/>
  <c r="O227" i="22"/>
  <c r="P210" i="22"/>
  <c r="R188" i="22"/>
  <c r="R179" i="22"/>
  <c r="R172" i="22"/>
  <c r="R166" i="22"/>
  <c r="R164" i="22"/>
  <c r="R163" i="22"/>
  <c r="R156" i="22"/>
  <c r="R151" i="22"/>
  <c r="R152" i="22" s="1"/>
  <c r="B132" i="22"/>
  <c r="B205" i="22" s="1"/>
  <c r="B306" i="22" s="1"/>
  <c r="P122" i="22"/>
  <c r="P121" i="22"/>
  <c r="P111" i="22"/>
  <c r="P98" i="22"/>
  <c r="R97" i="22"/>
  <c r="R100" i="22" s="1"/>
  <c r="P85" i="22"/>
  <c r="J83" i="22"/>
  <c r="R78" i="22"/>
  <c r="R180" i="22" s="1"/>
  <c r="P294" i="22" s="1"/>
  <c r="N67" i="22"/>
  <c r="L67" i="22"/>
  <c r="J67" i="22"/>
  <c r="H67" i="22"/>
  <c r="H80" i="22" s="1"/>
  <c r="F67" i="22"/>
  <c r="F80" i="22" s="1"/>
  <c r="R65" i="22"/>
  <c r="P229" i="22"/>
  <c r="N54" i="22"/>
  <c r="N53" i="22"/>
  <c r="R47" i="22"/>
  <c r="L40" i="22"/>
  <c r="J40" i="22"/>
  <c r="H40" i="22"/>
  <c r="F40" i="22"/>
  <c r="L33" i="22"/>
  <c r="J33" i="22"/>
  <c r="H33" i="22"/>
  <c r="F33" i="22"/>
  <c r="D33" i="22"/>
  <c r="L32" i="22"/>
  <c r="J32" i="22"/>
  <c r="H32" i="22"/>
  <c r="F32" i="22"/>
  <c r="D32" i="22"/>
  <c r="R31" i="22"/>
  <c r="O186" i="22" s="1"/>
  <c r="L30" i="22"/>
  <c r="J30" i="22"/>
  <c r="H30" i="22"/>
  <c r="F30" i="22"/>
  <c r="D30" i="22"/>
  <c r="L29" i="22"/>
  <c r="J29" i="22"/>
  <c r="H29" i="22"/>
  <c r="F29" i="22"/>
  <c r="D29" i="22"/>
  <c r="O261" i="22" l="1"/>
  <c r="O262" i="22"/>
  <c r="O259" i="22"/>
  <c r="O263" i="22"/>
  <c r="R165" i="22"/>
  <c r="O260" i="22"/>
  <c r="Q262" i="22"/>
  <c r="Q260" i="22"/>
  <c r="Q264" i="22"/>
  <c r="R32" i="22"/>
  <c r="R139" i="22"/>
  <c r="R138" i="22" s="1"/>
  <c r="R147" i="22" s="1"/>
  <c r="Q259" i="22"/>
  <c r="Q261" i="22"/>
  <c r="Q263" i="22"/>
  <c r="P128" i="22"/>
  <c r="R40" i="22"/>
  <c r="P213" i="22" s="1"/>
  <c r="P214" i="22" s="1"/>
  <c r="R33" i="22"/>
  <c r="P293" i="22"/>
  <c r="P295" i="22" s="1"/>
  <c r="N255" i="22"/>
  <c r="O253" i="22" s="1"/>
  <c r="N293" i="22"/>
  <c r="P215" i="22"/>
  <c r="R198" i="22"/>
  <c r="R194" i="22"/>
  <c r="R200" i="22"/>
  <c r="R196" i="22"/>
  <c r="R119" i="22"/>
  <c r="R128" i="22" s="1"/>
  <c r="R129" i="22" s="1"/>
  <c r="Q253" i="22"/>
  <c r="Q252" i="22"/>
  <c r="Q251" i="22"/>
  <c r="Q250" i="22"/>
  <c r="Q249" i="22"/>
  <c r="Q248" i="22"/>
  <c r="Q247" i="22"/>
  <c r="Q246" i="22"/>
  <c r="P67" i="22"/>
  <c r="P97" i="22"/>
  <c r="P100" i="22" s="1"/>
  <c r="P222" i="22"/>
  <c r="R48" i="22"/>
  <c r="R64" i="22"/>
  <c r="R67" i="22" s="1"/>
  <c r="O247" i="22" l="1"/>
  <c r="O267" i="22"/>
  <c r="O252" i="22"/>
  <c r="P298" i="22"/>
  <c r="O250" i="22"/>
  <c r="Q255" i="22"/>
  <c r="O246" i="22"/>
  <c r="O248" i="22"/>
  <c r="O251" i="22"/>
  <c r="Q267" i="22"/>
  <c r="O249" i="22"/>
  <c r="P129" i="22"/>
  <c r="R178" i="22"/>
  <c r="R181" i="22" s="1"/>
  <c r="R80" i="22"/>
  <c r="R118" i="21"/>
  <c r="R104" i="21"/>
  <c r="R88" i="21"/>
  <c r="P64" i="21"/>
  <c r="L41" i="21"/>
  <c r="J41" i="21"/>
  <c r="H41" i="21"/>
  <c r="F41" i="21"/>
  <c r="O255" i="22" l="1"/>
  <c r="P296" i="22"/>
  <c r="R182" i="22"/>
  <c r="Q291" i="21"/>
  <c r="P291" i="21"/>
  <c r="P228" i="21" s="1"/>
  <c r="O291" i="21"/>
  <c r="N291" i="21"/>
  <c r="O228" i="21" s="1"/>
  <c r="Q279" i="21"/>
  <c r="P279" i="21"/>
  <c r="P227" i="21" s="1"/>
  <c r="O279" i="21"/>
  <c r="N279" i="21"/>
  <c r="O227" i="21" s="1"/>
  <c r="P267" i="21"/>
  <c r="Q265" i="21" s="1"/>
  <c r="N267" i="21"/>
  <c r="O265" i="21" s="1"/>
  <c r="Q259" i="21"/>
  <c r="P253" i="21"/>
  <c r="N253" i="21"/>
  <c r="P252" i="21"/>
  <c r="N252" i="21"/>
  <c r="P251" i="21"/>
  <c r="N251" i="21"/>
  <c r="P250" i="21"/>
  <c r="N250" i="21"/>
  <c r="P249" i="21"/>
  <c r="N249" i="21"/>
  <c r="P248" i="21"/>
  <c r="N248" i="21"/>
  <c r="P247" i="21"/>
  <c r="N247" i="21"/>
  <c r="P246" i="21"/>
  <c r="P255" i="21" s="1"/>
  <c r="N246" i="21"/>
  <c r="P232" i="21"/>
  <c r="P230" i="21"/>
  <c r="P210" i="21"/>
  <c r="R188" i="21"/>
  <c r="R179" i="21"/>
  <c r="R172" i="21"/>
  <c r="R166" i="21"/>
  <c r="R164" i="21"/>
  <c r="R163" i="21"/>
  <c r="R156" i="21"/>
  <c r="R151" i="21"/>
  <c r="R152" i="21" s="1"/>
  <c r="B132" i="21"/>
  <c r="B205" i="21" s="1"/>
  <c r="B306" i="21" s="1"/>
  <c r="P122" i="21"/>
  <c r="P121" i="21"/>
  <c r="P111" i="21"/>
  <c r="P98" i="21"/>
  <c r="R97" i="21"/>
  <c r="R100" i="21" s="1"/>
  <c r="P85" i="21"/>
  <c r="J83" i="21"/>
  <c r="R78" i="21"/>
  <c r="R180" i="21" s="1"/>
  <c r="P294" i="21" s="1"/>
  <c r="N67" i="21"/>
  <c r="L67" i="21"/>
  <c r="J67" i="21"/>
  <c r="H67" i="21"/>
  <c r="H80" i="21" s="1"/>
  <c r="F67" i="21"/>
  <c r="F80" i="21" s="1"/>
  <c r="R65" i="21"/>
  <c r="P229" i="21"/>
  <c r="N54" i="21"/>
  <c r="N53" i="21"/>
  <c r="R47" i="21"/>
  <c r="L40" i="21"/>
  <c r="J40" i="21"/>
  <c r="H40" i="21"/>
  <c r="F40" i="21"/>
  <c r="L33" i="21"/>
  <c r="J33" i="21"/>
  <c r="H33" i="21"/>
  <c r="F33" i="21"/>
  <c r="D33" i="21"/>
  <c r="L32" i="21"/>
  <c r="J32" i="21"/>
  <c r="H32" i="21"/>
  <c r="F32" i="21"/>
  <c r="D32" i="21"/>
  <c r="R31" i="21"/>
  <c r="O186" i="21" s="1"/>
  <c r="L30" i="21"/>
  <c r="J30" i="21"/>
  <c r="H30" i="21"/>
  <c r="F30" i="21"/>
  <c r="D30" i="21"/>
  <c r="L29" i="21"/>
  <c r="J29" i="21"/>
  <c r="H29" i="21"/>
  <c r="F29" i="21"/>
  <c r="D29" i="21"/>
  <c r="Q263" i="21" l="1"/>
  <c r="Q262" i="21"/>
  <c r="Q258" i="21"/>
  <c r="Q260" i="21"/>
  <c r="Q264" i="21"/>
  <c r="N255" i="21"/>
  <c r="O251" i="21" s="1"/>
  <c r="O258" i="21"/>
  <c r="Q261" i="21"/>
  <c r="O262" i="21"/>
  <c r="R33" i="21"/>
  <c r="P128" i="21"/>
  <c r="Q267" i="21"/>
  <c r="O260" i="21"/>
  <c r="O264" i="21"/>
  <c r="P293" i="21"/>
  <c r="P295" i="21" s="1"/>
  <c r="O259" i="21"/>
  <c r="O261" i="21"/>
  <c r="O263" i="21"/>
  <c r="R165" i="21"/>
  <c r="R139" i="21"/>
  <c r="R138" i="21" s="1"/>
  <c r="R147" i="21" s="1"/>
  <c r="R32" i="21"/>
  <c r="R40" i="21" s="1"/>
  <c r="P213" i="21" s="1"/>
  <c r="P214" i="21" s="1"/>
  <c r="N293" i="21"/>
  <c r="O253" i="21"/>
  <c r="O252" i="21"/>
  <c r="O250" i="21"/>
  <c r="O249" i="21"/>
  <c r="O248" i="21"/>
  <c r="O246" i="21"/>
  <c r="P215" i="21"/>
  <c r="R198" i="21"/>
  <c r="R194" i="21"/>
  <c r="R200" i="21"/>
  <c r="R196" i="21"/>
  <c r="R119" i="21"/>
  <c r="Q253" i="21"/>
  <c r="Q252" i="21"/>
  <c r="Q251" i="21"/>
  <c r="Q250" i="21"/>
  <c r="Q249" i="21"/>
  <c r="Q248" i="21"/>
  <c r="Q247" i="21"/>
  <c r="Q246" i="21"/>
  <c r="P67" i="21"/>
  <c r="P87" i="21"/>
  <c r="P97" i="21" s="1"/>
  <c r="P100" i="21" s="1"/>
  <c r="P222" i="21"/>
  <c r="R48" i="21"/>
  <c r="R64" i="21"/>
  <c r="R67" i="21" s="1"/>
  <c r="P129" i="21" l="1"/>
  <c r="O247" i="21"/>
  <c r="P298" i="21"/>
  <c r="O267" i="21"/>
  <c r="Q255" i="21"/>
  <c r="O255" i="21"/>
  <c r="R128" i="21"/>
  <c r="R129" i="21" s="1"/>
  <c r="R178" i="21"/>
  <c r="R181" i="21" s="1"/>
  <c r="R80" i="21"/>
  <c r="P296" i="21" l="1"/>
  <c r="R182" i="21"/>
  <c r="R118" i="20"/>
  <c r="R104" i="20"/>
  <c r="R88" i="20"/>
  <c r="P64" i="20"/>
  <c r="P87" i="20" s="1"/>
  <c r="L41" i="20"/>
  <c r="J41" i="20"/>
  <c r="H41" i="20"/>
  <c r="F41" i="20"/>
  <c r="Q291" i="20" l="1"/>
  <c r="P291" i="20"/>
  <c r="P228" i="20" s="1"/>
  <c r="O291" i="20"/>
  <c r="N291" i="20"/>
  <c r="O228" i="20" s="1"/>
  <c r="Q279" i="20"/>
  <c r="P279" i="20"/>
  <c r="O279" i="20"/>
  <c r="N279" i="20"/>
  <c r="O227" i="20" s="1"/>
  <c r="P267" i="20"/>
  <c r="N267" i="20"/>
  <c r="O265" i="20" s="1"/>
  <c r="Q262" i="20"/>
  <c r="Q260" i="20"/>
  <c r="Q258" i="20"/>
  <c r="P253" i="20"/>
  <c r="N253" i="20"/>
  <c r="P252" i="20"/>
  <c r="N252" i="20"/>
  <c r="P251" i="20"/>
  <c r="N251" i="20"/>
  <c r="P250" i="20"/>
  <c r="N250" i="20"/>
  <c r="P249" i="20"/>
  <c r="N249" i="20"/>
  <c r="P248" i="20"/>
  <c r="N248" i="20"/>
  <c r="P247" i="20"/>
  <c r="N247" i="20"/>
  <c r="P246" i="20"/>
  <c r="P255" i="20" s="1"/>
  <c r="N246" i="20"/>
  <c r="P232" i="20"/>
  <c r="P230" i="20"/>
  <c r="P227" i="20"/>
  <c r="P210" i="20"/>
  <c r="R188" i="20"/>
  <c r="R179" i="20"/>
  <c r="R172" i="20"/>
  <c r="R166" i="20"/>
  <c r="R164" i="20"/>
  <c r="R163" i="20"/>
  <c r="R156" i="20"/>
  <c r="R151" i="20"/>
  <c r="R152" i="20" s="1"/>
  <c r="B132" i="20"/>
  <c r="B205" i="20" s="1"/>
  <c r="B306" i="20" s="1"/>
  <c r="P122" i="20"/>
  <c r="P121" i="20"/>
  <c r="P111" i="20"/>
  <c r="P98" i="20"/>
  <c r="R97" i="20"/>
  <c r="R100" i="20" s="1"/>
  <c r="P85" i="20"/>
  <c r="J83" i="20"/>
  <c r="R78" i="20"/>
  <c r="R180" i="20" s="1"/>
  <c r="P294" i="20" s="1"/>
  <c r="N67" i="20"/>
  <c r="L67" i="20"/>
  <c r="J67" i="20"/>
  <c r="H67" i="20"/>
  <c r="H80" i="20" s="1"/>
  <c r="F67" i="20"/>
  <c r="F80" i="20" s="1"/>
  <c r="R65" i="20"/>
  <c r="P229" i="20"/>
  <c r="N54" i="20"/>
  <c r="N53" i="20"/>
  <c r="R47" i="20"/>
  <c r="L40" i="20"/>
  <c r="J40" i="20"/>
  <c r="H40" i="20"/>
  <c r="F40" i="20"/>
  <c r="L33" i="20"/>
  <c r="J33" i="20"/>
  <c r="H33" i="20"/>
  <c r="F33" i="20"/>
  <c r="D33" i="20"/>
  <c r="L32" i="20"/>
  <c r="J32" i="20"/>
  <c r="H32" i="20"/>
  <c r="F32" i="20"/>
  <c r="D32" i="20"/>
  <c r="R31" i="20"/>
  <c r="O186" i="20" s="1"/>
  <c r="L30" i="20"/>
  <c r="J30" i="20"/>
  <c r="H30" i="20"/>
  <c r="F30" i="20"/>
  <c r="D30" i="20"/>
  <c r="L29" i="20"/>
  <c r="J29" i="20"/>
  <c r="H29" i="20"/>
  <c r="F29" i="20"/>
  <c r="D29" i="20"/>
  <c r="N255" i="20" l="1"/>
  <c r="R32" i="20"/>
  <c r="R33" i="20"/>
  <c r="R165" i="20"/>
  <c r="O260" i="20"/>
  <c r="O261" i="20"/>
  <c r="O264" i="20"/>
  <c r="O258" i="20"/>
  <c r="O259" i="20"/>
  <c r="O262" i="20"/>
  <c r="O263" i="20"/>
  <c r="P293" i="20"/>
  <c r="Q264" i="20"/>
  <c r="Q259" i="20"/>
  <c r="Q261" i="20"/>
  <c r="Q263" i="20"/>
  <c r="Q265" i="20"/>
  <c r="N293" i="20"/>
  <c r="P128" i="20"/>
  <c r="R40" i="20"/>
  <c r="P213" i="20" s="1"/>
  <c r="P214" i="20" s="1"/>
  <c r="R139" i="20"/>
  <c r="R138" i="20" s="1"/>
  <c r="R147" i="20" s="1"/>
  <c r="O253" i="20"/>
  <c r="O252" i="20"/>
  <c r="O251" i="20"/>
  <c r="O250" i="20"/>
  <c r="O249" i="20"/>
  <c r="O248" i="20"/>
  <c r="O247" i="20"/>
  <c r="O246" i="20"/>
  <c r="P215" i="20"/>
  <c r="R198" i="20"/>
  <c r="R194" i="20"/>
  <c r="R200" i="20"/>
  <c r="R196" i="20"/>
  <c r="R119" i="20"/>
  <c r="R128" i="20" s="1"/>
  <c r="R129" i="20" s="1"/>
  <c r="Q253" i="20"/>
  <c r="Q252" i="20"/>
  <c r="Q251" i="20"/>
  <c r="Q250" i="20"/>
  <c r="Q249" i="20"/>
  <c r="Q248" i="20"/>
  <c r="Q247" i="20"/>
  <c r="Q246" i="20"/>
  <c r="P295" i="20"/>
  <c r="P67" i="20"/>
  <c r="P97" i="20"/>
  <c r="P100" i="20" s="1"/>
  <c r="P222" i="20"/>
  <c r="R48" i="20"/>
  <c r="R64" i="20"/>
  <c r="R67" i="20" s="1"/>
  <c r="Q267" i="20" l="1"/>
  <c r="O267" i="20"/>
  <c r="Q255" i="20"/>
  <c r="O255" i="20"/>
  <c r="P129" i="20"/>
  <c r="P298" i="20"/>
  <c r="R178" i="20"/>
  <c r="R181" i="20" s="1"/>
  <c r="R80" i="20"/>
  <c r="P296" i="20" l="1"/>
  <c r="R182" i="20"/>
  <c r="P64" i="19"/>
  <c r="P229" i="19" l="1"/>
  <c r="P222" i="19"/>
  <c r="P87" i="19"/>
  <c r="R88" i="19"/>
  <c r="R118" i="19"/>
  <c r="R104" i="19"/>
  <c r="P122" i="19"/>
  <c r="P85" i="19"/>
  <c r="L41" i="19"/>
  <c r="J41" i="19"/>
  <c r="H41" i="19"/>
  <c r="F41" i="19"/>
  <c r="Q291" i="19" l="1"/>
  <c r="P291" i="19"/>
  <c r="P228" i="19" s="1"/>
  <c r="O291" i="19"/>
  <c r="N291" i="19"/>
  <c r="O228" i="19" s="1"/>
  <c r="Q279" i="19"/>
  <c r="P279" i="19"/>
  <c r="O279" i="19"/>
  <c r="N279" i="19"/>
  <c r="O227" i="19" s="1"/>
  <c r="P267" i="19"/>
  <c r="N267" i="19"/>
  <c r="O265" i="19" s="1"/>
  <c r="Q262" i="19"/>
  <c r="Q260" i="19"/>
  <c r="Q258" i="19"/>
  <c r="P253" i="19"/>
  <c r="N253" i="19"/>
  <c r="P252" i="19"/>
  <c r="N252" i="19"/>
  <c r="P251" i="19"/>
  <c r="N251" i="19"/>
  <c r="P250" i="19"/>
  <c r="N250" i="19"/>
  <c r="P249" i="19"/>
  <c r="N249" i="19"/>
  <c r="P248" i="19"/>
  <c r="N248" i="19"/>
  <c r="P247" i="19"/>
  <c r="N247" i="19"/>
  <c r="P246" i="19"/>
  <c r="N246" i="19"/>
  <c r="P232" i="19"/>
  <c r="P230" i="19"/>
  <c r="P227" i="19"/>
  <c r="P210" i="19"/>
  <c r="R188" i="19"/>
  <c r="R179" i="19"/>
  <c r="R172" i="19"/>
  <c r="R166" i="19"/>
  <c r="R164" i="19"/>
  <c r="R163" i="19"/>
  <c r="R156" i="19"/>
  <c r="R151" i="19"/>
  <c r="R152" i="19" s="1"/>
  <c r="B132" i="19"/>
  <c r="B205" i="19" s="1"/>
  <c r="B306" i="19" s="1"/>
  <c r="P121" i="19"/>
  <c r="P128" i="19" s="1"/>
  <c r="P111" i="19"/>
  <c r="P98" i="19"/>
  <c r="R97" i="19"/>
  <c r="R100" i="19" s="1"/>
  <c r="P97" i="19"/>
  <c r="J83" i="19"/>
  <c r="R78" i="19"/>
  <c r="R180" i="19" s="1"/>
  <c r="P294" i="19" s="1"/>
  <c r="P67" i="19"/>
  <c r="N67" i="19"/>
  <c r="L67" i="19"/>
  <c r="J67" i="19"/>
  <c r="H67" i="19"/>
  <c r="H80" i="19" s="1"/>
  <c r="F67" i="19"/>
  <c r="F80" i="19" s="1"/>
  <c r="R65" i="19"/>
  <c r="R64" i="19"/>
  <c r="N54" i="19"/>
  <c r="N53" i="19"/>
  <c r="R47" i="19"/>
  <c r="L40" i="19"/>
  <c r="J40" i="19"/>
  <c r="H40" i="19"/>
  <c r="F40" i="19"/>
  <c r="L33" i="19"/>
  <c r="J33" i="19"/>
  <c r="H33" i="19"/>
  <c r="F33" i="19"/>
  <c r="D33" i="19"/>
  <c r="L32" i="19"/>
  <c r="J32" i="19"/>
  <c r="H32" i="19"/>
  <c r="F32" i="19"/>
  <c r="D32" i="19"/>
  <c r="R31" i="19"/>
  <c r="O186" i="19" s="1"/>
  <c r="L30" i="19"/>
  <c r="J30" i="19"/>
  <c r="H30" i="19"/>
  <c r="F30" i="19"/>
  <c r="D30" i="19"/>
  <c r="L29" i="19"/>
  <c r="J29" i="19"/>
  <c r="H29" i="19"/>
  <c r="F29" i="19"/>
  <c r="D29" i="19"/>
  <c r="N255" i="19" l="1"/>
  <c r="O260" i="19"/>
  <c r="O261" i="19"/>
  <c r="O264" i="19"/>
  <c r="O258" i="19"/>
  <c r="O259" i="19"/>
  <c r="O262" i="19"/>
  <c r="O263" i="19"/>
  <c r="P293" i="19"/>
  <c r="P295" i="19" s="1"/>
  <c r="Q264" i="19"/>
  <c r="P100" i="19"/>
  <c r="P129" i="19" s="1"/>
  <c r="P255" i="19"/>
  <c r="Q253" i="19" s="1"/>
  <c r="R32" i="19"/>
  <c r="R40" i="19" s="1"/>
  <c r="P213" i="19" s="1"/>
  <c r="P214" i="19" s="1"/>
  <c r="Q259" i="19"/>
  <c r="Q261" i="19"/>
  <c r="Q263" i="19"/>
  <c r="Q265" i="19"/>
  <c r="R67" i="19"/>
  <c r="R80" i="19" s="1"/>
  <c r="R165" i="19"/>
  <c r="R33" i="19"/>
  <c r="N293" i="19"/>
  <c r="O253" i="19"/>
  <c r="O252" i="19"/>
  <c r="O251" i="19"/>
  <c r="O250" i="19"/>
  <c r="O249" i="19"/>
  <c r="O248" i="19"/>
  <c r="O247" i="19"/>
  <c r="O246" i="19"/>
  <c r="R178" i="19"/>
  <c r="R181" i="19" s="1"/>
  <c r="R200" i="19"/>
  <c r="R196" i="19"/>
  <c r="P215" i="19"/>
  <c r="R198" i="19"/>
  <c r="R194" i="19"/>
  <c r="R119" i="19"/>
  <c r="R128" i="19" s="1"/>
  <c r="R129" i="19" s="1"/>
  <c r="R48" i="19"/>
  <c r="R139" i="19"/>
  <c r="R138" i="19" s="1"/>
  <c r="R147" i="19" s="1"/>
  <c r="P87" i="18"/>
  <c r="Q246" i="19" l="1"/>
  <c r="Q252" i="19"/>
  <c r="Q248" i="19"/>
  <c r="Q250" i="19"/>
  <c r="P298" i="19"/>
  <c r="Q247" i="19"/>
  <c r="Q249" i="19"/>
  <c r="Q251" i="19"/>
  <c r="Q267" i="19"/>
  <c r="O267" i="19"/>
  <c r="O255" i="19"/>
  <c r="P296" i="19"/>
  <c r="R182" i="19"/>
  <c r="R156" i="18"/>
  <c r="R118" i="18"/>
  <c r="R104" i="18"/>
  <c r="R88" i="18"/>
  <c r="P85" i="18"/>
  <c r="P97" i="18" s="1"/>
  <c r="L41" i="18"/>
  <c r="J41" i="18"/>
  <c r="H41" i="18"/>
  <c r="F41" i="18"/>
  <c r="Q255" i="19" l="1"/>
  <c r="Q291" i="18"/>
  <c r="P291" i="18"/>
  <c r="P228" i="18" s="1"/>
  <c r="O291" i="18"/>
  <c r="N291" i="18"/>
  <c r="O228" i="18" s="1"/>
  <c r="Q279" i="18"/>
  <c r="P279" i="18"/>
  <c r="P227" i="18" s="1"/>
  <c r="O279" i="18"/>
  <c r="N279" i="18"/>
  <c r="P267" i="18"/>
  <c r="Q265" i="18" s="1"/>
  <c r="N267" i="18"/>
  <c r="O262" i="18" s="1"/>
  <c r="Q264" i="18"/>
  <c r="P253" i="18"/>
  <c r="N253" i="18"/>
  <c r="P252" i="18"/>
  <c r="N252" i="18"/>
  <c r="P251" i="18"/>
  <c r="N251" i="18"/>
  <c r="P250" i="18"/>
  <c r="N250" i="18"/>
  <c r="P249" i="18"/>
  <c r="N249" i="18"/>
  <c r="P248" i="18"/>
  <c r="N248" i="18"/>
  <c r="P247" i="18"/>
  <c r="N247" i="18"/>
  <c r="P246" i="18"/>
  <c r="N246" i="18"/>
  <c r="P232" i="18"/>
  <c r="P230" i="18"/>
  <c r="O227" i="18"/>
  <c r="P210" i="18"/>
  <c r="R188" i="18"/>
  <c r="R179" i="18"/>
  <c r="R172" i="18"/>
  <c r="R166" i="18"/>
  <c r="R164" i="18"/>
  <c r="R163" i="18"/>
  <c r="R151" i="18"/>
  <c r="R152" i="18" s="1"/>
  <c r="B132" i="18"/>
  <c r="B205" i="18" s="1"/>
  <c r="B306" i="18" s="1"/>
  <c r="P121" i="18"/>
  <c r="P128" i="18" s="1"/>
  <c r="P111" i="18"/>
  <c r="P98" i="18"/>
  <c r="R97" i="18"/>
  <c r="R100" i="18" s="1"/>
  <c r="J83" i="18"/>
  <c r="R78" i="18"/>
  <c r="R180" i="18" s="1"/>
  <c r="P294" i="18" s="1"/>
  <c r="P67" i="18"/>
  <c r="N67" i="18"/>
  <c r="J67" i="18"/>
  <c r="H67" i="18"/>
  <c r="H80" i="18" s="1"/>
  <c r="F67" i="18"/>
  <c r="F80" i="18" s="1"/>
  <c r="R65" i="18"/>
  <c r="P222" i="18"/>
  <c r="N54" i="18"/>
  <c r="N53" i="18"/>
  <c r="R47" i="18"/>
  <c r="L40" i="18"/>
  <c r="J40" i="18"/>
  <c r="H40" i="18"/>
  <c r="F40" i="18"/>
  <c r="L33" i="18"/>
  <c r="J33" i="18"/>
  <c r="H33" i="18"/>
  <c r="F33" i="18"/>
  <c r="D33" i="18"/>
  <c r="L32" i="18"/>
  <c r="J32" i="18"/>
  <c r="H32" i="18"/>
  <c r="F32" i="18"/>
  <c r="D32" i="18"/>
  <c r="R31" i="18"/>
  <c r="O186" i="18" s="1"/>
  <c r="L30" i="18"/>
  <c r="J30" i="18"/>
  <c r="H30" i="18"/>
  <c r="F30" i="18"/>
  <c r="D30" i="18"/>
  <c r="L29" i="18"/>
  <c r="J29" i="18"/>
  <c r="H29" i="18"/>
  <c r="F29" i="18"/>
  <c r="D29" i="18"/>
  <c r="N255" i="18" l="1"/>
  <c r="O258" i="18"/>
  <c r="Q259" i="18"/>
  <c r="P255" i="18"/>
  <c r="Q249" i="18" s="1"/>
  <c r="Q261" i="18"/>
  <c r="Q258" i="18"/>
  <c r="Q260" i="18"/>
  <c r="Q262" i="18"/>
  <c r="O260" i="18"/>
  <c r="O264" i="18"/>
  <c r="O259" i="18"/>
  <c r="O261" i="18"/>
  <c r="O263" i="18"/>
  <c r="O265" i="18"/>
  <c r="Q263" i="18"/>
  <c r="R33" i="18"/>
  <c r="R32" i="18"/>
  <c r="R40" i="18" s="1"/>
  <c r="P213" i="18" s="1"/>
  <c r="P214" i="18" s="1"/>
  <c r="R64" i="18"/>
  <c r="R67" i="18" s="1"/>
  <c r="R80" i="18" s="1"/>
  <c r="R165" i="18"/>
  <c r="N293" i="18"/>
  <c r="P293" i="18"/>
  <c r="P295" i="18" s="1"/>
  <c r="O247" i="18"/>
  <c r="O248" i="18"/>
  <c r="O249" i="18"/>
  <c r="O250" i="18"/>
  <c r="O251" i="18"/>
  <c r="O252" i="18"/>
  <c r="O253" i="18"/>
  <c r="R200" i="18"/>
  <c r="R196" i="18"/>
  <c r="P215" i="18"/>
  <c r="R198" i="18"/>
  <c r="R194" i="18"/>
  <c r="R119" i="18"/>
  <c r="R128" i="18" s="1"/>
  <c r="R129" i="18" s="1"/>
  <c r="Q248" i="18"/>
  <c r="Q252" i="18"/>
  <c r="R48" i="18"/>
  <c r="P100" i="18"/>
  <c r="P129" i="18" s="1"/>
  <c r="R139" i="18"/>
  <c r="R138" i="18" s="1"/>
  <c r="R147" i="18" s="1"/>
  <c r="P298" i="18" s="1"/>
  <c r="O246" i="18"/>
  <c r="L67" i="18"/>
  <c r="Q251" i="18" l="1"/>
  <c r="Q247" i="18"/>
  <c r="Q267" i="18"/>
  <c r="Q246" i="18"/>
  <c r="Q255" i="18" s="1"/>
  <c r="Q250" i="18"/>
  <c r="Q253" i="18"/>
  <c r="O255" i="18"/>
  <c r="O267" i="18"/>
  <c r="R178" i="18"/>
  <c r="R181" i="18" s="1"/>
  <c r="P296" i="18"/>
  <c r="R182" i="18"/>
  <c r="R118" i="17"/>
  <c r="R104" i="17"/>
  <c r="R88" i="17"/>
  <c r="L64" i="17"/>
  <c r="L41" i="17"/>
  <c r="J41" i="17"/>
  <c r="H41" i="17"/>
  <c r="F41" i="17"/>
  <c r="Q291" i="17" l="1"/>
  <c r="P291" i="17"/>
  <c r="P228" i="17" s="1"/>
  <c r="O291" i="17"/>
  <c r="N291" i="17"/>
  <c r="O228" i="17" s="1"/>
  <c r="Q279" i="17"/>
  <c r="P279" i="17"/>
  <c r="O279" i="17"/>
  <c r="N279" i="17"/>
  <c r="O227" i="17" s="1"/>
  <c r="P267" i="17"/>
  <c r="Q265" i="17" s="1"/>
  <c r="N267" i="17"/>
  <c r="O265" i="17" s="1"/>
  <c r="Q262" i="17"/>
  <c r="Q260" i="17"/>
  <c r="Q258" i="17"/>
  <c r="P253" i="17"/>
  <c r="N253" i="17"/>
  <c r="P252" i="17"/>
  <c r="N252" i="17"/>
  <c r="P251" i="17"/>
  <c r="N251" i="17"/>
  <c r="P250" i="17"/>
  <c r="N250" i="17"/>
  <c r="P249" i="17"/>
  <c r="N249" i="17"/>
  <c r="P248" i="17"/>
  <c r="N248" i="17"/>
  <c r="P247" i="17"/>
  <c r="N247" i="17"/>
  <c r="P246" i="17"/>
  <c r="P255" i="17" s="1"/>
  <c r="N246" i="17"/>
  <c r="P232" i="17"/>
  <c r="P230" i="17"/>
  <c r="P227" i="17"/>
  <c r="P210" i="17"/>
  <c r="R188" i="17"/>
  <c r="R179" i="17"/>
  <c r="R172" i="17"/>
  <c r="R166" i="17"/>
  <c r="R164" i="17"/>
  <c r="R163" i="17"/>
  <c r="R151" i="17"/>
  <c r="R152" i="17" s="1"/>
  <c r="B132" i="17"/>
  <c r="B205" i="17" s="1"/>
  <c r="B307" i="17" s="1"/>
  <c r="P121" i="17"/>
  <c r="P128" i="17" s="1"/>
  <c r="P111" i="17"/>
  <c r="P98" i="17"/>
  <c r="R97" i="17"/>
  <c r="R100" i="17" s="1"/>
  <c r="P85" i="17"/>
  <c r="P86" i="17" s="1"/>
  <c r="R156" i="17" s="1"/>
  <c r="J83" i="17"/>
  <c r="R78" i="17"/>
  <c r="R180" i="17" s="1"/>
  <c r="P294" i="17" s="1"/>
  <c r="P67" i="17"/>
  <c r="N67" i="17"/>
  <c r="J67" i="17"/>
  <c r="H67" i="17"/>
  <c r="H80" i="17" s="1"/>
  <c r="F67" i="17"/>
  <c r="F80" i="17" s="1"/>
  <c r="R65" i="17"/>
  <c r="P222" i="17"/>
  <c r="N54" i="17"/>
  <c r="N53" i="17"/>
  <c r="R47" i="17"/>
  <c r="L40" i="17"/>
  <c r="J40" i="17"/>
  <c r="H40" i="17"/>
  <c r="F40" i="17"/>
  <c r="L33" i="17"/>
  <c r="J33" i="17"/>
  <c r="H33" i="17"/>
  <c r="F33" i="17"/>
  <c r="D33" i="17"/>
  <c r="L32" i="17"/>
  <c r="J32" i="17"/>
  <c r="H32" i="17"/>
  <c r="F32" i="17"/>
  <c r="D32" i="17"/>
  <c r="R31" i="17"/>
  <c r="O186" i="17" s="1"/>
  <c r="L30" i="17"/>
  <c r="J30" i="17"/>
  <c r="H30" i="17"/>
  <c r="F30" i="17"/>
  <c r="D30" i="17"/>
  <c r="L29" i="17"/>
  <c r="J29" i="17"/>
  <c r="H29" i="17"/>
  <c r="F29" i="17"/>
  <c r="D29" i="17"/>
  <c r="N255" i="17" l="1"/>
  <c r="O260" i="17"/>
  <c r="O261" i="17"/>
  <c r="O264" i="17"/>
  <c r="O258" i="17"/>
  <c r="O259" i="17"/>
  <c r="O262" i="17"/>
  <c r="O263" i="17"/>
  <c r="Q264" i="17"/>
  <c r="R32" i="17"/>
  <c r="R40" i="17" s="1"/>
  <c r="P213" i="17" s="1"/>
  <c r="P214" i="17" s="1"/>
  <c r="R48" i="17"/>
  <c r="Q259" i="17"/>
  <c r="Q261" i="17"/>
  <c r="Q263" i="17"/>
  <c r="R165" i="17"/>
  <c r="P293" i="17"/>
  <c r="P295" i="17" s="1"/>
  <c r="N293" i="17"/>
  <c r="R200" i="17"/>
  <c r="R196" i="17"/>
  <c r="P215" i="17"/>
  <c r="R198" i="17"/>
  <c r="R194" i="17"/>
  <c r="R119" i="17"/>
  <c r="R128" i="17" s="1"/>
  <c r="R129" i="17" s="1"/>
  <c r="O247" i="17"/>
  <c r="O248" i="17"/>
  <c r="O249" i="17"/>
  <c r="O250" i="17"/>
  <c r="O251" i="17"/>
  <c r="O252" i="17"/>
  <c r="O253" i="17"/>
  <c r="Q247" i="17"/>
  <c r="Q248" i="17"/>
  <c r="Q249" i="17"/>
  <c r="Q250" i="17"/>
  <c r="Q251" i="17"/>
  <c r="Q252" i="17"/>
  <c r="Q253" i="17"/>
  <c r="R33" i="17"/>
  <c r="R64" i="17"/>
  <c r="R67" i="17" s="1"/>
  <c r="P87" i="17"/>
  <c r="P97" i="17" s="1"/>
  <c r="P100" i="17" s="1"/>
  <c r="P129" i="17" s="1"/>
  <c r="R139" i="17"/>
  <c r="R138" i="17" s="1"/>
  <c r="R147" i="17" s="1"/>
  <c r="O246" i="17"/>
  <c r="Q246" i="17"/>
  <c r="L67" i="17"/>
  <c r="R172" i="16"/>
  <c r="O255" i="17" l="1"/>
  <c r="Q267" i="17"/>
  <c r="P298" i="17"/>
  <c r="O267" i="17"/>
  <c r="Q255" i="17"/>
  <c r="R178" i="17"/>
  <c r="R181" i="17" s="1"/>
  <c r="R80" i="17"/>
  <c r="R118" i="16"/>
  <c r="R104" i="16"/>
  <c r="R88" i="16"/>
  <c r="L64" i="16"/>
  <c r="P87" i="16" s="1"/>
  <c r="N64" i="16"/>
  <c r="L41" i="16"/>
  <c r="J41" i="16"/>
  <c r="H41" i="16"/>
  <c r="F41" i="16"/>
  <c r="P296" i="17" l="1"/>
  <c r="R182" i="17"/>
  <c r="Q291" i="16"/>
  <c r="P291" i="16"/>
  <c r="O291" i="16"/>
  <c r="N291" i="16"/>
  <c r="Q279" i="16"/>
  <c r="P279" i="16"/>
  <c r="P227" i="16" s="1"/>
  <c r="O279" i="16"/>
  <c r="N279" i="16"/>
  <c r="O227" i="16" s="1"/>
  <c r="P267" i="16"/>
  <c r="Q265" i="16" s="1"/>
  <c r="N267" i="16"/>
  <c r="O265" i="16"/>
  <c r="Q264" i="16"/>
  <c r="O264" i="16"/>
  <c r="O263" i="16"/>
  <c r="O262" i="16"/>
  <c r="O261" i="16"/>
  <c r="O267" i="16" s="1"/>
  <c r="O260" i="16"/>
  <c r="O259" i="16"/>
  <c r="Q258" i="16"/>
  <c r="O258" i="16"/>
  <c r="P253" i="16"/>
  <c r="N253" i="16"/>
  <c r="P252" i="16"/>
  <c r="N252" i="16"/>
  <c r="P251" i="16"/>
  <c r="N251" i="16"/>
  <c r="P250" i="16"/>
  <c r="N250" i="16"/>
  <c r="P249" i="16"/>
  <c r="N249" i="16"/>
  <c r="P248" i="16"/>
  <c r="N248" i="16"/>
  <c r="P247" i="16"/>
  <c r="N247" i="16"/>
  <c r="P246" i="16"/>
  <c r="P255" i="16" s="1"/>
  <c r="N246" i="16"/>
  <c r="P232" i="16"/>
  <c r="P233" i="17" s="1"/>
  <c r="P233" i="18" s="1"/>
  <c r="P233" i="19" s="1"/>
  <c r="P233" i="20" s="1"/>
  <c r="P233" i="21" s="1"/>
  <c r="P233" i="22" s="1"/>
  <c r="P233" i="23" s="1"/>
  <c r="P233" i="24" s="1"/>
  <c r="P233" i="25" s="1"/>
  <c r="P233" i="26" s="1"/>
  <c r="P235" i="27" s="1"/>
  <c r="P230" i="16"/>
  <c r="P228" i="16"/>
  <c r="P210" i="16"/>
  <c r="R188" i="16"/>
  <c r="R179" i="16"/>
  <c r="R166" i="16"/>
  <c r="R164" i="16"/>
  <c r="R163" i="16"/>
  <c r="R151" i="16"/>
  <c r="R152" i="16" s="1"/>
  <c r="B132" i="16"/>
  <c r="B205" i="16" s="1"/>
  <c r="B307" i="16" s="1"/>
  <c r="P121" i="16"/>
  <c r="P128" i="16" s="1"/>
  <c r="P111" i="16"/>
  <c r="P98" i="16"/>
  <c r="R97" i="16"/>
  <c r="R100" i="16" s="1"/>
  <c r="P85" i="16"/>
  <c r="P86" i="16" s="1"/>
  <c r="R156" i="16" s="1"/>
  <c r="J83" i="16"/>
  <c r="R78" i="16"/>
  <c r="R180" i="16" s="1"/>
  <c r="P294" i="16" s="1"/>
  <c r="P67" i="16"/>
  <c r="N67" i="16"/>
  <c r="J67" i="16"/>
  <c r="H67" i="16"/>
  <c r="H80" i="16" s="1"/>
  <c r="F67" i="16"/>
  <c r="F80" i="16" s="1"/>
  <c r="R65" i="16"/>
  <c r="P222" i="16"/>
  <c r="N54" i="16"/>
  <c r="N53" i="16"/>
  <c r="R47" i="16"/>
  <c r="L40" i="16"/>
  <c r="J40" i="16"/>
  <c r="H40" i="16"/>
  <c r="F40" i="16"/>
  <c r="L33" i="16"/>
  <c r="J33" i="16"/>
  <c r="H33" i="16"/>
  <c r="F33" i="16"/>
  <c r="D33" i="16"/>
  <c r="L32" i="16"/>
  <c r="J32" i="16"/>
  <c r="H32" i="16"/>
  <c r="F32" i="16"/>
  <c r="D32" i="16"/>
  <c r="R31" i="16"/>
  <c r="O186" i="16" s="1"/>
  <c r="L30" i="16"/>
  <c r="J30" i="16"/>
  <c r="H30" i="16"/>
  <c r="F30" i="16"/>
  <c r="D30" i="16"/>
  <c r="L29" i="16"/>
  <c r="J29" i="16"/>
  <c r="H29" i="16"/>
  <c r="F29" i="16"/>
  <c r="D29" i="16"/>
  <c r="Q262" i="16" l="1"/>
  <c r="Q260" i="16"/>
  <c r="Q259" i="16"/>
  <c r="Q267" i="16" s="1"/>
  <c r="Q261" i="16"/>
  <c r="Q263" i="16"/>
  <c r="N255" i="16"/>
  <c r="O250" i="16" s="1"/>
  <c r="R32" i="16"/>
  <c r="R40" i="16" s="1"/>
  <c r="P213" i="16" s="1"/>
  <c r="P214" i="16" s="1"/>
  <c r="P293" i="16"/>
  <c r="N293" i="16"/>
  <c r="R165" i="16"/>
  <c r="O228" i="16"/>
  <c r="P295" i="16"/>
  <c r="R48" i="16"/>
  <c r="R139" i="16"/>
  <c r="R138" i="16" s="1"/>
  <c r="R147" i="16" s="1"/>
  <c r="Q253" i="16"/>
  <c r="Q252" i="16"/>
  <c r="Q251" i="16"/>
  <c r="Q250" i="16"/>
  <c r="Q249" i="16"/>
  <c r="Q248" i="16"/>
  <c r="Q247" i="16"/>
  <c r="Q246" i="16"/>
  <c r="R200" i="16"/>
  <c r="R196" i="16"/>
  <c r="P215" i="16"/>
  <c r="R198" i="16"/>
  <c r="R194" i="16"/>
  <c r="R119" i="16"/>
  <c r="R128" i="16" s="1"/>
  <c r="R129" i="16" s="1"/>
  <c r="O252" i="16"/>
  <c r="O251" i="16"/>
  <c r="O248" i="16"/>
  <c r="O247" i="16"/>
  <c r="R33" i="16"/>
  <c r="R64" i="16"/>
  <c r="R67" i="16" s="1"/>
  <c r="P97" i="16"/>
  <c r="P100" i="16" s="1"/>
  <c r="P129" i="16" s="1"/>
  <c r="L67" i="16"/>
  <c r="R118" i="15"/>
  <c r="R104" i="15"/>
  <c r="R88" i="15"/>
  <c r="L64" i="15"/>
  <c r="P87" i="15" s="1"/>
  <c r="N64" i="15"/>
  <c r="L41" i="15"/>
  <c r="J41" i="15"/>
  <c r="H41" i="15"/>
  <c r="F41" i="15"/>
  <c r="O253" i="16" l="1"/>
  <c r="O249" i="16"/>
  <c r="O246" i="16"/>
  <c r="O255" i="16" s="1"/>
  <c r="P298" i="16"/>
  <c r="R178" i="16"/>
  <c r="R181" i="16" s="1"/>
  <c r="R80" i="16"/>
  <c r="Q255" i="16"/>
  <c r="Q290" i="15"/>
  <c r="P290" i="15"/>
  <c r="P227" i="15" s="1"/>
  <c r="O290" i="15"/>
  <c r="N290" i="15"/>
  <c r="O227" i="15" s="1"/>
  <c r="Q278" i="15"/>
  <c r="P278" i="15"/>
  <c r="P226" i="15" s="1"/>
  <c r="O278" i="15"/>
  <c r="N278" i="15"/>
  <c r="P266" i="15"/>
  <c r="Q263" i="15" s="1"/>
  <c r="N266" i="15"/>
  <c r="O264" i="15" s="1"/>
  <c r="Q264" i="15"/>
  <c r="Q261" i="15"/>
  <c r="Q260" i="15"/>
  <c r="Q257" i="15"/>
  <c r="O257" i="15"/>
  <c r="P252" i="15"/>
  <c r="N252" i="15"/>
  <c r="P251" i="15"/>
  <c r="N251" i="15"/>
  <c r="P250" i="15"/>
  <c r="N250" i="15"/>
  <c r="P249" i="15"/>
  <c r="N249" i="15"/>
  <c r="P248" i="15"/>
  <c r="N248" i="15"/>
  <c r="P247" i="15"/>
  <c r="N247" i="15"/>
  <c r="P246" i="15"/>
  <c r="N246" i="15"/>
  <c r="P245" i="15"/>
  <c r="N245" i="15"/>
  <c r="N254" i="15" s="1"/>
  <c r="P231" i="15"/>
  <c r="P229" i="15"/>
  <c r="O226" i="15"/>
  <c r="P209" i="15"/>
  <c r="R187" i="15"/>
  <c r="R178" i="15"/>
  <c r="R171" i="15"/>
  <c r="R166" i="15"/>
  <c r="R164" i="15"/>
  <c r="R163" i="15"/>
  <c r="R165" i="15" s="1"/>
  <c r="R151" i="15"/>
  <c r="R152" i="15" s="1"/>
  <c r="B132" i="15"/>
  <c r="B204" i="15" s="1"/>
  <c r="B306" i="15" s="1"/>
  <c r="P121" i="15"/>
  <c r="P128" i="15" s="1"/>
  <c r="P111" i="15"/>
  <c r="P98" i="15"/>
  <c r="R97" i="15"/>
  <c r="R100" i="15" s="1"/>
  <c r="P85" i="15"/>
  <c r="P86" i="15" s="1"/>
  <c r="R156" i="15" s="1"/>
  <c r="J83" i="15"/>
  <c r="R78" i="15"/>
  <c r="R179" i="15" s="1"/>
  <c r="P293" i="15" s="1"/>
  <c r="P67" i="15"/>
  <c r="N67" i="15"/>
  <c r="J67" i="15"/>
  <c r="H67" i="15"/>
  <c r="H80" i="15" s="1"/>
  <c r="F67" i="15"/>
  <c r="F80" i="15" s="1"/>
  <c r="R65" i="15"/>
  <c r="R64" i="15"/>
  <c r="R67" i="15" s="1"/>
  <c r="P221" i="15"/>
  <c r="N54" i="15"/>
  <c r="N53" i="15"/>
  <c r="R47" i="15"/>
  <c r="L40" i="15"/>
  <c r="J40" i="15"/>
  <c r="H40" i="15"/>
  <c r="F40" i="15"/>
  <c r="L33" i="15"/>
  <c r="J33" i="15"/>
  <c r="H33" i="15"/>
  <c r="F33" i="15"/>
  <c r="D33" i="15"/>
  <c r="L32" i="15"/>
  <c r="J32" i="15"/>
  <c r="H32" i="15"/>
  <c r="F32" i="15"/>
  <c r="D32" i="15"/>
  <c r="R31" i="15"/>
  <c r="O185" i="15" s="1"/>
  <c r="L30" i="15"/>
  <c r="J30" i="15"/>
  <c r="H30" i="15"/>
  <c r="F30" i="15"/>
  <c r="D30" i="15"/>
  <c r="L29" i="15"/>
  <c r="J29" i="15"/>
  <c r="H29" i="15"/>
  <c r="F29" i="15"/>
  <c r="D29" i="15"/>
  <c r="R32" i="15" l="1"/>
  <c r="R40" i="15" s="1"/>
  <c r="P212" i="15" s="1"/>
  <c r="P213" i="15" s="1"/>
  <c r="O261" i="15"/>
  <c r="O259" i="15"/>
  <c r="O263" i="15"/>
  <c r="Q258" i="15"/>
  <c r="Q259" i="15"/>
  <c r="Q262" i="15"/>
  <c r="P254" i="15"/>
  <c r="Q251" i="15" s="1"/>
  <c r="O258" i="15"/>
  <c r="O260" i="15"/>
  <c r="O262" i="15"/>
  <c r="R33" i="15"/>
  <c r="P292" i="15"/>
  <c r="P294" i="15" s="1"/>
  <c r="P296" i="16"/>
  <c r="R182" i="16"/>
  <c r="N292" i="15"/>
  <c r="R199" i="15"/>
  <c r="R195" i="15"/>
  <c r="P214" i="15"/>
  <c r="R197" i="15"/>
  <c r="R193" i="15"/>
  <c r="R119" i="15"/>
  <c r="R128" i="15" s="1"/>
  <c r="R129" i="15" s="1"/>
  <c r="O252" i="15"/>
  <c r="O251" i="15"/>
  <c r="O250" i="15"/>
  <c r="O249" i="15"/>
  <c r="O248" i="15"/>
  <c r="O247" i="15"/>
  <c r="O246" i="15"/>
  <c r="O245" i="15"/>
  <c r="R177" i="15"/>
  <c r="R180" i="15" s="1"/>
  <c r="R80" i="15"/>
  <c r="R48" i="15"/>
  <c r="P97" i="15"/>
  <c r="P100" i="15" s="1"/>
  <c r="P129" i="15" s="1"/>
  <c r="R139" i="15"/>
  <c r="R138" i="15" s="1"/>
  <c r="R147" i="15" s="1"/>
  <c r="L67" i="15"/>
  <c r="Q246" i="15" l="1"/>
  <c r="Q266" i="15"/>
  <c r="Q250" i="15"/>
  <c r="P297" i="15"/>
  <c r="Q248" i="15"/>
  <c r="Q252" i="15"/>
  <c r="O266" i="15"/>
  <c r="Q245" i="15"/>
  <c r="Q247" i="15"/>
  <c r="Q249" i="15"/>
  <c r="P295" i="15"/>
  <c r="R181" i="15"/>
  <c r="O254" i="15"/>
  <c r="R118" i="14"/>
  <c r="R104" i="14"/>
  <c r="R88" i="14"/>
  <c r="L64" i="14"/>
  <c r="P87" i="14" s="1"/>
  <c r="L41" i="14"/>
  <c r="J41" i="14"/>
  <c r="H41" i="14"/>
  <c r="F41" i="14"/>
  <c r="Q254" i="15" l="1"/>
  <c r="Q290" i="14"/>
  <c r="P290" i="14"/>
  <c r="P227" i="14" s="1"/>
  <c r="O290" i="14"/>
  <c r="N290" i="14"/>
  <c r="O227" i="14" s="1"/>
  <c r="Q278" i="14"/>
  <c r="P278" i="14"/>
  <c r="P226" i="14" s="1"/>
  <c r="O278" i="14"/>
  <c r="N278" i="14"/>
  <c r="O226" i="14" s="1"/>
  <c r="P266" i="14"/>
  <c r="Q263" i="14" s="1"/>
  <c r="N266" i="14"/>
  <c r="O264" i="14" s="1"/>
  <c r="Q264" i="14"/>
  <c r="Q262" i="14"/>
  <c r="Q261" i="14"/>
  <c r="Q260" i="14"/>
  <c r="Q259" i="14"/>
  <c r="O259" i="14"/>
  <c r="Q257" i="14"/>
  <c r="O257" i="14"/>
  <c r="P252" i="14"/>
  <c r="N252" i="14"/>
  <c r="P251" i="14"/>
  <c r="N251" i="14"/>
  <c r="P250" i="14"/>
  <c r="N250" i="14"/>
  <c r="P249" i="14"/>
  <c r="N249" i="14"/>
  <c r="P248" i="14"/>
  <c r="N248" i="14"/>
  <c r="P247" i="14"/>
  <c r="N247" i="14"/>
  <c r="P246" i="14"/>
  <c r="N246" i="14"/>
  <c r="P245" i="14"/>
  <c r="N245" i="14"/>
  <c r="P231" i="14"/>
  <c r="P229" i="14"/>
  <c r="P209" i="14"/>
  <c r="R187" i="14"/>
  <c r="R178" i="14"/>
  <c r="R171" i="14"/>
  <c r="R166" i="14"/>
  <c r="R164" i="14"/>
  <c r="R163" i="14"/>
  <c r="R151" i="14"/>
  <c r="R152" i="14" s="1"/>
  <c r="B132" i="14"/>
  <c r="B204" i="14" s="1"/>
  <c r="B306" i="14" s="1"/>
  <c r="P121" i="14"/>
  <c r="P128" i="14" s="1"/>
  <c r="P111" i="14"/>
  <c r="P98" i="14"/>
  <c r="R97" i="14"/>
  <c r="R100" i="14" s="1"/>
  <c r="P85" i="14"/>
  <c r="P86" i="14" s="1"/>
  <c r="R156" i="14" s="1"/>
  <c r="J83" i="14"/>
  <c r="R78" i="14"/>
  <c r="R179" i="14" s="1"/>
  <c r="P293" i="14" s="1"/>
  <c r="P67" i="14"/>
  <c r="L67" i="14"/>
  <c r="J67" i="14"/>
  <c r="H67" i="14"/>
  <c r="H80" i="14" s="1"/>
  <c r="F67" i="14"/>
  <c r="F80" i="14" s="1"/>
  <c r="R65" i="14"/>
  <c r="N67" i="14"/>
  <c r="P221" i="14"/>
  <c r="N54" i="14"/>
  <c r="N53" i="14"/>
  <c r="R47" i="14"/>
  <c r="L40" i="14"/>
  <c r="J40" i="14"/>
  <c r="H40" i="14"/>
  <c r="F40" i="14"/>
  <c r="L33" i="14"/>
  <c r="J33" i="14"/>
  <c r="H33" i="14"/>
  <c r="F33" i="14"/>
  <c r="D33" i="14"/>
  <c r="L32" i="14"/>
  <c r="J32" i="14"/>
  <c r="H32" i="14"/>
  <c r="F32" i="14"/>
  <c r="D32" i="14"/>
  <c r="R31" i="14"/>
  <c r="O185" i="14" s="1"/>
  <c r="L30" i="14"/>
  <c r="J30" i="14"/>
  <c r="H30" i="14"/>
  <c r="F30" i="14"/>
  <c r="D30" i="14"/>
  <c r="L29" i="14"/>
  <c r="J29" i="14"/>
  <c r="H29" i="14"/>
  <c r="F29" i="14"/>
  <c r="D29" i="14"/>
  <c r="O263" i="14" l="1"/>
  <c r="Q258" i="14"/>
  <c r="Q266" i="14" s="1"/>
  <c r="O261" i="14"/>
  <c r="P254" i="14"/>
  <c r="Q249" i="14" s="1"/>
  <c r="O258" i="14"/>
  <c r="O260" i="14"/>
  <c r="O262" i="14"/>
  <c r="O266" i="14" s="1"/>
  <c r="R32" i="14"/>
  <c r="R40" i="14" s="1"/>
  <c r="P212" i="14" s="1"/>
  <c r="P213" i="14" s="1"/>
  <c r="P97" i="14"/>
  <c r="P100" i="14" s="1"/>
  <c r="P129" i="14" s="1"/>
  <c r="N254" i="14"/>
  <c r="O251" i="14" s="1"/>
  <c r="R165" i="14"/>
  <c r="P292" i="14"/>
  <c r="P294" i="14" s="1"/>
  <c r="R33" i="14"/>
  <c r="N292" i="14"/>
  <c r="Q250" i="14"/>
  <c r="Q246" i="14"/>
  <c r="R199" i="14"/>
  <c r="R195" i="14"/>
  <c r="P214" i="14"/>
  <c r="R197" i="14"/>
  <c r="R193" i="14"/>
  <c r="R119" i="14"/>
  <c r="R128" i="14" s="1"/>
  <c r="R129" i="14" s="1"/>
  <c r="O252" i="14"/>
  <c r="O250" i="14"/>
  <c r="O249" i="14"/>
  <c r="O248" i="14"/>
  <c r="O246" i="14"/>
  <c r="O245" i="14"/>
  <c r="R48" i="14"/>
  <c r="R139" i="14"/>
  <c r="R138" i="14" s="1"/>
  <c r="R147" i="14" s="1"/>
  <c r="R64" i="14"/>
  <c r="R67" i="14" s="1"/>
  <c r="R159" i="11"/>
  <c r="R156" i="13"/>
  <c r="Q251" i="14" l="1"/>
  <c r="Q247" i="14"/>
  <c r="Q248" i="14"/>
  <c r="Q252" i="14"/>
  <c r="P297" i="14"/>
  <c r="O247" i="14"/>
  <c r="O254" i="14" s="1"/>
  <c r="Q245" i="14"/>
  <c r="Q254" i="14"/>
  <c r="R80" i="14"/>
  <c r="R177" i="14"/>
  <c r="R180" i="14" s="1"/>
  <c r="R118" i="13"/>
  <c r="R104" i="13"/>
  <c r="R88" i="13"/>
  <c r="N64" i="13"/>
  <c r="L64" i="13"/>
  <c r="P295" i="14" l="1"/>
  <c r="R181" i="14"/>
  <c r="Q290" i="13"/>
  <c r="P290" i="13"/>
  <c r="P227" i="13" s="1"/>
  <c r="O290" i="13"/>
  <c r="N290" i="13"/>
  <c r="O227" i="13" s="1"/>
  <c r="Q278" i="13"/>
  <c r="P278" i="13"/>
  <c r="P226" i="13" s="1"/>
  <c r="O278" i="13"/>
  <c r="N278" i="13"/>
  <c r="O226" i="13" s="1"/>
  <c r="P266" i="13"/>
  <c r="Q261" i="13" s="1"/>
  <c r="N266" i="13"/>
  <c r="O264" i="13" s="1"/>
  <c r="P252" i="13"/>
  <c r="N252" i="13"/>
  <c r="P251" i="13"/>
  <c r="N251" i="13"/>
  <c r="P250" i="13"/>
  <c r="N250" i="13"/>
  <c r="P249" i="13"/>
  <c r="N249" i="13"/>
  <c r="P248" i="13"/>
  <c r="N248" i="13"/>
  <c r="P247" i="13"/>
  <c r="N247" i="13"/>
  <c r="P246" i="13"/>
  <c r="N246" i="13"/>
  <c r="P245" i="13"/>
  <c r="P254" i="13" s="1"/>
  <c r="N245" i="13"/>
  <c r="P231" i="13"/>
  <c r="P229" i="13"/>
  <c r="P221" i="13"/>
  <c r="P209" i="13"/>
  <c r="R187" i="13"/>
  <c r="R178" i="13"/>
  <c r="R171" i="13"/>
  <c r="R166" i="13"/>
  <c r="R164" i="13"/>
  <c r="R163" i="13"/>
  <c r="R151" i="13"/>
  <c r="R152" i="13" s="1"/>
  <c r="B132" i="13"/>
  <c r="B204" i="13" s="1"/>
  <c r="B306" i="13" s="1"/>
  <c r="P121" i="13"/>
  <c r="P128" i="13" s="1"/>
  <c r="P111" i="13"/>
  <c r="P98" i="13"/>
  <c r="R97" i="13"/>
  <c r="R100" i="13" s="1"/>
  <c r="R199" i="13" s="1"/>
  <c r="P85" i="13"/>
  <c r="J83" i="13"/>
  <c r="R78" i="13"/>
  <c r="R179" i="13" s="1"/>
  <c r="P293" i="13" s="1"/>
  <c r="P67" i="13"/>
  <c r="L67" i="13"/>
  <c r="J67" i="13"/>
  <c r="H67" i="13"/>
  <c r="H80" i="13" s="1"/>
  <c r="F67" i="13"/>
  <c r="F80" i="13" s="1"/>
  <c r="R65" i="13"/>
  <c r="N67" i="13"/>
  <c r="P87" i="13"/>
  <c r="N54" i="13"/>
  <c r="N53" i="13"/>
  <c r="R47" i="13"/>
  <c r="L41" i="13"/>
  <c r="J41" i="13"/>
  <c r="H41" i="13"/>
  <c r="F41" i="13"/>
  <c r="L40" i="13"/>
  <c r="J40" i="13"/>
  <c r="H40" i="13"/>
  <c r="F40" i="13"/>
  <c r="L33" i="13"/>
  <c r="J33" i="13"/>
  <c r="H33" i="13"/>
  <c r="F33" i="13"/>
  <c r="D33" i="13"/>
  <c r="L32" i="13"/>
  <c r="J32" i="13"/>
  <c r="H32" i="13"/>
  <c r="F32" i="13"/>
  <c r="D32" i="13"/>
  <c r="R31" i="13"/>
  <c r="O185" i="13" s="1"/>
  <c r="L30" i="13"/>
  <c r="J30" i="13"/>
  <c r="H30" i="13"/>
  <c r="F30" i="13"/>
  <c r="D30" i="13"/>
  <c r="L29" i="13"/>
  <c r="J29" i="13"/>
  <c r="H29" i="13"/>
  <c r="F29" i="13"/>
  <c r="D29" i="13"/>
  <c r="R165" i="13" l="1"/>
  <c r="R32" i="13"/>
  <c r="R40" i="13" s="1"/>
  <c r="P212" i="13" s="1"/>
  <c r="P213" i="13" s="1"/>
  <c r="R139" i="13"/>
  <c r="R138" i="13" s="1"/>
  <c r="R147" i="13" s="1"/>
  <c r="N254" i="13"/>
  <c r="O246" i="13" s="1"/>
  <c r="Q258" i="13"/>
  <c r="Q259" i="13"/>
  <c r="Q263" i="13"/>
  <c r="Q262" i="13"/>
  <c r="Q260" i="13"/>
  <c r="Q264" i="13"/>
  <c r="Q257" i="13"/>
  <c r="P292" i="13"/>
  <c r="P294" i="13" s="1"/>
  <c r="N292" i="13"/>
  <c r="Q252" i="13"/>
  <c r="Q250" i="13"/>
  <c r="Q249" i="13"/>
  <c r="Q247" i="13"/>
  <c r="Q245" i="13"/>
  <c r="Q251" i="13"/>
  <c r="Q248" i="13"/>
  <c r="Q246" i="13"/>
  <c r="R193" i="13"/>
  <c r="R33" i="13"/>
  <c r="R197" i="13"/>
  <c r="R48" i="13"/>
  <c r="P97" i="13"/>
  <c r="P100" i="13" s="1"/>
  <c r="P129" i="13" s="1"/>
  <c r="R119" i="13"/>
  <c r="R128" i="13" s="1"/>
  <c r="R129" i="13" s="1"/>
  <c r="P214" i="13"/>
  <c r="R64" i="13"/>
  <c r="R67" i="13" s="1"/>
  <c r="R195" i="13"/>
  <c r="O257" i="13"/>
  <c r="O259" i="13"/>
  <c r="O261" i="13"/>
  <c r="O263" i="13"/>
  <c r="O258" i="13"/>
  <c r="O260" i="13"/>
  <c r="O262" i="13"/>
  <c r="R78" i="11"/>
  <c r="O249" i="13" l="1"/>
  <c r="O248" i="13"/>
  <c r="O252" i="13"/>
  <c r="O245" i="13"/>
  <c r="O251" i="13"/>
  <c r="P297" i="13"/>
  <c r="O247" i="13"/>
  <c r="O250" i="13"/>
  <c r="Q254" i="13"/>
  <c r="Q266" i="13"/>
  <c r="O266" i="13"/>
  <c r="R80" i="13"/>
  <c r="R177" i="13"/>
  <c r="R180" i="13" s="1"/>
  <c r="O254" i="13" l="1"/>
  <c r="P295" i="13"/>
  <c r="R181" i="13"/>
  <c r="R47" i="12" l="1"/>
  <c r="R118" i="12" l="1"/>
  <c r="R104" i="12"/>
  <c r="R88" i="12"/>
  <c r="R78" i="12"/>
  <c r="N64" i="12" l="1"/>
  <c r="L64" i="12"/>
  <c r="L32" i="12"/>
  <c r="J32" i="12"/>
  <c r="H32" i="12"/>
  <c r="F32" i="12"/>
  <c r="D32" i="12"/>
  <c r="F33" i="12"/>
  <c r="D33" i="12"/>
  <c r="F29" i="12"/>
  <c r="D29" i="12"/>
  <c r="L29" i="12"/>
  <c r="J29" i="12"/>
  <c r="H29" i="12"/>
  <c r="N53" i="12"/>
  <c r="L41" i="12"/>
  <c r="J41" i="12"/>
  <c r="H41" i="12"/>
  <c r="F41" i="12"/>
  <c r="P221" i="12" l="1"/>
  <c r="P87" i="12"/>
  <c r="R64" i="12"/>
  <c r="Q290" i="12"/>
  <c r="P290" i="12"/>
  <c r="O290" i="12"/>
  <c r="N290" i="12"/>
  <c r="Q278" i="12"/>
  <c r="P278" i="12"/>
  <c r="O278" i="12"/>
  <c r="N278" i="12"/>
  <c r="O226" i="12" s="1"/>
  <c r="P266" i="12"/>
  <c r="Q261" i="12" s="1"/>
  <c r="N266" i="12"/>
  <c r="O264" i="12" s="1"/>
  <c r="P252" i="12"/>
  <c r="N252" i="12"/>
  <c r="P251" i="12"/>
  <c r="N251" i="12"/>
  <c r="P250" i="12"/>
  <c r="N250" i="12"/>
  <c r="P249" i="12"/>
  <c r="N249" i="12"/>
  <c r="P248" i="12"/>
  <c r="N248" i="12"/>
  <c r="P247" i="12"/>
  <c r="N247" i="12"/>
  <c r="P246" i="12"/>
  <c r="N246" i="12"/>
  <c r="P245" i="12"/>
  <c r="N245" i="12"/>
  <c r="P231" i="12"/>
  <c r="P229" i="12"/>
  <c r="O227" i="12"/>
  <c r="P226" i="12"/>
  <c r="R187" i="12"/>
  <c r="R178" i="12"/>
  <c r="R171" i="12"/>
  <c r="R166" i="12"/>
  <c r="R164" i="12"/>
  <c r="R163" i="12"/>
  <c r="R151" i="12"/>
  <c r="B132" i="12"/>
  <c r="B204" i="12" s="1"/>
  <c r="B306" i="12" s="1"/>
  <c r="P121" i="12"/>
  <c r="P128" i="12" s="1"/>
  <c r="P111" i="12"/>
  <c r="P98" i="12"/>
  <c r="R97" i="12"/>
  <c r="R100" i="12" s="1"/>
  <c r="P85" i="12"/>
  <c r="P86" i="12" s="1"/>
  <c r="R156" i="12" s="1"/>
  <c r="J83" i="12"/>
  <c r="R179" i="12"/>
  <c r="P293" i="12" s="1"/>
  <c r="P67" i="12"/>
  <c r="N67" i="12"/>
  <c r="J67" i="12"/>
  <c r="H67" i="12"/>
  <c r="H80" i="12" s="1"/>
  <c r="F67" i="12"/>
  <c r="F80" i="12" s="1"/>
  <c r="R65" i="12"/>
  <c r="N54" i="12"/>
  <c r="L40" i="12"/>
  <c r="J40" i="12"/>
  <c r="H40" i="12"/>
  <c r="F40" i="12"/>
  <c r="L33" i="12"/>
  <c r="J33" i="12"/>
  <c r="H33" i="12"/>
  <c r="R32" i="12"/>
  <c r="R31" i="12"/>
  <c r="O185" i="12" s="1"/>
  <c r="L30" i="12"/>
  <c r="J30" i="12"/>
  <c r="H30" i="12"/>
  <c r="F30" i="12"/>
  <c r="D30" i="12"/>
  <c r="R33" i="12" l="1"/>
  <c r="P214" i="12"/>
  <c r="R165" i="12"/>
  <c r="Q259" i="12"/>
  <c r="R48" i="12"/>
  <c r="P292" i="12"/>
  <c r="P294" i="12" s="1"/>
  <c r="R40" i="12"/>
  <c r="O257" i="12"/>
  <c r="R139" i="12"/>
  <c r="P227" i="12"/>
  <c r="N292" i="12"/>
  <c r="Q262" i="12"/>
  <c r="R152" i="12"/>
  <c r="Q263" i="12"/>
  <c r="P254" i="12"/>
  <c r="Q249" i="12" s="1"/>
  <c r="Q258" i="12"/>
  <c r="Q260" i="12"/>
  <c r="Q264" i="12"/>
  <c r="Q257" i="12"/>
  <c r="O261" i="12"/>
  <c r="O259" i="12"/>
  <c r="O263" i="12"/>
  <c r="R193" i="12"/>
  <c r="R199" i="12"/>
  <c r="R197" i="12"/>
  <c r="R119" i="12"/>
  <c r="R128" i="12" s="1"/>
  <c r="R129" i="12" s="1"/>
  <c r="R195" i="12"/>
  <c r="P97" i="12"/>
  <c r="P100" i="12" s="1"/>
  <c r="P129" i="12" s="1"/>
  <c r="N254" i="12"/>
  <c r="O249" i="12" s="1"/>
  <c r="R67" i="12"/>
  <c r="R138" i="12"/>
  <c r="R147" i="12" s="1"/>
  <c r="P297" i="12" s="1"/>
  <c r="L67" i="12"/>
  <c r="O258" i="12"/>
  <c r="O260" i="12"/>
  <c r="O262" i="12"/>
  <c r="Q246" i="12" l="1"/>
  <c r="Q250" i="12"/>
  <c r="Q247" i="12"/>
  <c r="Q251" i="12"/>
  <c r="Q248" i="12"/>
  <c r="Q252" i="12"/>
  <c r="Q245" i="12"/>
  <c r="Q266" i="12"/>
  <c r="O247" i="12"/>
  <c r="O252" i="12"/>
  <c r="O266" i="12"/>
  <c r="O250" i="12"/>
  <c r="O245" i="12"/>
  <c r="O248" i="12"/>
  <c r="O251" i="12"/>
  <c r="R177" i="12"/>
  <c r="R180" i="12" s="1"/>
  <c r="R80" i="12"/>
  <c r="P212" i="12"/>
  <c r="P213" i="12" s="1"/>
  <c r="P209" i="12"/>
  <c r="O246" i="12"/>
  <c r="Q254" i="12" l="1"/>
  <c r="R181" i="12"/>
  <c r="P295" i="12"/>
  <c r="O254" i="12"/>
  <c r="R47" i="11" l="1"/>
  <c r="R31" i="11"/>
  <c r="O186" i="11" l="1"/>
  <c r="R171" i="11" l="1"/>
  <c r="R119" i="11"/>
  <c r="R105" i="11"/>
  <c r="R89" i="11"/>
  <c r="L64" i="11"/>
  <c r="N64" i="11"/>
  <c r="L40" i="11"/>
  <c r="J40" i="11"/>
  <c r="H40" i="11"/>
  <c r="F40" i="11"/>
  <c r="R40" i="11" l="1"/>
  <c r="P222" i="11"/>
  <c r="P88" i="11"/>
  <c r="O291" i="11"/>
  <c r="N246" i="11"/>
  <c r="P232" i="11"/>
  <c r="F33" i="11" l="1"/>
  <c r="H33" i="11"/>
  <c r="J33" i="11"/>
  <c r="L33" i="11"/>
  <c r="D33" i="11"/>
  <c r="R140" i="11" l="1"/>
  <c r="R139" i="11" s="1"/>
  <c r="R48" i="11"/>
  <c r="R33" i="11"/>
  <c r="J83" i="11"/>
  <c r="R32" i="11" l="1"/>
  <c r="P209" i="11" l="1"/>
  <c r="P213" i="11"/>
  <c r="H30" i="11"/>
  <c r="J30" i="11"/>
  <c r="L30" i="11"/>
  <c r="D30" i="11"/>
  <c r="P253" i="11" l="1"/>
  <c r="P252" i="11"/>
  <c r="P251" i="11"/>
  <c r="P250" i="11"/>
  <c r="P249" i="11"/>
  <c r="P248" i="11"/>
  <c r="P247" i="11"/>
  <c r="P246" i="11"/>
  <c r="N253" i="11"/>
  <c r="N252" i="11"/>
  <c r="N251" i="11"/>
  <c r="N250" i="11"/>
  <c r="N249" i="11"/>
  <c r="N248" i="11"/>
  <c r="N247" i="11"/>
  <c r="P86" i="11" l="1"/>
  <c r="P87" i="11" s="1"/>
  <c r="R155" i="12" l="1"/>
  <c r="R158" i="12" l="1"/>
  <c r="R155" i="13" s="1"/>
  <c r="R158" i="13" s="1"/>
  <c r="R155" i="14" s="1"/>
  <c r="R158" i="14" s="1"/>
  <c r="R155" i="15" s="1"/>
  <c r="R158" i="15" s="1"/>
  <c r="R155" i="16" s="1"/>
  <c r="R158" i="16" s="1"/>
  <c r="R155" i="17" s="1"/>
  <c r="R158" i="17" s="1"/>
  <c r="R155" i="18" s="1"/>
  <c r="R158" i="18" s="1"/>
  <c r="F30" i="11"/>
  <c r="R155" i="26" l="1"/>
  <c r="R158" i="26" s="1"/>
  <c r="R157" i="27"/>
  <c r="R160" i="27" s="1"/>
  <c r="R155" i="25"/>
  <c r="R158" i="25" s="1"/>
  <c r="R155" i="24"/>
  <c r="R158" i="24" s="1"/>
  <c r="R155" i="23"/>
  <c r="R158" i="23" s="1"/>
  <c r="R155" i="22"/>
  <c r="R158" i="22" s="1"/>
  <c r="R155" i="21"/>
  <c r="R158" i="21" s="1"/>
  <c r="R155" i="20"/>
  <c r="R158" i="20" s="1"/>
  <c r="R155" i="19"/>
  <c r="R158" i="19" s="1"/>
  <c r="P230" i="11"/>
  <c r="P85" i="11" l="1"/>
  <c r="P98" i="11" s="1"/>
  <c r="R152" i="11" l="1"/>
  <c r="R151" i="11"/>
  <c r="N67" i="11" l="1"/>
  <c r="R98" i="11"/>
  <c r="R101" i="11" s="1"/>
  <c r="P122" i="11"/>
  <c r="N54" i="11"/>
  <c r="R153" i="11"/>
  <c r="F67" i="11"/>
  <c r="F80" i="11" s="1"/>
  <c r="R179" i="11"/>
  <c r="R65" i="11"/>
  <c r="H67" i="11"/>
  <c r="H80" i="11" s="1"/>
  <c r="P99" i="11"/>
  <c r="P101" i="11" s="1"/>
  <c r="N267" i="11"/>
  <c r="O264" i="11" s="1"/>
  <c r="P267" i="11"/>
  <c r="Q263" i="11" s="1"/>
  <c r="P233" i="11"/>
  <c r="P232" i="12" s="1"/>
  <c r="P232" i="13" s="1"/>
  <c r="P232" i="14" s="1"/>
  <c r="P232" i="15" s="1"/>
  <c r="P233" i="16" s="1"/>
  <c r="J67" i="11"/>
  <c r="P67" i="11"/>
  <c r="P112" i="11"/>
  <c r="B133" i="11"/>
  <c r="B205" i="11" s="1"/>
  <c r="B307" i="11" s="1"/>
  <c r="R164" i="11"/>
  <c r="R165" i="11"/>
  <c r="R167" i="11"/>
  <c r="R172" i="11"/>
  <c r="R173" i="11" s="1"/>
  <c r="R170" i="12" s="1"/>
  <c r="R172" i="12" s="1"/>
  <c r="R170" i="13" s="1"/>
  <c r="R172" i="13" s="1"/>
  <c r="R170" i="14" s="1"/>
  <c r="R172" i="14" s="1"/>
  <c r="R170" i="15" s="1"/>
  <c r="R172" i="15" s="1"/>
  <c r="R170" i="16" s="1"/>
  <c r="R173" i="16" s="1"/>
  <c r="R170" i="17" s="1"/>
  <c r="R173" i="17" s="1"/>
  <c r="R170" i="18" s="1"/>
  <c r="R173" i="18" s="1"/>
  <c r="R170" i="19" s="1"/>
  <c r="R173" i="19" s="1"/>
  <c r="R170" i="20" s="1"/>
  <c r="R173" i="20" s="1"/>
  <c r="R170" i="21" s="1"/>
  <c r="R173" i="21" s="1"/>
  <c r="R170" i="22" s="1"/>
  <c r="R173" i="22" s="1"/>
  <c r="R170" i="23" s="1"/>
  <c r="R173" i="23" s="1"/>
  <c r="N279" i="11"/>
  <c r="O227" i="11" s="1"/>
  <c r="P279" i="11"/>
  <c r="P227" i="11" s="1"/>
  <c r="N291" i="11"/>
  <c r="P291" i="11"/>
  <c r="L67" i="11"/>
  <c r="P189" i="11"/>
  <c r="P186" i="12" s="1"/>
  <c r="P188" i="12" s="1"/>
  <c r="P186" i="13" s="1"/>
  <c r="P188" i="13" s="1"/>
  <c r="P186" i="14" s="1"/>
  <c r="P188" i="14" s="1"/>
  <c r="P186" i="15" s="1"/>
  <c r="P188" i="15" s="1"/>
  <c r="P187" i="16" s="1"/>
  <c r="P189" i="16" s="1"/>
  <c r="P187" i="17" s="1"/>
  <c r="P189" i="17" s="1"/>
  <c r="P187" i="18" s="1"/>
  <c r="P189" i="18" s="1"/>
  <c r="P187" i="19" s="1"/>
  <c r="P189" i="19" s="1"/>
  <c r="P187" i="20" s="1"/>
  <c r="P189" i="20" s="1"/>
  <c r="P187" i="21" s="1"/>
  <c r="P189" i="21" s="1"/>
  <c r="P187" i="22" s="1"/>
  <c r="P189" i="22" s="1"/>
  <c r="P187" i="23" s="1"/>
  <c r="P189" i="23" s="1"/>
  <c r="P187" i="24" s="1"/>
  <c r="P189" i="24" s="1"/>
  <c r="P187" i="25" s="1"/>
  <c r="P189" i="25" s="1"/>
  <c r="P187" i="26" s="1"/>
  <c r="P189" i="26" s="1"/>
  <c r="P189" i="27" s="1"/>
  <c r="P191" i="27" s="1"/>
  <c r="P123" i="11"/>
  <c r="R188" i="11"/>
  <c r="O189" i="11"/>
  <c r="O186" i="12" s="1"/>
  <c r="R187" i="11"/>
  <c r="Q291" i="11"/>
  <c r="O279" i="11"/>
  <c r="Q279" i="11"/>
  <c r="R64" i="11"/>
  <c r="P255" i="11"/>
  <c r="Q253" i="11" s="1"/>
  <c r="R170" i="24" l="1"/>
  <c r="R173" i="24" s="1"/>
  <c r="R67" i="11"/>
  <c r="P129" i="11"/>
  <c r="P130" i="11" s="1"/>
  <c r="O188" i="12"/>
  <c r="R186" i="12"/>
  <c r="P215" i="11"/>
  <c r="R196" i="11"/>
  <c r="R194" i="11"/>
  <c r="O263" i="11"/>
  <c r="O259" i="11"/>
  <c r="N293" i="11"/>
  <c r="Q259" i="11"/>
  <c r="Q258" i="11"/>
  <c r="O228" i="11"/>
  <c r="O260" i="11"/>
  <c r="O258" i="11"/>
  <c r="R166" i="11"/>
  <c r="R120" i="11"/>
  <c r="R129" i="11" s="1"/>
  <c r="R200" i="11"/>
  <c r="R198" i="11"/>
  <c r="P293" i="11"/>
  <c r="P228" i="11"/>
  <c r="Q262" i="11"/>
  <c r="O262" i="11"/>
  <c r="Q261" i="11"/>
  <c r="O261" i="11"/>
  <c r="Q260" i="11"/>
  <c r="O265" i="11"/>
  <c r="R189" i="11"/>
  <c r="O190" i="11"/>
  <c r="N255" i="11"/>
  <c r="P210" i="11"/>
  <c r="Q264" i="11"/>
  <c r="Q265" i="11"/>
  <c r="Q248" i="11"/>
  <c r="Q250" i="11"/>
  <c r="Q249" i="11"/>
  <c r="Q252" i="11"/>
  <c r="Q246" i="11"/>
  <c r="Q251" i="11"/>
  <c r="Q247" i="11"/>
  <c r="R178" i="11"/>
  <c r="R148" i="11"/>
  <c r="P298" i="11" s="1"/>
  <c r="R170" i="25" l="1"/>
  <c r="R173" i="25" s="1"/>
  <c r="O267" i="11"/>
  <c r="O186" i="13"/>
  <c r="R188" i="12"/>
  <c r="O189" i="12"/>
  <c r="O249" i="11"/>
  <c r="O246" i="11"/>
  <c r="R130" i="11"/>
  <c r="Q267" i="11"/>
  <c r="Q255" i="11"/>
  <c r="R80" i="11"/>
  <c r="P214" i="11"/>
  <c r="O252" i="11"/>
  <c r="O248" i="11"/>
  <c r="O251" i="11"/>
  <c r="O247" i="11"/>
  <c r="O253" i="11"/>
  <c r="O250" i="11"/>
  <c r="R170" i="26" l="1"/>
  <c r="R173" i="26" s="1"/>
  <c r="R175" i="27"/>
  <c r="R186" i="13"/>
  <c r="O188" i="13"/>
  <c r="O186" i="14" s="1"/>
  <c r="R182" i="11"/>
  <c r="P296" i="11"/>
  <c r="O255" i="11"/>
  <c r="R180" i="11"/>
  <c r="O188" i="14" l="1"/>
  <c r="R186" i="14"/>
  <c r="R188" i="13"/>
  <c r="O189" i="13"/>
  <c r="R181" i="11"/>
  <c r="P294" i="11"/>
  <c r="P295" i="11" s="1"/>
  <c r="O186" i="15" l="1"/>
  <c r="R188" i="14"/>
  <c r="O189" i="14"/>
  <c r="O188" i="15" l="1"/>
  <c r="R186" i="15"/>
  <c r="O187" i="16" l="1"/>
  <c r="O189" i="15"/>
  <c r="R188" i="15"/>
  <c r="O189" i="16" l="1"/>
  <c r="O187" i="17" s="1"/>
  <c r="R187" i="16"/>
  <c r="O189" i="17" l="1"/>
  <c r="R187" i="17"/>
  <c r="O190" i="16"/>
  <c r="R189" i="16"/>
  <c r="O187" i="18" l="1"/>
  <c r="O190" i="17"/>
  <c r="R189" i="17"/>
  <c r="O189" i="18" l="1"/>
  <c r="R187" i="18"/>
  <c r="O187" i="19" l="1"/>
  <c r="O190" i="18"/>
  <c r="R189" i="18"/>
  <c r="O189" i="19" l="1"/>
  <c r="R187" i="19"/>
  <c r="O187" i="20" l="1"/>
  <c r="O190" i="19"/>
  <c r="R189" i="19"/>
  <c r="O189" i="20" l="1"/>
  <c r="R187" i="20"/>
  <c r="O187" i="21" l="1"/>
  <c r="O190" i="20"/>
  <c r="R189" i="20"/>
  <c r="O189" i="21" l="1"/>
  <c r="R187" i="21"/>
  <c r="O187" i="22" l="1"/>
  <c r="R189" i="21"/>
  <c r="O190" i="21"/>
  <c r="O189" i="22" l="1"/>
  <c r="R187" i="22"/>
  <c r="O187" i="23" l="1"/>
  <c r="O190" i="22"/>
  <c r="R189" i="22"/>
  <c r="O189" i="23" l="1"/>
  <c r="R187" i="23"/>
  <c r="O187" i="24" l="1"/>
  <c r="R189" i="23"/>
  <c r="O190" i="23"/>
  <c r="O189" i="24" l="1"/>
  <c r="R187" i="24"/>
  <c r="O187" i="25" l="1"/>
  <c r="R189" i="24"/>
  <c r="O190" i="24"/>
  <c r="O189" i="25" l="1"/>
  <c r="O187" i="26" s="1"/>
  <c r="R187" i="25"/>
  <c r="O189" i="26" l="1"/>
  <c r="O189" i="27" s="1"/>
  <c r="R187" i="26"/>
  <c r="R189" i="25"/>
  <c r="O190" i="25"/>
  <c r="O191" i="27" l="1"/>
  <c r="R189" i="27"/>
  <c r="O190" i="26"/>
  <c r="R189" i="26"/>
  <c r="O192" i="27" l="1"/>
  <c r="R191" i="27"/>
</calcChain>
</file>

<file path=xl/sharedStrings.xml><?xml version="1.0" encoding="utf-8"?>
<sst xmlns="http://schemas.openxmlformats.org/spreadsheetml/2006/main" count="6082" uniqueCount="304">
  <si>
    <t>Summary Transaction  Features</t>
  </si>
  <si>
    <t>Name of Issuer</t>
  </si>
  <si>
    <t>Originator % at Closing</t>
  </si>
  <si>
    <t xml:space="preserve">Originator % at the Quarter End </t>
  </si>
  <si>
    <t>Date of Issue</t>
  </si>
  <si>
    <t>Date of Production</t>
  </si>
  <si>
    <t>Security Level Data</t>
  </si>
  <si>
    <t>ISIN</t>
  </si>
  <si>
    <t xml:space="preserve">Note Interest Margins: </t>
  </si>
  <si>
    <t>Current Note Interest Rates:</t>
  </si>
  <si>
    <t>Previous Note Interest Rates:</t>
  </si>
  <si>
    <t>Step-up Dates</t>
  </si>
  <si>
    <t>Record Date</t>
  </si>
  <si>
    <t>Asset Movements</t>
  </si>
  <si>
    <t>Mortgages</t>
  </si>
  <si>
    <t>Current Principal Balance (£'000)</t>
  </si>
  <si>
    <t>Accrued Arrears and Interest Sold to Issuer (£'000)</t>
  </si>
  <si>
    <t>Total (£'000)</t>
  </si>
  <si>
    <t>Consumer Loans</t>
  </si>
  <si>
    <t>Credit Enhancement</t>
  </si>
  <si>
    <t>Unreplenished Losses on Mortgages</t>
  </si>
  <si>
    <t>Outstanding Note Principal</t>
  </si>
  <si>
    <t>Principal/Revenue Analysis</t>
  </si>
  <si>
    <t>Opening cash balance</t>
  </si>
  <si>
    <t xml:space="preserve">Total principal cash received this period from assets </t>
  </si>
  <si>
    <t>Initial income for distribution this period</t>
  </si>
  <si>
    <t>Revenue adjustment for payment of Accrued Arrears and Interest Sold at closing</t>
  </si>
  <si>
    <t>Final income for distribution this period</t>
  </si>
  <si>
    <t>Revenue payments made or accrued from Revenue Income:</t>
  </si>
  <si>
    <t>Third Party payments for Corporation Tax and VAT</t>
  </si>
  <si>
    <t>Principal payments made from Principal Income:</t>
  </si>
  <si>
    <t>Total payments to be made this quarter</t>
  </si>
  <si>
    <t>Total closing cash balance</t>
  </si>
  <si>
    <t>Available Credit Enhancement</t>
  </si>
  <si>
    <t>First Loss Fund Analysis</t>
  </si>
  <si>
    <t>First Loss Fund at Closing</t>
  </si>
  <si>
    <t>Last Quarter closing First Loss Fund balance</t>
  </si>
  <si>
    <t>PDL Replenishment</t>
  </si>
  <si>
    <t>Closing First Loss Fund Balance</t>
  </si>
  <si>
    <t>Principal Deficiency Ledger (PDL)</t>
  </si>
  <si>
    <t>Opening PDL Balance</t>
  </si>
  <si>
    <t>Losses this quarter</t>
  </si>
  <si>
    <t>Total PDL balance</t>
  </si>
  <si>
    <t>Closing PDL Balance</t>
  </si>
  <si>
    <t>Over Collateralisation</t>
  </si>
  <si>
    <t>Outstanding Note Principal (£'000)</t>
  </si>
  <si>
    <t>Mandatory and Discretionary Further Advances (FA's)</t>
  </si>
  <si>
    <t>Total FA's permitted</t>
  </si>
  <si>
    <t>FA's made to last quarter</t>
  </si>
  <si>
    <t>FA's made this quarter</t>
  </si>
  <si>
    <t>Total FA's made to date</t>
  </si>
  <si>
    <t>Remaining permitted FA's</t>
  </si>
  <si>
    <t xml:space="preserve">Cash Flow Interest Coverage </t>
  </si>
  <si>
    <t>Cover Ratio for Class A Notes (at last Interest Payment Date)</t>
  </si>
  <si>
    <t xml:space="preserve">Cover Ratio for Class A Notes (cumulative) </t>
  </si>
  <si>
    <t>Collateral Level Data</t>
  </si>
  <si>
    <t>Original Weighted Average Yield</t>
  </si>
  <si>
    <t>Original Spread</t>
  </si>
  <si>
    <t>Current Weighted Average Yield</t>
  </si>
  <si>
    <t>Current Spread</t>
  </si>
  <si>
    <t>Original Weighted Average Maturity</t>
  </si>
  <si>
    <t>Current Weighted Average Maturity</t>
  </si>
  <si>
    <t>Quarterly Prepayment Rate</t>
  </si>
  <si>
    <t>Life Time Prepayment Rate</t>
  </si>
  <si>
    <t>Delinquency Status</t>
  </si>
  <si>
    <t>Enforcements in Progress</t>
  </si>
  <si>
    <t>Enforcements Completed</t>
  </si>
  <si>
    <t>Principal Losses</t>
  </si>
  <si>
    <t>Agg Loan Principal Losses (during related Collection Period)</t>
  </si>
  <si>
    <t>Cumulative Principal Losses (since closing date)</t>
  </si>
  <si>
    <t>Average Number of months in Arrears @ Redemption date</t>
  </si>
  <si>
    <t>Average months between Possession &amp; Redemption</t>
  </si>
  <si>
    <t>Performing</t>
  </si>
  <si>
    <t>&gt;1&lt;=2 Months</t>
  </si>
  <si>
    <t>&gt;2&lt;=3 Months</t>
  </si>
  <si>
    <t>Contact Name/Address</t>
  </si>
  <si>
    <t>As at Closing</t>
  </si>
  <si>
    <t>PDD =</t>
  </si>
  <si>
    <t>Last Quarter Balance</t>
  </si>
  <si>
    <t>Tel.</t>
  </si>
  <si>
    <t>E-mail</t>
  </si>
  <si>
    <t>Additions this quarter</t>
  </si>
  <si>
    <t>DFA's</t>
  </si>
  <si>
    <t>No.</t>
  </si>
  <si>
    <t>%</t>
  </si>
  <si>
    <t>Senior/Subordinate</t>
  </si>
  <si>
    <t>Repurchases this quarter</t>
  </si>
  <si>
    <t>Principal (£'000)</t>
  </si>
  <si>
    <t>£'000 Value</t>
  </si>
  <si>
    <t>£'000 Principal</t>
  </si>
  <si>
    <t>years</t>
  </si>
  <si>
    <t>Quarterly</t>
  </si>
  <si>
    <t>Current Principal Outstanding</t>
  </si>
  <si>
    <t>Revenue (£'000)</t>
  </si>
  <si>
    <t>Total</t>
  </si>
  <si>
    <t>x</t>
  </si>
  <si>
    <t>Payments to Swap Counterparty</t>
  </si>
  <si>
    <t>N/A</t>
  </si>
  <si>
    <t>Note Step-Up Margins</t>
  </si>
  <si>
    <t>Previous Quarterly Interest Period (No. of Days)</t>
  </si>
  <si>
    <t>Current Quarterly Interest Period (No. of Days)</t>
  </si>
  <si>
    <t>First Loss Fund Replenishment</t>
  </si>
  <si>
    <t>Replenishments from excess Revenue cash</t>
  </si>
  <si>
    <t>Current Pool Factor</t>
  </si>
  <si>
    <t>Previous Pool Factor</t>
  </si>
  <si>
    <t xml:space="preserve">Previous Outstanding Note Principal </t>
  </si>
  <si>
    <t>Original Issue Amount ('000)</t>
  </si>
  <si>
    <t xml:space="preserve">Current Outstanding Note Principal </t>
  </si>
  <si>
    <t>Drawings this quarter to fund</t>
  </si>
  <si>
    <t>N.B. This data fact sheet and its notes can only be a summary of certain features of the bonds and their structure. No representation can be made that the information herein is accurate or complete and no liability is accepted therefor. Reference should be made to the issued</t>
  </si>
  <si>
    <t xml:space="preserve">information herein when making any decision whether to buy, hold or sell bonds (or other securities) or for any other purpose. </t>
  </si>
  <si>
    <t>documentation for a full description of the bonds and their structure. This data fact sheet and its notes are for information purposes only and are not intended as an offer or invitation with respect to the purchase or sale of any security. Reliance should not be placed on the</t>
  </si>
  <si>
    <t>AAA</t>
  </si>
  <si>
    <t>Appointment of a Receiver of Rent</t>
  </si>
  <si>
    <t>+44 (0) 121 712 2315</t>
  </si>
  <si>
    <t>+44 (0) 121 712 3894</t>
  </si>
  <si>
    <t>john.harvey@paragon-group.co.uk</t>
  </si>
  <si>
    <t>jimmy.giles@paragon-group.co.uk</t>
  </si>
  <si>
    <t>ACTUAL/365</t>
  </si>
  <si>
    <t>&gt;3&lt;=4 Months</t>
  </si>
  <si>
    <t>&gt;4&lt;=5 Months</t>
  </si>
  <si>
    <t>&gt;5&lt;=6 Months</t>
  </si>
  <si>
    <t>&gt;6&lt;=12 Months</t>
  </si>
  <si>
    <t>&gt;12 Months</t>
  </si>
  <si>
    <t>Delinquency Summary (Excluding Receiver of Rent and Possession Cases)</t>
  </si>
  <si>
    <t>Delinquency Summary (For Possession Cases)</t>
  </si>
  <si>
    <t>Total Assets</t>
  </si>
  <si>
    <t xml:space="preserve">FOR FURTHER ASSISTANCE ON THE INVESTOR REPORTS, PLEASE REFER TO THE "INVESTOR TERMS" POSTED ON THE PARAGON WEBSITE   </t>
  </si>
  <si>
    <t>http://www.paragon-group.co.uk</t>
  </si>
  <si>
    <t xml:space="preserve">FOR ADDITIONAL INFORMATION ON THE UNDERLYING ASSETS, PLEASE REFER TO THE "POOL TABLES" AND "SUMMARY" SECTIONS POSTED ON THE PARAGON WEBSITE  </t>
  </si>
  <si>
    <t xml:space="preserve"> </t>
  </si>
  <si>
    <t>Quarterly Interest Payment Date</t>
  </si>
  <si>
    <t>Stated Maturity - Class A Notes</t>
  </si>
  <si>
    <t>Redemption Income</t>
  </si>
  <si>
    <t>Investment Income</t>
  </si>
  <si>
    <t>Quarterly Interest Income</t>
  </si>
  <si>
    <t>Receiver of Rent Properties Sold</t>
  </si>
  <si>
    <t>Average Number of months in Arrears @ Sale date</t>
  </si>
  <si>
    <t>Termination Fees to the Swap Providers</t>
  </si>
  <si>
    <t>Total Income as a % of the Total Assets</t>
  </si>
  <si>
    <t>Aggregate Balance of Substituted Loans (Pre Funding Reserve)</t>
  </si>
  <si>
    <t>Opening Balance</t>
  </si>
  <si>
    <t>Closing Balance</t>
  </si>
  <si>
    <t>Swap Receipts</t>
  </si>
  <si>
    <t>Scheduled Release to the Revenue Ledger</t>
  </si>
  <si>
    <t xml:space="preserve">Scheduled Releases from the Margin Reserve Fund </t>
  </si>
  <si>
    <t>Delinquency Summary (For Receiver of Rent Cases)</t>
  </si>
  <si>
    <t>+44 (0) 121 712 3896</t>
  </si>
  <si>
    <t>andrew.kitching@paragon-group.co.uk</t>
  </si>
  <si>
    <t>N/A: Sequential Paydown</t>
  </si>
  <si>
    <t>Accrual from Revenue for potential Losses</t>
  </si>
  <si>
    <t>Possession Properties Sold</t>
  </si>
  <si>
    <t>Delinquency Summary</t>
  </si>
  <si>
    <t>Unrated</t>
  </si>
  <si>
    <t>PM (2010) Ltd</t>
  </si>
  <si>
    <t>Class A Note Interest</t>
  </si>
  <si>
    <t>Issuer Profit Amount</t>
  </si>
  <si>
    <t>Swap Retention fund</t>
  </si>
  <si>
    <t>Original Weighted Average Note Coupon</t>
  </si>
  <si>
    <t>Current Weighted Average Note Coupon</t>
  </si>
  <si>
    <t>Properties Sold by Mortgagee - Outstanding Principal Balance</t>
  </si>
  <si>
    <t>Minimum Mortgage Rate</t>
  </si>
  <si>
    <t>This Quarter's Scheduled Repayments</t>
  </si>
  <si>
    <t>This Quarter's Unscheduled / Redemptions</t>
  </si>
  <si>
    <t>Liquidity Excess Amount Drawings (Revenue Shortfall)</t>
  </si>
  <si>
    <t>Principal Drawings (Potential Interest Shortfall)</t>
  </si>
  <si>
    <t>Liquidity Amount Drawings (Remaining Potential Interest Shortfall)</t>
  </si>
  <si>
    <t>Issuer Services Provider Fee</t>
  </si>
  <si>
    <t>Pre Funding Reserve at Closing</t>
  </si>
  <si>
    <t>Liquidity Excess Amount (First Loss Fund - Liquidity Amount)</t>
  </si>
  <si>
    <t>MFA's</t>
  </si>
  <si>
    <t>Unutilised Pre Funding Reserve diverted to Principal</t>
  </si>
  <si>
    <t>Current Principal Balance Outstanding (£'000)</t>
  </si>
  <si>
    <t>Pre Funding Reserve Outstanding (£'000)</t>
  </si>
  <si>
    <t>PDL replenishment (+) from Revenue income / Liquidity Excess Amount / Recovery (+) to Revenue income</t>
  </si>
  <si>
    <t>Accrued Arrears and Interest not Sold to Issuer</t>
  </si>
  <si>
    <t>Total Note Principal</t>
  </si>
  <si>
    <t>Total Mortgage Assets</t>
  </si>
  <si>
    <t>AA</t>
  </si>
  <si>
    <t>Class B Notes</t>
  </si>
  <si>
    <t>Class C Notes</t>
  </si>
  <si>
    <t>Class B Note repayment</t>
  </si>
  <si>
    <t>Class C Note repayment</t>
  </si>
  <si>
    <t>Cover Ratio for Class B Notes (at last Interest Payment Date)</t>
  </si>
  <si>
    <t xml:space="preserve">Cover Ratio for Class B Notes (cumulative) </t>
  </si>
  <si>
    <t>Cover Ratio for Class C Notes (at last Interest Payment Date)</t>
  </si>
  <si>
    <t xml:space="preserve">Cover Ratio for Class C Notes (cumulative) </t>
  </si>
  <si>
    <t>Stated Maturity - Class B Notes</t>
  </si>
  <si>
    <t>Stated Maturity - Class C Notes</t>
  </si>
  <si>
    <t>Class B Note Interest</t>
  </si>
  <si>
    <t>Class C Note Interest</t>
  </si>
  <si>
    <t>Pre Funding utilised this quarter</t>
  </si>
  <si>
    <t>John Harvey, 51 Homer Road, Solihull, West Midlands, B91 3QJ</t>
  </si>
  <si>
    <t>Andrew Kitching, 51 Homer Road, Solihull, West Midlands, B91 3QJ</t>
  </si>
  <si>
    <t>Jimmy Giles, 51 Homer Road, Solihull, West Midlands, B91 3QJ</t>
  </si>
  <si>
    <t>Trustee Fee/Costs and Expenses claimed by the Substitute Administrator &amp; SFM Corporate Services Provider</t>
  </si>
  <si>
    <t>Pre Funding Reserve / Available Redemption Funds</t>
  </si>
  <si>
    <t>Moody's Rating at Closing</t>
  </si>
  <si>
    <t>Current Moody's Rating</t>
  </si>
  <si>
    <t>Aaa</t>
  </si>
  <si>
    <t>Aa2</t>
  </si>
  <si>
    <t>A1</t>
  </si>
  <si>
    <t>Retention Requirement under Article 405 of Regulation (EU) No.575/2013 (as amended) (the "Capital Requirements Regulation")</t>
  </si>
  <si>
    <t xml:space="preserve">Pre Funding Reserve Ledger </t>
  </si>
  <si>
    <t xml:space="preserve">Margin Reserve Fund </t>
  </si>
  <si>
    <t>Pre Funding Reserve Remaining / Diverted to Principal to form part of the Available Redemption Funds</t>
  </si>
  <si>
    <t>Discretionary Further Advance Pre Funding Reserve</t>
  </si>
  <si>
    <t>Junior Administration Fee to PM (2010)</t>
  </si>
  <si>
    <t>PM (2010) Mandatory Further Advances</t>
  </si>
  <si>
    <t>PM (2010) Discretionary Further Advances</t>
  </si>
  <si>
    <t>Liquidity Amount (2.50% of the Class A, B and C Notes outstanding)</t>
  </si>
  <si>
    <t>Discretionary Further Advance Pre Funding Reserve Ledger (DFAPFRL)</t>
  </si>
  <si>
    <t>Discretionary Further Advance Pre Funding Reserve at Closing</t>
  </si>
  <si>
    <t>Discretionary Further Advance Pre Funding Reserve utilised this quarter</t>
  </si>
  <si>
    <t>Discretionary Further Advance Pre Funding Reserve Diverted to Principal to form part of the Available Redemption Funds</t>
  </si>
  <si>
    <t xml:space="preserve">Closing Discretionary Further Advance Pre Funding Reserve </t>
  </si>
  <si>
    <t>Discretionary Further Advance Pre Funding Reserve Outstanding (£'000)</t>
  </si>
  <si>
    <t xml:space="preserve">Outstanding Pre Funding Reserve and DFAPFRL </t>
  </si>
  <si>
    <t>PM (2010) Discretionary Further Advance Pre Funding Reserve diverted to Principal</t>
  </si>
  <si>
    <t xml:space="preserve">Funding of PM (2010) Discretionary Further Advances </t>
  </si>
  <si>
    <t>80bp</t>
  </si>
  <si>
    <t>Paragon Mortgages (No.22) PLC</t>
  </si>
  <si>
    <t>This performance report is issued by Paragon Mortgages (2010) Limited for and on behalf of Paragon Mortgages (No.22) PLC</t>
  </si>
  <si>
    <t>PM22 PLC</t>
  </si>
  <si>
    <t>PM22 INVESTOR REPORT QUARTER ENDING MAY 2015</t>
  </si>
  <si>
    <t>Class A, B, C and E Interest Payment Cycle</t>
  </si>
  <si>
    <t>Fitch Rating at Closing</t>
  </si>
  <si>
    <t>Current Fitch Rating</t>
  </si>
  <si>
    <t>XS1196528399</t>
  </si>
  <si>
    <t>Original GBP Equivalent Note Principal</t>
  </si>
  <si>
    <t>Previous GBP Equivalent Note Principal</t>
  </si>
  <si>
    <t>Current GBP Equivalent Note Principal</t>
  </si>
  <si>
    <t>Class A 1 Notes</t>
  </si>
  <si>
    <t>Class A2 Notes</t>
  </si>
  <si>
    <t>Class E Notes</t>
  </si>
  <si>
    <t>GBP Note Margin</t>
  </si>
  <si>
    <t>Current GBP Interest Rates</t>
  </si>
  <si>
    <t>Previous GBP Interest Rates</t>
  </si>
  <si>
    <t>Optional Redemption (Call)  Dates</t>
  </si>
  <si>
    <t>GBP Step-Up Margins</t>
  </si>
  <si>
    <t>50bp</t>
  </si>
  <si>
    <t>100bp</t>
  </si>
  <si>
    <t>XS1196528472</t>
  </si>
  <si>
    <t>XS1196525882</t>
  </si>
  <si>
    <t>XS1196525965</t>
  </si>
  <si>
    <t>XS1196526187</t>
  </si>
  <si>
    <t>160bp</t>
  </si>
  <si>
    <t>135bp</t>
  </si>
  <si>
    <t>270bp</t>
  </si>
  <si>
    <t>A+</t>
  </si>
  <si>
    <t>165bp</t>
  </si>
  <si>
    <t>330bp</t>
  </si>
  <si>
    <t>200bp</t>
  </si>
  <si>
    <t>Class B, C and E Notes as a percentage Class A Notes at issue</t>
  </si>
  <si>
    <t>Current Outstanding Class B, C and E Notes as a percentage of Current Outstanding Class A Notes</t>
  </si>
  <si>
    <t>Determination Event for Paying Class B, C and E Notes</t>
  </si>
  <si>
    <t>Replenishments from drawings on the PM22/PFPLC Subordinated Loan</t>
  </si>
  <si>
    <t>Cover Ratio for Class E Notes (at last Interest Payment Date)</t>
  </si>
  <si>
    <t xml:space="preserve">Cover Ratio for Class E Notes (cumulative) </t>
  </si>
  <si>
    <t>Stated Maturity - Class E Notes</t>
  </si>
  <si>
    <t>104bp</t>
  </si>
  <si>
    <t>Class A1 Interest Calculated on</t>
  </si>
  <si>
    <t>Class A2, B, C and E Interest Calculated on</t>
  </si>
  <si>
    <t>ACTUAL/360</t>
  </si>
  <si>
    <t>Drawing on the PFPLC/PM22 Subordinated Loan for Interest Shortfalls</t>
  </si>
  <si>
    <t>Senior Administration Fee to PM (2010) / Out of pocket expenses/ Substitute Administrator Commitment Fee/ Substitute Administrator Facilitator Fee / Surveillance Fees to Rating Agencies / Fees to Corporate Services Provider / Amounts payable to the Account Bank &amp; Hedge Collateral Custodian</t>
  </si>
  <si>
    <t>Class A2 Note Interest</t>
  </si>
  <si>
    <t>Class E Note Interest and Deferred Interest</t>
  </si>
  <si>
    <t xml:space="preserve">Surplus income to the Issuer </t>
  </si>
  <si>
    <t>Class A2 Note repayment</t>
  </si>
  <si>
    <t>Class A1 Swap Currency repayment</t>
  </si>
  <si>
    <t>Class E Note repayment</t>
  </si>
  <si>
    <t>Class A1 Swap Currency Interest</t>
  </si>
  <si>
    <t>208bp</t>
  </si>
  <si>
    <t>5 (a)</t>
  </si>
  <si>
    <t>5 (b)</t>
  </si>
  <si>
    <t>PM22 INVESTOR REPORT QUARTER ENDING AUGUST 2015</t>
  </si>
  <si>
    <t>Discretionary Further Advance Pre Funding Reserve at last quarter end</t>
  </si>
  <si>
    <t xml:space="preserve">Pre Funding Reserve at last quarter end </t>
  </si>
  <si>
    <t>PM22 INVESTOR REPORT QUARTER ENDING NOVEMBER 2015</t>
  </si>
  <si>
    <t>PM22 INVESTOR REPORT QUARTER ENDING FEBRUARY 2016</t>
  </si>
  <si>
    <t>PM22 INVESTOR REPORT QUARTER ENDING MAY 2016</t>
  </si>
  <si>
    <t>PM22 INVESTOR REPORT QUARTER ENDING AUGUST 2016</t>
  </si>
  <si>
    <t>Margin Rerseve Fund Ledger Conversion Required Amount</t>
  </si>
  <si>
    <t>Aggregate Principal Balance of Repurchased Loans (during related Collection Period)</t>
  </si>
  <si>
    <t>PM22 INVESTOR REPORT QUARTER ENDING NOVEMBER 2016</t>
  </si>
  <si>
    <t>PM22 INVESTOR REPORT QUARTER ENDING FEBRUARY 2017</t>
  </si>
  <si>
    <t>Senior Administration Fee to PM (2010) / Out of pocket expenses/ Senior Expenses</t>
  </si>
  <si>
    <t>Margin Rerseve Fund Ledger Conversion Required Amount for the period</t>
  </si>
  <si>
    <t>PM22 INVESTOR REPORT QUARTER ENDING MAY 2017</t>
  </si>
  <si>
    <t>PM22 INVESTOR REPORT QUARTER ENDING AUGUST 2017</t>
  </si>
  <si>
    <t>http://www.paragonbankinggroup.co.uk</t>
  </si>
  <si>
    <t>andrew.kitching@paragonbank.co.uk</t>
  </si>
  <si>
    <t>jimmy.giles@paragonbank.co.uk</t>
  </si>
  <si>
    <t>PM22 INVESTOR REPORT QUARTER ENDING NOVEMBER 2017</t>
  </si>
  <si>
    <t>PM22 INVESTOR REPORT QUARTER ENDING FEBRUARY 2018</t>
  </si>
  <si>
    <t>Aa1</t>
  </si>
  <si>
    <t>PM22 INVESTOR REPORT QUARTER ENDING MAY 2018</t>
  </si>
  <si>
    <t>PM22 INVESTOR REPORT QUARTER ENDING AUGUST 2018</t>
  </si>
  <si>
    <t>PM22 INVESTOR REPORT QUARTER ENDING NOVEMBER 2018</t>
  </si>
  <si>
    <t>PM22 INVESTOR REPORT QUARTER ENDING FEBRUARY 2019</t>
  </si>
  <si>
    <t>PM22 INVESTOR REPORT QUARTER ENDING MAY 2019</t>
  </si>
  <si>
    <t>Release of the First Loss Fund following repayment of the Notes</t>
  </si>
  <si>
    <t>Release of the First Loss Fund to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</si>
</sst>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809]#,##0"/>
    <numFmt numFmtId="165" formatCode="0.00000%"/>
    <numFmt numFmtId="166" formatCode="0.0%"/>
    <numFmt numFmtId="167" formatCode="d\-mmm\-yy"/>
    <numFmt numFmtId="168" formatCode="[$€-2]\ #,##0"/>
    <numFmt numFmtId="169" formatCode="&quot;£&quot;#,##0"/>
    <numFmt numFmtId="170" formatCode="0.0000000"/>
    <numFmt numFmtId="171" formatCode="&quot;£&quot;#,##0.00"/>
    <numFmt numFmtId="172" formatCode="[$€-1809]#,##0"/>
  </numFmts>
  <fonts count="66" x14ac:knownFonts="1">
    <font>
      <sz val="12"/>
      <name val="Arial"/>
    </font>
    <font>
      <sz val="12"/>
      <name val="Arial"/>
      <family val="2"/>
    </font>
    <font>
      <sz val="12"/>
      <name val="Times New Roman"/>
      <family val="1"/>
    </font>
    <font>
      <b/>
      <u/>
      <sz val="12"/>
      <name val="Times New Roman"/>
      <family val="1"/>
    </font>
    <font>
      <u/>
      <sz val="12"/>
      <name val="Times New Roman"/>
      <family val="1"/>
    </font>
    <font>
      <b/>
      <sz val="12"/>
      <color indexed="29"/>
      <name val="Times New Roman"/>
      <family val="1"/>
    </font>
    <font>
      <b/>
      <i/>
      <sz val="10"/>
      <name val="Times New Roman"/>
      <family val="1"/>
    </font>
    <font>
      <b/>
      <sz val="12"/>
      <name val="Times New Roman"/>
      <family val="1"/>
    </font>
    <font>
      <b/>
      <sz val="12"/>
      <color indexed="12"/>
      <name val="Times New Roman"/>
      <family val="1"/>
    </font>
    <font>
      <sz val="12"/>
      <color indexed="8"/>
      <name val="Times New Roman"/>
      <family val="1"/>
    </font>
    <font>
      <b/>
      <sz val="12"/>
      <color indexed="8"/>
      <name val="Times New Roman"/>
      <family val="1"/>
    </font>
    <font>
      <b/>
      <u/>
      <sz val="12"/>
      <color indexed="8"/>
      <name val="Times New Roman"/>
      <family val="1"/>
    </font>
    <font>
      <b/>
      <sz val="12"/>
      <color indexed="53"/>
      <name val="Times New Roman"/>
      <family val="1"/>
    </font>
    <font>
      <sz val="12"/>
      <color indexed="53"/>
      <name val="Times New Roman"/>
      <family val="1"/>
    </font>
    <font>
      <b/>
      <u/>
      <sz val="12"/>
      <color indexed="53"/>
      <name val="Times New Roman"/>
      <family val="1"/>
    </font>
    <font>
      <u/>
      <sz val="8.4"/>
      <color indexed="12"/>
      <name val="Arial"/>
      <family val="2"/>
    </font>
    <font>
      <b/>
      <sz val="14"/>
      <color indexed="53"/>
      <name val="Times New Roman"/>
      <family val="1"/>
    </font>
    <font>
      <b/>
      <u/>
      <sz val="14"/>
      <color indexed="53"/>
      <name val="Times New Roman"/>
      <family val="1"/>
    </font>
    <font>
      <sz val="12"/>
      <color indexed="9"/>
      <name val="Times New Roman"/>
      <family val="1"/>
    </font>
    <font>
      <b/>
      <sz val="12"/>
      <color indexed="9"/>
      <name val="Times New Roman"/>
      <family val="1"/>
    </font>
    <font>
      <sz val="12"/>
      <color indexed="9"/>
      <name val="Times New Roman"/>
      <family val="1"/>
    </font>
    <font>
      <sz val="12"/>
      <color indexed="9"/>
      <name val="Arial"/>
      <family val="2"/>
    </font>
    <font>
      <b/>
      <u/>
      <sz val="12"/>
      <color indexed="9"/>
      <name val="Times New Roman"/>
      <family val="1"/>
    </font>
    <font>
      <b/>
      <sz val="12"/>
      <color indexed="9"/>
      <name val="Times New Roman"/>
      <family val="1"/>
    </font>
    <font>
      <sz val="12"/>
      <color indexed="18"/>
      <name val="Times New Roman"/>
      <family val="1"/>
    </font>
    <font>
      <b/>
      <sz val="12"/>
      <color indexed="18"/>
      <name val="Times New Roman"/>
      <family val="1"/>
    </font>
    <font>
      <b/>
      <sz val="12"/>
      <color indexed="18"/>
      <name val="Times New Roman"/>
      <family val="1"/>
    </font>
    <font>
      <sz val="12"/>
      <color indexed="18"/>
      <name val="Arial"/>
      <family val="2"/>
    </font>
    <font>
      <b/>
      <sz val="12"/>
      <color indexed="18"/>
      <name val="Arial"/>
      <family val="2"/>
    </font>
    <font>
      <b/>
      <sz val="14"/>
      <color indexed="18"/>
      <name val="Times New Roman"/>
      <family val="1"/>
    </font>
    <font>
      <sz val="12"/>
      <color indexed="18"/>
      <name val="Times New Roman"/>
      <family val="1"/>
    </font>
    <font>
      <b/>
      <u/>
      <sz val="16"/>
      <color indexed="18"/>
      <name val="Times New Roman"/>
      <family val="1"/>
    </font>
    <font>
      <b/>
      <i/>
      <sz val="10"/>
      <color indexed="18"/>
      <name val="Times New Roman"/>
      <family val="1"/>
    </font>
    <font>
      <b/>
      <u/>
      <sz val="12"/>
      <color indexed="18"/>
      <name val="Times New Roman"/>
      <family val="1"/>
    </font>
    <font>
      <sz val="12"/>
      <color rgb="FF002060"/>
      <name val="Times New Roman"/>
      <family val="1"/>
    </font>
    <font>
      <sz val="12"/>
      <color rgb="FF000080"/>
      <name val="Times New Roman"/>
      <family val="1"/>
    </font>
    <font>
      <b/>
      <sz val="12"/>
      <color rgb="FF000080"/>
      <name val="Times New Roman"/>
      <family val="1"/>
    </font>
    <font>
      <sz val="12"/>
      <name val="Arial"/>
      <family val="2"/>
    </font>
    <font>
      <sz val="12"/>
      <color rgb="FF000099"/>
      <name val="Times New Roman"/>
      <family val="1"/>
    </font>
    <font>
      <b/>
      <u/>
      <sz val="12"/>
      <color rgb="FF89CB31"/>
      <name val="Calibri"/>
      <family val="2"/>
      <scheme val="minor"/>
    </font>
    <font>
      <sz val="12"/>
      <name val="Calibri"/>
      <family val="2"/>
      <scheme val="minor"/>
    </font>
    <font>
      <u/>
      <sz val="12"/>
      <name val="Calibri"/>
      <family val="2"/>
      <scheme val="minor"/>
    </font>
    <font>
      <b/>
      <sz val="12"/>
      <color theme="4"/>
      <name val="Calibri"/>
      <family val="2"/>
      <scheme val="minor"/>
    </font>
    <font>
      <b/>
      <i/>
      <sz val="10"/>
      <name val="Calibri"/>
      <family val="2"/>
      <scheme val="minor"/>
    </font>
    <font>
      <b/>
      <sz val="14"/>
      <color theme="4"/>
      <name val="Calibri"/>
      <family val="2"/>
      <scheme val="minor"/>
    </font>
    <font>
      <b/>
      <u/>
      <sz val="14"/>
      <color indexed="53"/>
      <name val="Calibri"/>
      <family val="2"/>
      <scheme val="minor"/>
    </font>
    <font>
      <b/>
      <sz val="12"/>
      <name val="Calibri"/>
      <family val="2"/>
      <scheme val="minor"/>
    </font>
    <font>
      <b/>
      <sz val="12"/>
      <color indexed="18"/>
      <name val="Calibri"/>
      <family val="2"/>
      <scheme val="minor"/>
    </font>
    <font>
      <sz val="12"/>
      <color indexed="18"/>
      <name val="Calibri"/>
      <family val="2"/>
      <scheme val="minor"/>
    </font>
    <font>
      <sz val="12"/>
      <color indexed="9"/>
      <name val="Calibri"/>
      <family val="2"/>
      <scheme val="minor"/>
    </font>
    <font>
      <b/>
      <sz val="12"/>
      <color indexed="9"/>
      <name val="Calibri"/>
      <family val="2"/>
      <scheme val="minor"/>
    </font>
    <font>
      <sz val="12"/>
      <color theme="4"/>
      <name val="Calibri"/>
      <family val="2"/>
      <scheme val="minor"/>
    </font>
    <font>
      <sz val="12"/>
      <color indexed="8"/>
      <name val="Calibri"/>
      <family val="2"/>
      <scheme val="minor"/>
    </font>
    <font>
      <b/>
      <u/>
      <sz val="12"/>
      <color indexed="9"/>
      <name val="Calibri"/>
      <family val="2"/>
      <scheme val="minor"/>
    </font>
    <font>
      <b/>
      <u/>
      <sz val="12"/>
      <color theme="4"/>
      <name val="Calibri"/>
      <family val="2"/>
      <scheme val="minor"/>
    </font>
    <font>
      <b/>
      <u/>
      <sz val="12"/>
      <name val="Calibri"/>
      <family val="2"/>
      <scheme val="minor"/>
    </font>
    <font>
      <b/>
      <u/>
      <sz val="12"/>
      <color indexed="8"/>
      <name val="Calibri"/>
      <family val="2"/>
      <scheme val="minor"/>
    </font>
    <font>
      <b/>
      <sz val="12"/>
      <color indexed="8"/>
      <name val="Calibri"/>
      <family val="2"/>
      <scheme val="minor"/>
    </font>
    <font>
      <b/>
      <sz val="14"/>
      <color indexed="53"/>
      <name val="Calibri"/>
      <family val="2"/>
      <scheme val="minor"/>
    </font>
    <font>
      <b/>
      <u/>
      <sz val="14"/>
      <color rgb="FF89CB31"/>
      <name val="Calibri"/>
      <family val="2"/>
      <scheme val="minor"/>
    </font>
    <font>
      <b/>
      <u/>
      <sz val="16"/>
      <color theme="6"/>
      <name val="Calibri"/>
      <family val="2"/>
      <scheme val="minor"/>
    </font>
    <font>
      <sz val="12"/>
      <color theme="6"/>
      <name val="Calibri"/>
      <family val="2"/>
      <scheme val="minor"/>
    </font>
    <font>
      <b/>
      <i/>
      <sz val="10"/>
      <color theme="6"/>
      <name val="Calibri"/>
      <family val="2"/>
      <scheme val="minor"/>
    </font>
    <font>
      <b/>
      <sz val="12"/>
      <color theme="6"/>
      <name val="Calibri"/>
      <family val="2"/>
      <scheme val="minor"/>
    </font>
    <font>
      <b/>
      <u/>
      <sz val="12"/>
      <color theme="6"/>
      <name val="Calibri"/>
      <family val="2"/>
      <scheme val="minor"/>
    </font>
    <font>
      <b/>
      <sz val="14"/>
      <color theme="6"/>
      <name val="Calibri"/>
      <family val="2"/>
      <scheme val="minor"/>
    </font>
  </fonts>
  <fills count="6">
    <fill>
      <patternFill patternType="none"/>
    </fill>
    <fill>
      <patternFill patternType="gray125"/>
    </fill>
    <fill>
      <patternFill patternType="solid">
        <fgColor indexed="38"/>
        <bgColor indexed="64"/>
      </patternFill>
    </fill>
    <fill>
      <patternFill patternType="solid">
        <fgColor indexed="18"/>
        <bgColor indexed="64"/>
      </patternFill>
    </fill>
    <fill>
      <patternFill patternType="solid">
        <fgColor rgb="FFF4F4F4"/>
        <bgColor indexed="64"/>
      </patternFill>
    </fill>
    <fill>
      <patternFill patternType="solid">
        <fgColor theme="4"/>
        <bgColor indexed="64"/>
      </patternFill>
    </fill>
  </fills>
  <borders count="23">
    <border>
      <left/>
      <right/>
      <top/>
      <bottom/>
      <diagonal/>
    </border>
    <border>
      <left style="medium">
        <color indexed="8"/>
      </left>
      <right/>
      <top/>
      <bottom/>
      <diagonal/>
    </border>
    <border>
      <left/>
      <right/>
      <top style="medium">
        <color indexed="8"/>
      </top>
      <bottom/>
      <diagonal/>
    </border>
    <border>
      <left/>
      <right/>
      <top style="thin">
        <color indexed="64"/>
      </top>
      <bottom style="thin">
        <color indexed="64"/>
      </bottom>
      <diagonal/>
    </border>
    <border>
      <left/>
      <right/>
      <top style="thin">
        <color indexed="64"/>
      </top>
      <bottom/>
      <diagonal/>
    </border>
    <border>
      <left style="medium">
        <color indexed="8"/>
      </left>
      <right/>
      <top style="medium">
        <color indexed="8"/>
      </top>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top style="thin">
        <color indexed="55"/>
      </top>
      <bottom style="thin">
        <color indexed="55"/>
      </bottom>
      <diagonal/>
    </border>
    <border>
      <left/>
      <right/>
      <top style="thin">
        <color indexed="55"/>
      </top>
      <bottom style="thin">
        <color indexed="55"/>
      </bottom>
      <diagonal/>
    </border>
    <border>
      <left/>
      <right style="medium">
        <color indexed="8"/>
      </right>
      <top style="thin">
        <color indexed="55"/>
      </top>
      <bottom style="thin">
        <color indexed="55"/>
      </bottom>
      <diagonal/>
    </border>
    <border>
      <left/>
      <right style="medium">
        <color indexed="8"/>
      </right>
      <top style="medium">
        <color indexed="8"/>
      </top>
      <bottom/>
      <diagonal/>
    </border>
    <border>
      <left/>
      <right style="medium">
        <color indexed="8"/>
      </right>
      <top/>
      <bottom/>
      <diagonal/>
    </border>
    <border>
      <left/>
      <right style="medium">
        <color indexed="8"/>
      </right>
      <top style="thin">
        <color indexed="8"/>
      </top>
      <bottom/>
      <diagonal/>
    </border>
    <border>
      <left style="medium">
        <color indexed="8"/>
      </left>
      <right/>
      <top style="thin">
        <color rgb="FF969696"/>
      </top>
      <bottom style="thin">
        <color rgb="FF969696"/>
      </bottom>
      <diagonal/>
    </border>
    <border>
      <left/>
      <right/>
      <top style="thin">
        <color rgb="FF969696"/>
      </top>
      <bottom style="thin">
        <color rgb="FF969696"/>
      </bottom>
      <diagonal/>
    </border>
    <border>
      <left/>
      <right style="medium">
        <color indexed="8"/>
      </right>
      <top style="thin">
        <color rgb="FF969696"/>
      </top>
      <bottom style="thin">
        <color rgb="FF969696"/>
      </bottom>
      <diagonal/>
    </border>
  </borders>
  <cellStyleXfs count="3">
    <xf numFmtId="0" fontId="0" fillId="0" borderId="0"/>
    <xf numFmtId="0" fontId="15" fillId="0" borderId="0" applyNumberFormat="0" applyFill="0" applyBorder="0" applyAlignment="0" applyProtection="0">
      <alignment vertical="top"/>
      <protection locked="0"/>
    </xf>
    <xf numFmtId="9" fontId="37" fillId="0" borderId="0" applyFont="0" applyFill="0" applyBorder="0" applyAlignment="0" applyProtection="0"/>
  </cellStyleXfs>
  <cellXfs count="476">
    <xf numFmtId="0" fontId="0" fillId="0" borderId="0" xfId="0"/>
    <xf numFmtId="0" fontId="1" fillId="0" borderId="0" xfId="0" applyNumberFormat="1" applyFont="1" applyAlignment="1"/>
    <xf numFmtId="0" fontId="0" fillId="0" borderId="1" xfId="0" applyNumberFormat="1" applyBorder="1"/>
    <xf numFmtId="0" fontId="0" fillId="0" borderId="2" xfId="0" applyNumberFormat="1" applyBorder="1"/>
    <xf numFmtId="3" fontId="1" fillId="0" borderId="0" xfId="0" applyNumberFormat="1" applyFont="1" applyAlignment="1"/>
    <xf numFmtId="0" fontId="2" fillId="0" borderId="0" xfId="0" applyNumberFormat="1" applyFont="1" applyFill="1" applyBorder="1" applyAlignment="1"/>
    <xf numFmtId="0" fontId="1" fillId="0" borderId="0" xfId="0" applyNumberFormat="1" applyFont="1" applyBorder="1" applyAlignment="1"/>
    <xf numFmtId="0" fontId="1" fillId="0" borderId="3" xfId="0" applyNumberFormat="1" applyFont="1" applyBorder="1" applyAlignment="1"/>
    <xf numFmtId="0" fontId="1" fillId="0" borderId="4" xfId="0" applyNumberFormat="1" applyFont="1" applyBorder="1" applyAlignment="1"/>
    <xf numFmtId="0" fontId="1" fillId="0" borderId="2" xfId="0" applyNumberFormat="1" applyFont="1" applyBorder="1" applyAlignment="1"/>
    <xf numFmtId="0" fontId="2" fillId="2" borderId="5" xfId="0" applyNumberFormat="1" applyFont="1" applyFill="1" applyBorder="1" applyAlignment="1"/>
    <xf numFmtId="0" fontId="2" fillId="2" borderId="2" xfId="0" applyNumberFormat="1" applyFont="1" applyFill="1" applyBorder="1" applyAlignment="1"/>
    <xf numFmtId="0" fontId="2" fillId="2" borderId="1" xfId="0" applyNumberFormat="1" applyFont="1" applyFill="1" applyBorder="1" applyAlignment="1"/>
    <xf numFmtId="0" fontId="4" fillId="2" borderId="0" xfId="0" applyNumberFormat="1" applyFont="1" applyFill="1" applyAlignment="1"/>
    <xf numFmtId="0" fontId="2" fillId="2" borderId="0" xfId="0" applyNumberFormat="1" applyFont="1" applyFill="1" applyAlignment="1"/>
    <xf numFmtId="0" fontId="2" fillId="2" borderId="1" xfId="0" applyNumberFormat="1" applyFont="1" applyFill="1" applyBorder="1" applyAlignment="1">
      <alignment horizontal="center"/>
    </xf>
    <xf numFmtId="0" fontId="12" fillId="2" borderId="0" xfId="0" applyNumberFormat="1" applyFont="1" applyFill="1" applyAlignment="1"/>
    <xf numFmtId="0" fontId="6" fillId="2" borderId="0" xfId="0" applyNumberFormat="1" applyFont="1" applyFill="1" applyAlignment="1"/>
    <xf numFmtId="0" fontId="16" fillId="2" borderId="0" xfId="0" applyNumberFormat="1" applyFont="1" applyFill="1" applyAlignment="1"/>
    <xf numFmtId="0" fontId="17" fillId="2" borderId="0" xfId="1" applyNumberFormat="1" applyFont="1" applyFill="1" applyAlignment="1" applyProtection="1"/>
    <xf numFmtId="0" fontId="7" fillId="2" borderId="0" xfId="0" applyNumberFormat="1" applyFont="1" applyFill="1" applyAlignment="1"/>
    <xf numFmtId="0" fontId="2" fillId="2" borderId="0" xfId="0" applyNumberFormat="1" applyFont="1" applyFill="1" applyAlignment="1">
      <alignment horizontal="center"/>
    </xf>
    <xf numFmtId="0" fontId="3" fillId="2" borderId="0" xfId="0" applyNumberFormat="1" applyFont="1" applyFill="1" applyAlignment="1"/>
    <xf numFmtId="0" fontId="2" fillId="2" borderId="0" xfId="0" applyNumberFormat="1" applyFont="1" applyFill="1" applyAlignment="1">
      <alignment horizontal="right"/>
    </xf>
    <xf numFmtId="0" fontId="2" fillId="2" borderId="6" xfId="0" applyNumberFormat="1" applyFont="1" applyFill="1" applyBorder="1" applyAlignment="1"/>
    <xf numFmtId="0" fontId="2" fillId="2" borderId="7" xfId="0" applyNumberFormat="1" applyFont="1" applyFill="1" applyBorder="1" applyAlignment="1"/>
    <xf numFmtId="15" fontId="9" fillId="2" borderId="0" xfId="0" applyNumberFormat="1" applyFont="1" applyFill="1" applyAlignment="1" applyProtection="1">
      <alignment horizontal="center"/>
      <protection locked="0"/>
    </xf>
    <xf numFmtId="15" fontId="9" fillId="2" borderId="0" xfId="0" applyNumberFormat="1" applyFont="1" applyFill="1" applyAlignment="1">
      <alignment horizontal="center"/>
    </xf>
    <xf numFmtId="0" fontId="2" fillId="2" borderId="8" xfId="0" applyNumberFormat="1" applyFont="1" applyFill="1" applyBorder="1" applyAlignment="1"/>
    <xf numFmtId="0" fontId="2" fillId="2" borderId="9" xfId="0" applyNumberFormat="1" applyFont="1" applyFill="1" applyBorder="1" applyAlignment="1"/>
    <xf numFmtId="0" fontId="2" fillId="2" borderId="9" xfId="0" applyNumberFormat="1" applyFont="1" applyFill="1" applyBorder="1" applyAlignment="1" applyProtection="1">
      <alignment horizontal="right"/>
      <protection locked="0"/>
    </xf>
    <xf numFmtId="0" fontId="2" fillId="2" borderId="10" xfId="0" applyNumberFormat="1" applyFont="1" applyFill="1" applyBorder="1" applyAlignment="1"/>
    <xf numFmtId="4" fontId="2" fillId="2" borderId="2" xfId="0" applyNumberFormat="1" applyFont="1" applyFill="1" applyBorder="1" applyAlignment="1" applyProtection="1">
      <alignment horizontal="right"/>
      <protection locked="0"/>
    </xf>
    <xf numFmtId="4" fontId="2" fillId="2" borderId="0" xfId="0" applyNumberFormat="1" applyFont="1" applyFill="1" applyAlignment="1" applyProtection="1">
      <alignment horizontal="right"/>
      <protection locked="0"/>
    </xf>
    <xf numFmtId="0" fontId="12" fillId="2" borderId="0" xfId="0" applyNumberFormat="1" applyFont="1" applyFill="1" applyAlignment="1">
      <alignment horizontal="left" vertical="top" wrapText="1"/>
    </xf>
    <xf numFmtId="0" fontId="12" fillId="2" borderId="0" xfId="0" applyNumberFormat="1" applyFont="1" applyFill="1" applyAlignment="1">
      <alignment horizontal="center" vertical="top" wrapText="1"/>
    </xf>
    <xf numFmtId="4" fontId="12" fillId="2" borderId="0" xfId="0" applyNumberFormat="1" applyFont="1" applyFill="1" applyAlignment="1" applyProtection="1">
      <alignment horizontal="center" vertical="top" wrapText="1"/>
      <protection locked="0"/>
    </xf>
    <xf numFmtId="0" fontId="13" fillId="2" borderId="0" xfId="0" applyNumberFormat="1" applyFont="1" applyFill="1" applyAlignment="1"/>
    <xf numFmtId="3" fontId="2" fillId="2" borderId="0" xfId="0" applyNumberFormat="1" applyFont="1" applyFill="1" applyAlignment="1"/>
    <xf numFmtId="3" fontId="9" fillId="2" borderId="0" xfId="0" applyNumberFormat="1" applyFont="1" applyFill="1" applyAlignment="1"/>
    <xf numFmtId="4" fontId="2" fillId="2" borderId="9" xfId="0" applyNumberFormat="1" applyFont="1" applyFill="1" applyBorder="1" applyAlignment="1" applyProtection="1">
      <alignment horizontal="right"/>
      <protection locked="0"/>
    </xf>
    <xf numFmtId="0" fontId="14" fillId="2" borderId="0" xfId="0" applyNumberFormat="1" applyFont="1" applyFill="1" applyAlignment="1"/>
    <xf numFmtId="4" fontId="9" fillId="2" borderId="0" xfId="0" applyNumberFormat="1" applyFont="1" applyFill="1" applyAlignment="1" applyProtection="1">
      <alignment horizontal="right"/>
      <protection locked="0"/>
    </xf>
    <xf numFmtId="0" fontId="2" fillId="2" borderId="0" xfId="0" applyNumberFormat="1" applyFont="1" applyFill="1" applyBorder="1" applyAlignment="1"/>
    <xf numFmtId="3" fontId="2" fillId="2" borderId="0" xfId="0" applyNumberFormat="1" applyFont="1" applyFill="1" applyBorder="1" applyAlignment="1" applyProtection="1">
      <alignment horizontal="right"/>
      <protection locked="0"/>
    </xf>
    <xf numFmtId="0" fontId="12" fillId="2" borderId="0" xfId="0" applyNumberFormat="1" applyFont="1" applyFill="1" applyAlignment="1">
      <alignment horizontal="right"/>
    </xf>
    <xf numFmtId="4" fontId="12" fillId="2" borderId="0" xfId="0" applyNumberFormat="1" applyFont="1" applyFill="1" applyAlignment="1" applyProtection="1">
      <alignment horizontal="right"/>
      <protection locked="0"/>
    </xf>
    <xf numFmtId="0" fontId="2" fillId="2" borderId="0" xfId="0" applyNumberFormat="1" applyFont="1" applyFill="1" applyAlignment="1" applyProtection="1">
      <protection locked="0"/>
    </xf>
    <xf numFmtId="0" fontId="9" fillId="2" borderId="1" xfId="0" applyNumberFormat="1" applyFont="1" applyFill="1" applyBorder="1" applyAlignment="1"/>
    <xf numFmtId="0" fontId="11" fillId="2" borderId="0" xfId="0" applyNumberFormat="1" applyFont="1" applyFill="1" applyAlignment="1"/>
    <xf numFmtId="15" fontId="10" fillId="2" borderId="0" xfId="0" applyNumberFormat="1" applyFont="1" applyFill="1" applyAlignment="1">
      <alignment horizontal="centerContinuous"/>
    </xf>
    <xf numFmtId="15" fontId="10" fillId="2" borderId="0" xfId="0" applyNumberFormat="1" applyFont="1" applyFill="1" applyAlignment="1">
      <alignment horizontal="center"/>
    </xf>
    <xf numFmtId="0" fontId="9" fillId="2" borderId="6" xfId="0" applyNumberFormat="1" applyFont="1" applyFill="1" applyBorder="1" applyAlignment="1">
      <alignment horizontal="right"/>
    </xf>
    <xf numFmtId="0" fontId="18" fillId="3" borderId="1" xfId="0" applyNumberFormat="1" applyFont="1" applyFill="1" applyBorder="1" applyAlignment="1"/>
    <xf numFmtId="0" fontId="18" fillId="3" borderId="0" xfId="0" applyNumberFormat="1" applyFont="1" applyFill="1" applyAlignment="1"/>
    <xf numFmtId="0" fontId="19" fillId="3" borderId="0" xfId="0" applyNumberFormat="1" applyFont="1" applyFill="1" applyAlignment="1">
      <alignment horizontal="center" wrapText="1"/>
    </xf>
    <xf numFmtId="0" fontId="20" fillId="3" borderId="0" xfId="0" applyNumberFormat="1" applyFont="1" applyFill="1" applyAlignment="1">
      <alignment horizontal="center" wrapText="1"/>
    </xf>
    <xf numFmtId="0" fontId="18" fillId="3" borderId="0" xfId="0" applyNumberFormat="1" applyFont="1" applyFill="1" applyAlignment="1">
      <alignment horizontal="center" wrapText="1"/>
    </xf>
    <xf numFmtId="0" fontId="21" fillId="3" borderId="0" xfId="0" applyNumberFormat="1" applyFont="1" applyFill="1" applyAlignment="1"/>
    <xf numFmtId="0" fontId="22" fillId="3" borderId="0" xfId="0" applyNumberFormat="1" applyFont="1" applyFill="1" applyAlignment="1"/>
    <xf numFmtId="4" fontId="18" fillId="3" borderId="0" xfId="0" applyNumberFormat="1" applyFont="1" applyFill="1" applyAlignment="1" applyProtection="1">
      <alignment horizontal="right"/>
      <protection locked="0"/>
    </xf>
    <xf numFmtId="0" fontId="23" fillId="3" borderId="0" xfId="0" applyNumberFormat="1" applyFont="1" applyFill="1" applyAlignment="1"/>
    <xf numFmtId="0" fontId="23" fillId="3" borderId="0" xfId="0" applyNumberFormat="1" applyFont="1" applyFill="1" applyAlignment="1">
      <alignment horizontal="center"/>
    </xf>
    <xf numFmtId="0" fontId="23" fillId="3" borderId="0" xfId="0" applyNumberFormat="1" applyFont="1" applyFill="1" applyAlignment="1">
      <alignment horizontal="right"/>
    </xf>
    <xf numFmtId="15" fontId="23" fillId="3" borderId="0" xfId="0" applyNumberFormat="1" applyFont="1" applyFill="1" applyAlignment="1">
      <alignment horizontal="right"/>
    </xf>
    <xf numFmtId="0" fontId="18" fillId="3" borderId="5" xfId="0" applyNumberFormat="1" applyFont="1" applyFill="1" applyBorder="1" applyAlignment="1"/>
    <xf numFmtId="0" fontId="23" fillId="3" borderId="2" xfId="0" applyNumberFormat="1" applyFont="1" applyFill="1" applyBorder="1" applyAlignment="1"/>
    <xf numFmtId="0" fontId="18" fillId="3" borderId="2" xfId="0" applyNumberFormat="1" applyFont="1" applyFill="1" applyBorder="1" applyAlignment="1"/>
    <xf numFmtId="4" fontId="18" fillId="3" borderId="2" xfId="0" applyNumberFormat="1" applyFont="1" applyFill="1" applyBorder="1" applyAlignment="1" applyProtection="1">
      <alignment horizontal="right"/>
      <protection locked="0"/>
    </xf>
    <xf numFmtId="15" fontId="23" fillId="3" borderId="2" xfId="0" applyNumberFormat="1" applyFont="1" applyFill="1" applyBorder="1" applyAlignment="1">
      <alignment horizontal="centerContinuous"/>
    </xf>
    <xf numFmtId="15" fontId="23" fillId="3" borderId="2" xfId="0" applyNumberFormat="1" applyFont="1" applyFill="1" applyBorder="1" applyAlignment="1">
      <alignment horizontal="center"/>
    </xf>
    <xf numFmtId="0" fontId="18" fillId="3" borderId="1" xfId="0" applyNumberFormat="1" applyFont="1" applyFill="1" applyBorder="1" applyAlignment="1">
      <alignment horizontal="right"/>
    </xf>
    <xf numFmtId="3" fontId="23" fillId="3" borderId="0" xfId="0" applyNumberFormat="1" applyFont="1" applyFill="1" applyAlignment="1">
      <alignment horizontal="center"/>
    </xf>
    <xf numFmtId="0" fontId="18" fillId="3" borderId="11" xfId="0" applyNumberFormat="1" applyFont="1" applyFill="1" applyBorder="1" applyAlignment="1"/>
    <xf numFmtId="0" fontId="18" fillId="3" borderId="12" xfId="0" applyNumberFormat="1" applyFont="1" applyFill="1" applyBorder="1" applyAlignment="1"/>
    <xf numFmtId="0" fontId="18" fillId="3" borderId="13" xfId="0" applyNumberFormat="1" applyFont="1" applyFill="1" applyBorder="1" applyAlignment="1"/>
    <xf numFmtId="9" fontId="18" fillId="3" borderId="12" xfId="0" applyNumberFormat="1" applyFont="1" applyFill="1" applyBorder="1" applyAlignment="1"/>
    <xf numFmtId="0" fontId="24" fillId="2" borderId="6" xfId="0" applyNumberFormat="1" applyFont="1" applyFill="1" applyBorder="1" applyAlignment="1"/>
    <xf numFmtId="3" fontId="24" fillId="2" borderId="7" xfId="0" applyNumberFormat="1" applyFont="1" applyFill="1" applyBorder="1" applyAlignment="1"/>
    <xf numFmtId="0" fontId="24" fillId="2" borderId="7" xfId="0" applyNumberFormat="1" applyFont="1" applyFill="1" applyBorder="1" applyAlignment="1"/>
    <xf numFmtId="9" fontId="24" fillId="2" borderId="7" xfId="0" applyNumberFormat="1" applyFont="1" applyFill="1" applyBorder="1" applyAlignment="1"/>
    <xf numFmtId="10" fontId="24" fillId="2" borderId="7" xfId="0" applyNumberFormat="1" applyFont="1" applyFill="1" applyBorder="1" applyAlignment="1"/>
    <xf numFmtId="3" fontId="24" fillId="2" borderId="7" xfId="0" applyNumberFormat="1" applyFont="1" applyFill="1" applyBorder="1" applyAlignment="1" applyProtection="1">
      <alignment horizontal="right"/>
      <protection locked="0"/>
    </xf>
    <xf numFmtId="0" fontId="24" fillId="2" borderId="1" xfId="0" applyNumberFormat="1" applyFont="1" applyFill="1" applyBorder="1" applyAlignment="1"/>
    <xf numFmtId="0" fontId="24" fillId="2" borderId="0" xfId="0" applyNumberFormat="1" applyFont="1" applyFill="1" applyAlignment="1"/>
    <xf numFmtId="9" fontId="24" fillId="2" borderId="0" xfId="0" applyNumberFormat="1" applyFont="1" applyFill="1" applyAlignment="1"/>
    <xf numFmtId="3" fontId="24" fillId="2" borderId="0" xfId="0" applyNumberFormat="1" applyFont="1" applyFill="1" applyAlignment="1" applyProtection="1">
      <alignment horizontal="right"/>
      <protection locked="0"/>
    </xf>
    <xf numFmtId="0" fontId="27" fillId="2" borderId="1" xfId="0" applyNumberFormat="1" applyFont="1" applyFill="1" applyBorder="1" applyAlignment="1"/>
    <xf numFmtId="0" fontId="26" fillId="2" borderId="0" xfId="0" applyNumberFormat="1" applyFont="1" applyFill="1" applyAlignment="1"/>
    <xf numFmtId="0" fontId="26" fillId="2" borderId="0" xfId="0" applyNumberFormat="1" applyFont="1" applyFill="1" applyAlignment="1">
      <alignment horizontal="center"/>
    </xf>
    <xf numFmtId="0" fontId="27" fillId="2" borderId="0" xfId="0" applyNumberFormat="1" applyFont="1" applyFill="1" applyAlignment="1"/>
    <xf numFmtId="0" fontId="26" fillId="2" borderId="0" xfId="0" quotePrefix="1" applyNumberFormat="1" applyFont="1" applyFill="1" applyAlignment="1">
      <alignment horizontal="center"/>
    </xf>
    <xf numFmtId="0" fontId="29" fillId="2" borderId="0" xfId="0" applyNumberFormat="1" applyFont="1" applyFill="1" applyAlignment="1"/>
    <xf numFmtId="166" fontId="24" fillId="2" borderId="7" xfId="0" applyNumberFormat="1" applyFont="1" applyFill="1" applyBorder="1" applyAlignment="1"/>
    <xf numFmtId="0" fontId="24" fillId="2" borderId="7" xfId="0" applyNumberFormat="1" applyFont="1" applyFill="1" applyBorder="1" applyAlignment="1" applyProtection="1">
      <protection locked="0"/>
    </xf>
    <xf numFmtId="0" fontId="24" fillId="2" borderId="7" xfId="0" applyNumberFormat="1" applyFont="1" applyFill="1" applyBorder="1" applyAlignment="1">
      <alignment horizontal="center"/>
    </xf>
    <xf numFmtId="3" fontId="24" fillId="2" borderId="7" xfId="0" applyNumberFormat="1" applyFont="1" applyFill="1" applyBorder="1" applyAlignment="1" applyProtection="1">
      <alignment horizontal="center"/>
      <protection locked="0"/>
    </xf>
    <xf numFmtId="0" fontId="29" fillId="2" borderId="9" xfId="0" applyNumberFormat="1" applyFont="1" applyFill="1" applyBorder="1" applyAlignment="1"/>
    <xf numFmtId="0" fontId="27" fillId="2" borderId="9" xfId="0" applyNumberFormat="1" applyFont="1" applyFill="1" applyBorder="1" applyAlignment="1"/>
    <xf numFmtId="0" fontId="27" fillId="2" borderId="10" xfId="0" applyNumberFormat="1" applyFont="1" applyFill="1" applyBorder="1" applyAlignment="1"/>
    <xf numFmtId="0" fontId="27" fillId="2" borderId="7" xfId="0" applyNumberFormat="1" applyFont="1" applyFill="1" applyBorder="1" applyAlignment="1"/>
    <xf numFmtId="0" fontId="31" fillId="2" borderId="2" xfId="0" applyNumberFormat="1" applyFont="1" applyFill="1" applyBorder="1" applyAlignment="1"/>
    <xf numFmtId="0" fontId="32" fillId="2" borderId="0" xfId="0" applyNumberFormat="1" applyFont="1" applyFill="1" applyAlignment="1"/>
    <xf numFmtId="0" fontId="33" fillId="2" borderId="0" xfId="0" applyNumberFormat="1" applyFont="1" applyFill="1" applyAlignment="1">
      <alignment horizontal="center" wrapText="1"/>
    </xf>
    <xf numFmtId="9" fontId="26" fillId="2" borderId="0" xfId="0" applyNumberFormat="1" applyFont="1" applyFill="1" applyAlignment="1">
      <alignment horizontal="center"/>
    </xf>
    <xf numFmtId="10" fontId="26" fillId="2" borderId="0" xfId="0" applyNumberFormat="1" applyFont="1" applyFill="1" applyAlignment="1">
      <alignment horizontal="center"/>
    </xf>
    <xf numFmtId="15" fontId="26" fillId="2" borderId="0" xfId="0" applyNumberFormat="1" applyFont="1" applyFill="1" applyAlignment="1">
      <alignment horizontal="center"/>
    </xf>
    <xf numFmtId="0" fontId="33" fillId="2" borderId="0" xfId="0" applyNumberFormat="1" applyFont="1" applyFill="1" applyAlignment="1"/>
    <xf numFmtId="0" fontId="24" fillId="2" borderId="0" xfId="0" applyNumberFormat="1" applyFont="1" applyFill="1" applyAlignment="1">
      <alignment horizontal="center"/>
    </xf>
    <xf numFmtId="0" fontId="24" fillId="2" borderId="7" xfId="0" applyNumberFormat="1" applyFont="1" applyFill="1" applyBorder="1" applyAlignment="1">
      <alignment horizontal="center" wrapText="1"/>
    </xf>
    <xf numFmtId="15" fontId="9" fillId="2" borderId="0" xfId="0" applyNumberFormat="1" applyFont="1" applyFill="1" applyBorder="1" applyAlignment="1" applyProtection="1">
      <alignment horizontal="center"/>
      <protection locked="0"/>
    </xf>
    <xf numFmtId="15" fontId="9" fillId="2" borderId="0" xfId="0" applyNumberFormat="1" applyFont="1" applyFill="1" applyBorder="1" applyAlignment="1">
      <alignment horizontal="center"/>
    </xf>
    <xf numFmtId="0" fontId="2" fillId="2" borderId="14" xfId="0" applyNumberFormat="1" applyFont="1" applyFill="1" applyBorder="1" applyAlignment="1"/>
    <xf numFmtId="0" fontId="24" fillId="2" borderId="15" xfId="0" applyNumberFormat="1" applyFont="1" applyFill="1" applyBorder="1" applyAlignment="1"/>
    <xf numFmtId="0" fontId="24" fillId="2" borderId="15" xfId="0" applyNumberFormat="1" applyFont="1" applyFill="1" applyBorder="1" applyAlignment="1">
      <alignment horizontal="center" wrapText="1"/>
    </xf>
    <xf numFmtId="0" fontId="27" fillId="2" borderId="15" xfId="0" applyNumberFormat="1" applyFont="1" applyFill="1" applyBorder="1" applyAlignment="1"/>
    <xf numFmtId="0" fontId="24" fillId="2" borderId="16" xfId="0" applyNumberFormat="1" applyFont="1" applyFill="1" applyBorder="1" applyAlignment="1"/>
    <xf numFmtId="0" fontId="8" fillId="2" borderId="14" xfId="0" applyNumberFormat="1" applyFont="1" applyFill="1" applyBorder="1" applyAlignment="1"/>
    <xf numFmtId="0" fontId="30" fillId="2" borderId="15" xfId="0" applyNumberFormat="1" applyFont="1" applyFill="1" applyBorder="1" applyAlignment="1"/>
    <xf numFmtId="0" fontId="25" fillId="2" borderId="15" xfId="0" applyNumberFormat="1" applyFont="1" applyFill="1" applyBorder="1" applyAlignment="1">
      <alignment horizontal="center" wrapText="1"/>
    </xf>
    <xf numFmtId="0" fontId="26" fillId="2" borderId="14" xfId="0" applyNumberFormat="1" applyFont="1" applyFill="1" applyBorder="1" applyAlignment="1"/>
    <xf numFmtId="0" fontId="26" fillId="2" borderId="15" xfId="0" applyNumberFormat="1" applyFont="1" applyFill="1" applyBorder="1" applyAlignment="1"/>
    <xf numFmtId="0" fontId="24" fillId="2" borderId="14" xfId="0" applyNumberFormat="1" applyFont="1" applyFill="1" applyBorder="1" applyAlignment="1"/>
    <xf numFmtId="0" fontId="24" fillId="2" borderId="15" xfId="0" applyNumberFormat="1" applyFont="1" applyFill="1" applyBorder="1" applyAlignment="1">
      <alignment horizontal="center"/>
    </xf>
    <xf numFmtId="0" fontId="25" fillId="2" borderId="15" xfId="0" applyNumberFormat="1" applyFont="1" applyFill="1" applyBorder="1" applyAlignment="1"/>
    <xf numFmtId="164" fontId="24" fillId="2" borderId="15" xfId="0" applyNumberFormat="1" applyFont="1" applyFill="1" applyBorder="1" applyAlignment="1"/>
    <xf numFmtId="164" fontId="24" fillId="2" borderId="15" xfId="0" applyNumberFormat="1" applyFont="1" applyFill="1" applyBorder="1" applyAlignment="1">
      <alignment horizontal="center"/>
    </xf>
    <xf numFmtId="164" fontId="27" fillId="2" borderId="15" xfId="0" applyNumberFormat="1" applyFont="1" applyFill="1" applyBorder="1" applyAlignment="1"/>
    <xf numFmtId="3" fontId="24" fillId="2" borderId="16" xfId="0" applyNumberFormat="1" applyFont="1" applyFill="1" applyBorder="1" applyAlignment="1"/>
    <xf numFmtId="164" fontId="26" fillId="2" borderId="15" xfId="0" applyNumberFormat="1" applyFont="1" applyFill="1" applyBorder="1" applyAlignment="1"/>
    <xf numFmtId="168" fontId="24" fillId="2" borderId="15" xfId="0" applyNumberFormat="1" applyFont="1" applyFill="1" applyBorder="1" applyAlignment="1">
      <alignment horizontal="center"/>
    </xf>
    <xf numFmtId="164" fontId="26" fillId="2" borderId="15" xfId="0" applyNumberFormat="1" applyFont="1" applyFill="1" applyBorder="1" applyAlignment="1">
      <alignment horizontal="center"/>
    </xf>
    <xf numFmtId="164" fontId="28" fillId="2" borderId="15" xfId="0" applyNumberFormat="1" applyFont="1" applyFill="1" applyBorder="1" applyAlignment="1"/>
    <xf numFmtId="168" fontId="26" fillId="2" borderId="15" xfId="0" applyNumberFormat="1" applyFont="1" applyFill="1" applyBorder="1" applyAlignment="1">
      <alignment horizontal="center"/>
    </xf>
    <xf numFmtId="0" fontId="12" fillId="2" borderId="15" xfId="0" applyNumberFormat="1" applyFont="1" applyFill="1" applyBorder="1" applyAlignment="1"/>
    <xf numFmtId="0" fontId="2" fillId="2" borderId="15" xfId="0" applyNumberFormat="1" applyFont="1" applyFill="1" applyBorder="1" applyAlignment="1"/>
    <xf numFmtId="170" fontId="12" fillId="2" borderId="15" xfId="0" applyNumberFormat="1" applyFont="1" applyFill="1" applyBorder="1" applyAlignment="1">
      <alignment horizontal="center"/>
    </xf>
    <xf numFmtId="0" fontId="2" fillId="2" borderId="15" xfId="0" applyNumberFormat="1" applyFont="1" applyFill="1" applyBorder="1" applyAlignment="1">
      <alignment horizontal="center"/>
    </xf>
    <xf numFmtId="0" fontId="1" fillId="2" borderId="15" xfId="0" applyNumberFormat="1" applyFont="1" applyFill="1" applyBorder="1" applyAlignment="1"/>
    <xf numFmtId="0" fontId="2" fillId="2" borderId="16" xfId="0" applyNumberFormat="1" applyFont="1" applyFill="1" applyBorder="1" applyAlignment="1"/>
    <xf numFmtId="10" fontId="2" fillId="2" borderId="15" xfId="0" applyNumberFormat="1" applyFont="1" applyFill="1" applyBorder="1" applyAlignment="1">
      <alignment horizontal="center"/>
    </xf>
    <xf numFmtId="165" fontId="2" fillId="2" borderId="15" xfId="0" applyNumberFormat="1" applyFont="1" applyFill="1" applyBorder="1" applyAlignment="1">
      <alignment horizontal="center"/>
    </xf>
    <xf numFmtId="10" fontId="24" fillId="2" borderId="15" xfId="0" applyNumberFormat="1" applyFont="1" applyFill="1" applyBorder="1" applyAlignment="1">
      <alignment horizontal="center"/>
    </xf>
    <xf numFmtId="165" fontId="24" fillId="2" borderId="15" xfId="0" applyNumberFormat="1" applyFont="1" applyFill="1" applyBorder="1" applyAlignment="1">
      <alignment horizontal="center"/>
    </xf>
    <xf numFmtId="167" fontId="24" fillId="2" borderId="15" xfId="0" applyNumberFormat="1" applyFont="1" applyFill="1" applyBorder="1" applyAlignment="1">
      <alignment horizontal="center"/>
    </xf>
    <xf numFmtId="0" fontId="24" fillId="2" borderId="15" xfId="0" applyNumberFormat="1" applyFont="1" applyFill="1" applyBorder="1" applyAlignment="1">
      <alignment horizontal="right"/>
    </xf>
    <xf numFmtId="4" fontId="24" fillId="2" borderId="15" xfId="0" applyNumberFormat="1" applyFont="1" applyFill="1" applyBorder="1" applyAlignment="1">
      <alignment horizontal="center"/>
    </xf>
    <xf numFmtId="0" fontId="26" fillId="2" borderId="15" xfId="0" applyNumberFormat="1" applyFont="1" applyFill="1" applyBorder="1" applyAlignment="1">
      <alignment horizontal="center"/>
    </xf>
    <xf numFmtId="15" fontId="26" fillId="2" borderId="15" xfId="0" applyNumberFormat="1" applyFont="1" applyFill="1" applyBorder="1" applyAlignment="1">
      <alignment horizontal="center"/>
    </xf>
    <xf numFmtId="15" fontId="26" fillId="2" borderId="15" xfId="0" applyNumberFormat="1" applyFont="1" applyFill="1" applyBorder="1" applyAlignment="1" applyProtection="1">
      <alignment horizontal="center"/>
      <protection locked="0"/>
    </xf>
    <xf numFmtId="15" fontId="24" fillId="2" borderId="15" xfId="0" applyNumberFormat="1" applyFont="1" applyFill="1" applyBorder="1" applyAlignment="1"/>
    <xf numFmtId="15" fontId="24" fillId="2" borderId="15" xfId="0" applyNumberFormat="1" applyFont="1" applyFill="1" applyBorder="1" applyAlignment="1" applyProtection="1">
      <alignment horizontal="center"/>
      <protection locked="0"/>
    </xf>
    <xf numFmtId="15" fontId="24" fillId="2" borderId="15" xfId="0" applyNumberFormat="1" applyFont="1" applyFill="1" applyBorder="1" applyAlignment="1">
      <alignment horizontal="center"/>
    </xf>
    <xf numFmtId="3" fontId="2" fillId="2" borderId="0" xfId="0" applyNumberFormat="1" applyFont="1" applyFill="1" applyBorder="1" applyAlignment="1"/>
    <xf numFmtId="3" fontId="9" fillId="2" borderId="0" xfId="0" applyNumberFormat="1" applyFont="1" applyFill="1" applyBorder="1" applyAlignment="1"/>
    <xf numFmtId="3" fontId="24" fillId="2" borderId="15" xfId="0" applyNumberFormat="1" applyFont="1" applyFill="1" applyBorder="1" applyAlignment="1"/>
    <xf numFmtId="3" fontId="24" fillId="2" borderId="15" xfId="0" applyNumberFormat="1" applyFont="1" applyFill="1" applyBorder="1" applyAlignment="1" applyProtection="1">
      <alignment horizontal="right"/>
      <protection locked="0"/>
    </xf>
    <xf numFmtId="0" fontId="2" fillId="2" borderId="15" xfId="0" applyNumberFormat="1" applyFont="1" applyFill="1" applyBorder="1" applyAlignment="1">
      <alignment horizontal="right"/>
    </xf>
    <xf numFmtId="14" fontId="2" fillId="2" borderId="15" xfId="0" applyNumberFormat="1" applyFont="1" applyFill="1" applyBorder="1" applyAlignment="1">
      <alignment horizontal="right"/>
    </xf>
    <xf numFmtId="167" fontId="2" fillId="2" borderId="15" xfId="0" applyNumberFormat="1" applyFont="1" applyFill="1" applyBorder="1" applyAlignment="1">
      <alignment horizontal="right"/>
    </xf>
    <xf numFmtId="0" fontId="14" fillId="2" borderId="15" xfId="0" applyNumberFormat="1" applyFont="1" applyFill="1" applyBorder="1" applyAlignment="1"/>
    <xf numFmtId="4" fontId="24" fillId="2" borderId="15" xfId="0" applyNumberFormat="1" applyFont="1" applyFill="1" applyBorder="1" applyAlignment="1" applyProtection="1">
      <alignment horizontal="right"/>
      <protection locked="0"/>
    </xf>
    <xf numFmtId="4" fontId="2" fillId="2" borderId="0" xfId="0" applyNumberFormat="1" applyFont="1" applyFill="1" applyBorder="1" applyAlignment="1" applyProtection="1">
      <alignment horizontal="right"/>
      <protection locked="0"/>
    </xf>
    <xf numFmtId="0" fontId="24" fillId="2" borderId="0" xfId="0" applyNumberFormat="1" applyFont="1" applyFill="1" applyBorder="1" applyAlignment="1"/>
    <xf numFmtId="0" fontId="9" fillId="2" borderId="0" xfId="0" applyNumberFormat="1" applyFont="1" applyFill="1" applyBorder="1" applyAlignment="1"/>
    <xf numFmtId="0" fontId="2" fillId="2" borderId="0" xfId="0" applyNumberFormat="1" applyFont="1" applyFill="1" applyBorder="1" applyAlignment="1" applyProtection="1">
      <protection locked="0"/>
    </xf>
    <xf numFmtId="0" fontId="9" fillId="2" borderId="14" xfId="0" applyNumberFormat="1" applyFont="1" applyFill="1" applyBorder="1" applyAlignment="1"/>
    <xf numFmtId="15" fontId="26" fillId="2" borderId="15" xfId="0" applyNumberFormat="1" applyFont="1" applyFill="1" applyBorder="1" applyAlignment="1">
      <alignment horizontal="centerContinuous"/>
    </xf>
    <xf numFmtId="17" fontId="24" fillId="2" borderId="15" xfId="0" applyNumberFormat="1" applyFont="1" applyFill="1" applyBorder="1" applyAlignment="1">
      <alignment horizontal="center"/>
    </xf>
    <xf numFmtId="0" fontId="9" fillId="2" borderId="1" xfId="0" applyNumberFormat="1" applyFont="1" applyFill="1" applyBorder="1" applyAlignment="1">
      <alignment horizontal="right"/>
    </xf>
    <xf numFmtId="0" fontId="9" fillId="2" borderId="0" xfId="0" applyNumberFormat="1" applyFont="1" applyFill="1" applyBorder="1" applyAlignment="1">
      <alignment horizontal="right"/>
    </xf>
    <xf numFmtId="10" fontId="9" fillId="2" borderId="0" xfId="0" applyNumberFormat="1" applyFont="1" applyFill="1" applyBorder="1" applyAlignment="1" applyProtection="1">
      <alignment horizontal="center"/>
      <protection locked="0"/>
    </xf>
    <xf numFmtId="0" fontId="9" fillId="2" borderId="14" xfId="0" applyNumberFormat="1" applyFont="1" applyFill="1" applyBorder="1" applyAlignment="1">
      <alignment horizontal="right"/>
    </xf>
    <xf numFmtId="3" fontId="24" fillId="2" borderId="15" xfId="0" applyNumberFormat="1" applyFont="1" applyFill="1" applyBorder="1" applyAlignment="1">
      <alignment horizontal="center"/>
    </xf>
    <xf numFmtId="3" fontId="24" fillId="2" borderId="15" xfId="0" applyNumberFormat="1" applyFont="1" applyFill="1" applyBorder="1" applyAlignment="1" applyProtection="1">
      <alignment horizontal="center"/>
      <protection locked="0"/>
    </xf>
    <xf numFmtId="0" fontId="24" fillId="2" borderId="15" xfId="0" applyNumberFormat="1" applyFont="1" applyFill="1" applyBorder="1" applyAlignment="1" applyProtection="1">
      <protection locked="0"/>
    </xf>
    <xf numFmtId="3" fontId="10" fillId="2" borderId="16" xfId="0" applyNumberFormat="1" applyFont="1" applyFill="1" applyBorder="1" applyAlignment="1"/>
    <xf numFmtId="3" fontId="9" fillId="2" borderId="15" xfId="0" applyNumberFormat="1" applyFont="1" applyFill="1" applyBorder="1" applyAlignment="1"/>
    <xf numFmtId="0" fontId="2" fillId="2" borderId="15" xfId="0" applyNumberFormat="1" applyFont="1" applyFill="1" applyBorder="1" applyAlignment="1" applyProtection="1">
      <protection locked="0"/>
    </xf>
    <xf numFmtId="0" fontId="9" fillId="2" borderId="14" xfId="0" applyNumberFormat="1" applyFont="1" applyFill="1" applyBorder="1" applyAlignment="1">
      <alignment horizontal="center"/>
    </xf>
    <xf numFmtId="0" fontId="9" fillId="2" borderId="15" xfId="0" applyNumberFormat="1" applyFont="1" applyFill="1" applyBorder="1" applyAlignment="1"/>
    <xf numFmtId="0" fontId="10" fillId="2" borderId="16" xfId="0" applyNumberFormat="1" applyFont="1" applyFill="1" applyBorder="1" applyAlignment="1"/>
    <xf numFmtId="0" fontId="9" fillId="2" borderId="15" xfId="0" applyNumberFormat="1" applyFont="1" applyFill="1" applyBorder="1" applyAlignment="1">
      <alignment horizontal="right"/>
    </xf>
    <xf numFmtId="4" fontId="24" fillId="2" borderId="15" xfId="0" applyNumberFormat="1" applyFont="1" applyFill="1" applyBorder="1" applyAlignment="1" applyProtection="1">
      <alignment horizontal="center"/>
      <protection locked="0"/>
    </xf>
    <xf numFmtId="10" fontId="24" fillId="2" borderId="15" xfId="0" applyNumberFormat="1" applyFont="1" applyFill="1" applyBorder="1" applyAlignment="1" applyProtection="1">
      <alignment horizontal="center"/>
      <protection locked="0"/>
    </xf>
    <xf numFmtId="10" fontId="9" fillId="2" borderId="15" xfId="0" applyNumberFormat="1" applyFont="1" applyFill="1" applyBorder="1" applyAlignment="1" applyProtection="1">
      <alignment horizontal="center"/>
      <protection locked="0"/>
    </xf>
    <xf numFmtId="0" fontId="16" fillId="2" borderId="15" xfId="0" applyNumberFormat="1" applyFont="1" applyFill="1" applyBorder="1" applyAlignment="1"/>
    <xf numFmtId="10" fontId="17" fillId="2" borderId="15" xfId="1" applyNumberFormat="1" applyFont="1" applyFill="1" applyBorder="1" applyAlignment="1">
      <alignment horizontal="left"/>
      <protection locked="0"/>
    </xf>
    <xf numFmtId="9" fontId="2" fillId="2" borderId="0" xfId="0" applyNumberFormat="1" applyFont="1" applyFill="1" applyBorder="1" applyAlignment="1"/>
    <xf numFmtId="10" fontId="2" fillId="2" borderId="0" xfId="0" applyNumberFormat="1" applyFont="1" applyFill="1" applyBorder="1" applyAlignment="1"/>
    <xf numFmtId="3" fontId="9" fillId="2" borderId="0" xfId="0" applyNumberFormat="1" applyFont="1" applyFill="1" applyBorder="1" applyAlignment="1" applyProtection="1">
      <alignment horizontal="right"/>
      <protection locked="0"/>
    </xf>
    <xf numFmtId="166" fontId="24" fillId="2" borderId="15" xfId="0" applyNumberFormat="1" applyFont="1" applyFill="1" applyBorder="1" applyAlignment="1"/>
    <xf numFmtId="10" fontId="24" fillId="2" borderId="15" xfId="0" applyNumberFormat="1" applyFont="1" applyFill="1" applyBorder="1" applyAlignment="1"/>
    <xf numFmtId="0" fontId="26" fillId="2" borderId="16" xfId="0" applyNumberFormat="1" applyFont="1" applyFill="1" applyBorder="1" applyAlignment="1"/>
    <xf numFmtId="9" fontId="24" fillId="2" borderId="15" xfId="0" applyNumberFormat="1" applyFont="1" applyFill="1" applyBorder="1" applyAlignment="1"/>
    <xf numFmtId="3" fontId="24" fillId="2" borderId="0" xfId="0" applyNumberFormat="1" applyFont="1" applyFill="1" applyBorder="1" applyAlignment="1" applyProtection="1">
      <alignment horizontal="right"/>
      <protection locked="0"/>
    </xf>
    <xf numFmtId="3" fontId="25" fillId="2" borderId="15" xfId="0" applyNumberFormat="1" applyFont="1" applyFill="1" applyBorder="1" applyAlignment="1"/>
    <xf numFmtId="3" fontId="26" fillId="2" borderId="15" xfId="0" applyNumberFormat="1" applyFont="1" applyFill="1" applyBorder="1" applyAlignment="1" applyProtection="1">
      <alignment horizontal="right"/>
      <protection locked="0"/>
    </xf>
    <xf numFmtId="171" fontId="24" fillId="2" borderId="15" xfId="0" applyNumberFormat="1" applyFont="1" applyFill="1" applyBorder="1" applyAlignment="1">
      <alignment horizontal="center"/>
    </xf>
    <xf numFmtId="0" fontId="16" fillId="2" borderId="0" xfId="0" applyNumberFormat="1" applyFont="1" applyFill="1" applyBorder="1" applyAlignment="1"/>
    <xf numFmtId="10" fontId="17" fillId="2" borderId="0" xfId="1" applyNumberFormat="1" applyFont="1" applyFill="1" applyBorder="1" applyAlignment="1">
      <alignment horizontal="left"/>
      <protection locked="0"/>
    </xf>
    <xf numFmtId="169" fontId="24" fillId="2" borderId="15" xfId="0" applyNumberFormat="1" applyFont="1" applyFill="1" applyBorder="1" applyAlignment="1">
      <alignment horizontal="center"/>
    </xf>
    <xf numFmtId="169" fontId="26" fillId="2" borderId="15" xfId="0" applyNumberFormat="1" applyFont="1" applyFill="1" applyBorder="1" applyAlignment="1">
      <alignment horizontal="center"/>
    </xf>
    <xf numFmtId="164" fontId="25" fillId="2" borderId="15" xfId="0" applyNumberFormat="1" applyFont="1" applyFill="1" applyBorder="1" applyAlignment="1">
      <alignment horizontal="center"/>
    </xf>
    <xf numFmtId="164" fontId="1" fillId="2" borderId="15" xfId="0" applyNumberFormat="1" applyFont="1" applyFill="1" applyBorder="1" applyAlignment="1"/>
    <xf numFmtId="9" fontId="25" fillId="2" borderId="15" xfId="0" applyNumberFormat="1" applyFont="1" applyFill="1" applyBorder="1" applyAlignment="1"/>
    <xf numFmtId="10" fontId="25" fillId="2" borderId="15" xfId="0" applyNumberFormat="1" applyFont="1" applyFill="1" applyBorder="1" applyAlignment="1"/>
    <xf numFmtId="3" fontId="25" fillId="2" borderId="15" xfId="0" applyNumberFormat="1" applyFont="1" applyFill="1" applyBorder="1" applyAlignment="1" applyProtection="1">
      <alignment horizontal="right"/>
      <protection locked="0"/>
    </xf>
    <xf numFmtId="10" fontId="34" fillId="2" borderId="15" xfId="0" applyNumberFormat="1" applyFont="1" applyFill="1" applyBorder="1" applyAlignment="1">
      <alignment horizontal="center"/>
    </xf>
    <xf numFmtId="4" fontId="34" fillId="2" borderId="15" xfId="0" applyNumberFormat="1" applyFont="1" applyFill="1" applyBorder="1" applyAlignment="1">
      <alignment horizontal="center"/>
    </xf>
    <xf numFmtId="10" fontId="35" fillId="2" borderId="15" xfId="0" applyNumberFormat="1" applyFont="1" applyFill="1" applyBorder="1" applyAlignment="1">
      <alignment horizontal="center"/>
    </xf>
    <xf numFmtId="169" fontId="1" fillId="0" borderId="0" xfId="0" applyNumberFormat="1" applyFont="1" applyAlignment="1"/>
    <xf numFmtId="171" fontId="1" fillId="0" borderId="0" xfId="0" applyNumberFormat="1" applyFont="1" applyAlignment="1"/>
    <xf numFmtId="0" fontId="36" fillId="2" borderId="0" xfId="0" applyNumberFormat="1" applyFont="1" applyFill="1" applyAlignment="1"/>
    <xf numFmtId="10" fontId="26" fillId="2" borderId="15" xfId="0" applyNumberFormat="1" applyFont="1" applyFill="1" applyBorder="1" applyAlignment="1" applyProtection="1">
      <alignment horizontal="right"/>
      <protection locked="0"/>
    </xf>
    <xf numFmtId="15" fontId="25" fillId="2" borderId="0" xfId="0" applyNumberFormat="1" applyFont="1" applyFill="1" applyAlignment="1">
      <alignment horizontal="center"/>
    </xf>
    <xf numFmtId="0" fontId="2" fillId="2" borderId="17" xfId="0" applyNumberFormat="1" applyFont="1" applyFill="1" applyBorder="1" applyAlignment="1"/>
    <xf numFmtId="0" fontId="2" fillId="2" borderId="18" xfId="0" applyNumberFormat="1" applyFont="1" applyFill="1" applyBorder="1" applyAlignment="1"/>
    <xf numFmtId="0" fontId="24" fillId="2" borderId="18" xfId="0" applyNumberFormat="1" applyFont="1" applyFill="1" applyBorder="1" applyAlignment="1"/>
    <xf numFmtId="0" fontId="18" fillId="3" borderId="18" xfId="0" applyNumberFormat="1" applyFont="1" applyFill="1" applyBorder="1" applyAlignment="1"/>
    <xf numFmtId="0" fontId="24" fillId="2" borderId="19" xfId="0" applyNumberFormat="1" applyFont="1" applyFill="1" applyBorder="1" applyAlignment="1"/>
    <xf numFmtId="0" fontId="13" fillId="2" borderId="18" xfId="0" applyNumberFormat="1" applyFont="1" applyFill="1" applyBorder="1" applyAlignment="1"/>
    <xf numFmtId="0" fontId="2" fillId="2" borderId="19" xfId="0" applyNumberFormat="1" applyFont="1" applyFill="1" applyBorder="1" applyAlignment="1"/>
    <xf numFmtId="0" fontId="18" fillId="3" borderId="17" xfId="0" applyNumberFormat="1" applyFont="1" applyFill="1" applyBorder="1" applyAlignment="1"/>
    <xf numFmtId="0" fontId="5" fillId="2" borderId="18" xfId="0" applyNumberFormat="1" applyFont="1" applyFill="1" applyBorder="1" applyAlignment="1"/>
    <xf numFmtId="3" fontId="10" fillId="2" borderId="19" xfId="0" applyNumberFormat="1" applyFont="1" applyFill="1" applyBorder="1" applyAlignment="1"/>
    <xf numFmtId="0" fontId="10" fillId="2" borderId="18" xfId="0" applyNumberFormat="1" applyFont="1" applyFill="1" applyBorder="1" applyAlignment="1"/>
    <xf numFmtId="0" fontId="23" fillId="3" borderId="18" xfId="0" applyNumberFormat="1" applyFont="1" applyFill="1" applyBorder="1" applyAlignment="1"/>
    <xf numFmtId="0" fontId="26" fillId="2" borderId="19" xfId="0" applyNumberFormat="1" applyFont="1" applyFill="1" applyBorder="1" applyAlignment="1"/>
    <xf numFmtId="0" fontId="27" fillId="2" borderId="18" xfId="0" applyNumberFormat="1" applyFont="1" applyFill="1" applyBorder="1" applyAlignment="1"/>
    <xf numFmtId="10" fontId="25" fillId="2" borderId="0" xfId="0" applyNumberFormat="1" applyFont="1" applyFill="1" applyAlignment="1">
      <alignment horizontal="center"/>
    </xf>
    <xf numFmtId="0" fontId="2" fillId="2" borderId="20" xfId="0" applyNumberFormat="1" applyFont="1" applyFill="1" applyBorder="1" applyAlignment="1"/>
    <xf numFmtId="0" fontId="24" fillId="2" borderId="21" xfId="0" applyNumberFormat="1" applyFont="1" applyFill="1" applyBorder="1" applyAlignment="1"/>
    <xf numFmtId="3" fontId="24" fillId="2" borderId="21" xfId="0" applyNumberFormat="1" applyFont="1" applyFill="1" applyBorder="1" applyAlignment="1" applyProtection="1">
      <alignment horizontal="right"/>
      <protection locked="0"/>
    </xf>
    <xf numFmtId="0" fontId="2" fillId="2" borderId="22" xfId="0" applyNumberFormat="1" applyFont="1" applyFill="1" applyBorder="1" applyAlignment="1"/>
    <xf numFmtId="172" fontId="24" fillId="2" borderId="15" xfId="0" applyNumberFormat="1" applyFont="1" applyFill="1" applyBorder="1" applyAlignment="1">
      <alignment horizontal="center"/>
    </xf>
    <xf numFmtId="172" fontId="26" fillId="2" borderId="15" xfId="0" applyNumberFormat="1" applyFont="1" applyFill="1" applyBorder="1" applyAlignment="1">
      <alignment horizontal="center"/>
    </xf>
    <xf numFmtId="169" fontId="25" fillId="2" borderId="15" xfId="0" applyNumberFormat="1" applyFont="1" applyFill="1" applyBorder="1" applyAlignment="1">
      <alignment horizontal="center"/>
    </xf>
    <xf numFmtId="10" fontId="24" fillId="2" borderId="15" xfId="2" applyNumberFormat="1" applyFont="1" applyFill="1" applyBorder="1" applyAlignment="1">
      <alignment horizontal="center"/>
    </xf>
    <xf numFmtId="15" fontId="38" fillId="2" borderId="15" xfId="0" applyNumberFormat="1" applyFont="1" applyFill="1" applyBorder="1" applyAlignment="1" applyProtection="1">
      <alignment horizontal="center"/>
      <protection locked="0"/>
    </xf>
    <xf numFmtId="9" fontId="38" fillId="2" borderId="15" xfId="2" applyFont="1" applyFill="1" applyBorder="1" applyAlignment="1">
      <alignment horizontal="center"/>
    </xf>
    <xf numFmtId="2" fontId="38" fillId="2" borderId="15" xfId="0" applyNumberFormat="1" applyFont="1" applyFill="1" applyBorder="1" applyAlignment="1" applyProtection="1">
      <alignment horizontal="right"/>
      <protection locked="0"/>
    </xf>
    <xf numFmtId="4" fontId="38" fillId="2" borderId="15" xfId="0" applyNumberFormat="1" applyFont="1" applyFill="1" applyBorder="1" applyAlignment="1" applyProtection="1">
      <alignment horizontal="right"/>
      <protection locked="0"/>
    </xf>
    <xf numFmtId="0" fontId="39" fillId="4" borderId="0" xfId="1" applyNumberFormat="1" applyFont="1" applyFill="1" applyAlignment="1" applyProtection="1"/>
    <xf numFmtId="0" fontId="40" fillId="2" borderId="5" xfId="0" applyNumberFormat="1" applyFont="1" applyFill="1" applyBorder="1" applyAlignment="1"/>
    <xf numFmtId="0" fontId="40" fillId="2" borderId="2" xfId="0" applyNumberFormat="1" applyFont="1" applyFill="1" applyBorder="1" applyAlignment="1"/>
    <xf numFmtId="0" fontId="40" fillId="2" borderId="17" xfId="0" applyNumberFormat="1" applyFont="1" applyFill="1" applyBorder="1" applyAlignment="1"/>
    <xf numFmtId="0" fontId="40" fillId="0" borderId="1" xfId="0" applyNumberFormat="1" applyFont="1" applyBorder="1"/>
    <xf numFmtId="0" fontId="40" fillId="0" borderId="0" xfId="0" applyNumberFormat="1" applyFont="1" applyAlignment="1"/>
    <xf numFmtId="0" fontId="40" fillId="2" borderId="1" xfId="0" applyNumberFormat="1" applyFont="1" applyFill="1" applyBorder="1" applyAlignment="1"/>
    <xf numFmtId="0" fontId="41" fillId="2" borderId="0" xfId="0" applyNumberFormat="1" applyFont="1" applyFill="1" applyAlignment="1"/>
    <xf numFmtId="0" fontId="40" fillId="2" borderId="0" xfId="0" applyNumberFormat="1" applyFont="1" applyFill="1" applyAlignment="1"/>
    <xf numFmtId="0" fontId="40" fillId="2" borderId="18" xfId="0" applyNumberFormat="1" applyFont="1" applyFill="1" applyBorder="1" applyAlignment="1"/>
    <xf numFmtId="0" fontId="40" fillId="2" borderId="1" xfId="0" applyNumberFormat="1" applyFont="1" applyFill="1" applyBorder="1" applyAlignment="1">
      <alignment horizontal="center"/>
    </xf>
    <xf numFmtId="0" fontId="42" fillId="2" borderId="0" xfId="0" applyNumberFormat="1" applyFont="1" applyFill="1" applyAlignment="1"/>
    <xf numFmtId="0" fontId="43" fillId="2" borderId="0" xfId="0" applyNumberFormat="1" applyFont="1" applyFill="1" applyAlignment="1"/>
    <xf numFmtId="0" fontId="44" fillId="2" borderId="0" xfId="0" applyNumberFormat="1" applyFont="1" applyFill="1" applyAlignment="1"/>
    <xf numFmtId="0" fontId="45" fillId="2" borderId="0" xfId="1" applyNumberFormat="1" applyFont="1" applyFill="1" applyAlignment="1" applyProtection="1"/>
    <xf numFmtId="0" fontId="46" fillId="2" borderId="0" xfId="0" applyNumberFormat="1" applyFont="1" applyFill="1" applyAlignment="1"/>
    <xf numFmtId="0" fontId="47" fillId="2" borderId="0" xfId="0" applyNumberFormat="1" applyFont="1" applyFill="1" applyAlignment="1"/>
    <xf numFmtId="0" fontId="48" fillId="2" borderId="0" xfId="0" applyNumberFormat="1" applyFont="1" applyFill="1" applyAlignment="1"/>
    <xf numFmtId="0" fontId="48" fillId="2" borderId="18" xfId="0" applyNumberFormat="1" applyFont="1" applyFill="1" applyBorder="1" applyAlignment="1"/>
    <xf numFmtId="0" fontId="40" fillId="2" borderId="0" xfId="0" applyNumberFormat="1" applyFont="1" applyFill="1" applyAlignment="1">
      <alignment horizontal="right"/>
    </xf>
    <xf numFmtId="0" fontId="48" fillId="2" borderId="15" xfId="0" applyNumberFormat="1" applyFont="1" applyFill="1" applyBorder="1" applyAlignment="1"/>
    <xf numFmtId="0" fontId="48" fillId="2" borderId="15" xfId="0" applyNumberFormat="1" applyFont="1" applyFill="1" applyBorder="1" applyAlignment="1">
      <alignment horizontal="center"/>
    </xf>
    <xf numFmtId="0" fontId="51" fillId="2" borderId="14" xfId="0" applyNumberFormat="1" applyFont="1" applyFill="1" applyBorder="1" applyAlignment="1"/>
    <xf numFmtId="0" fontId="42" fillId="2" borderId="15" xfId="0" applyNumberFormat="1" applyFont="1" applyFill="1" applyBorder="1" applyAlignment="1"/>
    <xf numFmtId="0" fontId="51" fillId="2" borderId="15" xfId="0" applyNumberFormat="1" applyFont="1" applyFill="1" applyBorder="1" applyAlignment="1"/>
    <xf numFmtId="170" fontId="42" fillId="2" borderId="15" xfId="0" applyNumberFormat="1" applyFont="1" applyFill="1" applyBorder="1" applyAlignment="1">
      <alignment horizontal="center"/>
    </xf>
    <xf numFmtId="0" fontId="51" fillId="2" borderId="15" xfId="0" applyNumberFormat="1" applyFont="1" applyFill="1" applyBorder="1" applyAlignment="1">
      <alignment horizontal="center"/>
    </xf>
    <xf numFmtId="164" fontId="51" fillId="2" borderId="15" xfId="0" applyNumberFormat="1" applyFont="1" applyFill="1" applyBorder="1" applyAlignment="1"/>
    <xf numFmtId="0" fontId="51" fillId="2" borderId="16" xfId="0" applyNumberFormat="1" applyFont="1" applyFill="1" applyBorder="1" applyAlignment="1"/>
    <xf numFmtId="0" fontId="51" fillId="0" borderId="1" xfId="0" applyNumberFormat="1" applyFont="1" applyBorder="1"/>
    <xf numFmtId="0" fontId="51" fillId="0" borderId="0" xfId="0" applyNumberFormat="1" applyFont="1" applyAlignment="1"/>
    <xf numFmtId="10" fontId="51" fillId="2" borderId="15" xfId="0" applyNumberFormat="1" applyFont="1" applyFill="1" applyBorder="1" applyAlignment="1">
      <alignment horizontal="center"/>
    </xf>
    <xf numFmtId="165" fontId="51" fillId="2" borderId="15" xfId="0" applyNumberFormat="1" applyFont="1" applyFill="1" applyBorder="1" applyAlignment="1">
      <alignment horizontal="center"/>
    </xf>
    <xf numFmtId="0" fontId="40" fillId="2" borderId="14" xfId="0" applyNumberFormat="1" applyFont="1" applyFill="1" applyBorder="1" applyAlignment="1"/>
    <xf numFmtId="0" fontId="40" fillId="2" borderId="0" xfId="0" applyNumberFormat="1" applyFont="1" applyFill="1" applyBorder="1" applyAlignment="1"/>
    <xf numFmtId="0" fontId="40" fillId="2" borderId="8" xfId="0" applyNumberFormat="1" applyFont="1" applyFill="1" applyBorder="1" applyAlignment="1"/>
    <xf numFmtId="4" fontId="40" fillId="2" borderId="0" xfId="0" applyNumberFormat="1" applyFont="1" applyFill="1" applyAlignment="1" applyProtection="1">
      <alignment horizontal="right"/>
      <protection locked="0"/>
    </xf>
    <xf numFmtId="0" fontId="51" fillId="2" borderId="1" xfId="0" applyNumberFormat="1" applyFont="1" applyFill="1" applyBorder="1" applyAlignment="1"/>
    <xf numFmtId="0" fontId="42" fillId="2" borderId="0" xfId="0" applyNumberFormat="1" applyFont="1" applyFill="1" applyAlignment="1">
      <alignment horizontal="left" vertical="top" wrapText="1"/>
    </xf>
    <xf numFmtId="0" fontId="42" fillId="2" borderId="0" xfId="0" applyNumberFormat="1" applyFont="1" applyFill="1" applyAlignment="1">
      <alignment horizontal="center" vertical="top" wrapText="1"/>
    </xf>
    <xf numFmtId="4" fontId="42" fillId="2" borderId="0" xfId="0" applyNumberFormat="1" applyFont="1" applyFill="1" applyAlignment="1" applyProtection="1">
      <alignment horizontal="center" vertical="top" wrapText="1"/>
      <protection locked="0"/>
    </xf>
    <xf numFmtId="0" fontId="51" fillId="2" borderId="18" xfId="0" applyNumberFormat="1" applyFont="1" applyFill="1" applyBorder="1" applyAlignment="1"/>
    <xf numFmtId="3" fontId="48" fillId="2" borderId="15" xfId="0" applyNumberFormat="1" applyFont="1" applyFill="1" applyBorder="1" applyAlignment="1"/>
    <xf numFmtId="3" fontId="48" fillId="2" borderId="15" xfId="0" applyNumberFormat="1" applyFont="1" applyFill="1" applyBorder="1" applyAlignment="1" applyProtection="1">
      <alignment horizontal="right"/>
      <protection locked="0"/>
    </xf>
    <xf numFmtId="3" fontId="40" fillId="2" borderId="0" xfId="0" applyNumberFormat="1" applyFont="1" applyFill="1" applyBorder="1" applyAlignment="1"/>
    <xf numFmtId="3" fontId="52" fillId="2" borderId="0" xfId="0" applyNumberFormat="1" applyFont="1" applyFill="1" applyBorder="1" applyAlignment="1"/>
    <xf numFmtId="3" fontId="40" fillId="2" borderId="0" xfId="0" applyNumberFormat="1" applyFont="1" applyFill="1" applyAlignment="1"/>
    <xf numFmtId="3" fontId="52" fillId="2" borderId="0" xfId="0" applyNumberFormat="1" applyFont="1" applyFill="1" applyAlignment="1"/>
    <xf numFmtId="0" fontId="40" fillId="2" borderId="15" xfId="0" applyNumberFormat="1" applyFont="1" applyFill="1" applyBorder="1" applyAlignment="1"/>
    <xf numFmtId="0" fontId="40" fillId="2" borderId="16" xfId="0" applyNumberFormat="1" applyFont="1" applyFill="1" applyBorder="1" applyAlignment="1"/>
    <xf numFmtId="0" fontId="54" fillId="2" borderId="15" xfId="0" applyNumberFormat="1" applyFont="1" applyFill="1" applyBorder="1" applyAlignment="1"/>
    <xf numFmtId="4" fontId="48" fillId="2" borderId="15" xfId="0" applyNumberFormat="1" applyFont="1" applyFill="1" applyBorder="1" applyAlignment="1" applyProtection="1">
      <alignment horizontal="right"/>
      <protection locked="0"/>
    </xf>
    <xf numFmtId="0" fontId="55" fillId="2" borderId="0" xfId="0" applyNumberFormat="1" applyFont="1" applyFill="1" applyAlignment="1"/>
    <xf numFmtId="0" fontId="54" fillId="2" borderId="0" xfId="0" applyNumberFormat="1" applyFont="1" applyFill="1" applyAlignment="1"/>
    <xf numFmtId="4" fontId="40" fillId="2" borderId="0" xfId="0" applyNumberFormat="1" applyFont="1" applyFill="1" applyBorder="1" applyAlignment="1" applyProtection="1">
      <alignment horizontal="right"/>
      <protection locked="0"/>
    </xf>
    <xf numFmtId="0" fontId="48" fillId="2" borderId="0" xfId="0" applyNumberFormat="1" applyFont="1" applyFill="1" applyBorder="1" applyAlignment="1"/>
    <xf numFmtId="3" fontId="48" fillId="2" borderId="0" xfId="0" applyNumberFormat="1" applyFont="1" applyFill="1" applyBorder="1" applyAlignment="1" applyProtection="1">
      <alignment horizontal="right"/>
      <protection locked="0"/>
    </xf>
    <xf numFmtId="4" fontId="52" fillId="2" borderId="0" xfId="0" applyNumberFormat="1" applyFont="1" applyFill="1" applyAlignment="1" applyProtection="1">
      <alignment horizontal="right"/>
      <protection locked="0"/>
    </xf>
    <xf numFmtId="4" fontId="40" fillId="2" borderId="2" xfId="0" applyNumberFormat="1" applyFont="1" applyFill="1" applyBorder="1" applyAlignment="1" applyProtection="1">
      <alignment horizontal="right"/>
      <protection locked="0"/>
    </xf>
    <xf numFmtId="3" fontId="40" fillId="2" borderId="0" xfId="0" applyNumberFormat="1" applyFont="1" applyFill="1" applyBorder="1" applyAlignment="1" applyProtection="1">
      <alignment horizontal="right"/>
      <protection locked="0"/>
    </xf>
    <xf numFmtId="0" fontId="40" fillId="0" borderId="0" xfId="0" applyNumberFormat="1" applyFont="1" applyBorder="1" applyAlignment="1"/>
    <xf numFmtId="0" fontId="40" fillId="0" borderId="4" xfId="0" applyNumberFormat="1" applyFont="1" applyBorder="1" applyAlignment="1"/>
    <xf numFmtId="0" fontId="40" fillId="0" borderId="2" xfId="0" applyNumberFormat="1" applyFont="1" applyBorder="1" applyAlignment="1"/>
    <xf numFmtId="0" fontId="51" fillId="2" borderId="0" xfId="0" applyNumberFormat="1" applyFont="1" applyFill="1" applyAlignment="1"/>
    <xf numFmtId="0" fontId="42" fillId="2" borderId="0" xfId="0" applyNumberFormat="1" applyFont="1" applyFill="1" applyAlignment="1">
      <alignment horizontal="right"/>
    </xf>
    <xf numFmtId="4" fontId="42" fillId="2" borderId="0" xfId="0" applyNumberFormat="1" applyFont="1" applyFill="1" applyAlignment="1" applyProtection="1">
      <alignment horizontal="right"/>
      <protection locked="0"/>
    </xf>
    <xf numFmtId="0" fontId="42" fillId="2" borderId="18" xfId="0" applyNumberFormat="1" applyFont="1" applyFill="1" applyBorder="1" applyAlignment="1"/>
    <xf numFmtId="0" fontId="40" fillId="2" borderId="0" xfId="0" applyNumberFormat="1" applyFont="1" applyFill="1" applyAlignment="1" applyProtection="1">
      <protection locked="0"/>
    </xf>
    <xf numFmtId="0" fontId="48" fillId="2" borderId="10" xfId="0" applyNumberFormat="1" applyFont="1" applyFill="1" applyBorder="1" applyAlignment="1"/>
    <xf numFmtId="0" fontId="52" fillId="2" borderId="1" xfId="0" applyNumberFormat="1" applyFont="1" applyFill="1" applyBorder="1" applyAlignment="1"/>
    <xf numFmtId="0" fontId="56" fillId="2" borderId="0" xfId="0" applyNumberFormat="1" applyFont="1" applyFill="1" applyAlignment="1"/>
    <xf numFmtId="15" fontId="57" fillId="2" borderId="0" xfId="0" applyNumberFormat="1" applyFont="1" applyFill="1" applyAlignment="1">
      <alignment horizontal="centerContinuous"/>
    </xf>
    <xf numFmtId="15" fontId="57" fillId="2" borderId="0" xfId="0" applyNumberFormat="1" applyFont="1" applyFill="1" applyAlignment="1">
      <alignment horizontal="center"/>
    </xf>
    <xf numFmtId="0" fontId="52" fillId="2" borderId="0" xfId="0" applyNumberFormat="1" applyFont="1" applyFill="1" applyBorder="1" applyAlignment="1"/>
    <xf numFmtId="0" fontId="40" fillId="2" borderId="0" xfId="0" applyNumberFormat="1" applyFont="1" applyFill="1" applyBorder="1" applyAlignment="1" applyProtection="1">
      <protection locked="0"/>
    </xf>
    <xf numFmtId="0" fontId="52" fillId="2" borderId="14" xfId="0" applyNumberFormat="1" applyFont="1" applyFill="1" applyBorder="1" applyAlignment="1">
      <alignment horizontal="right"/>
    </xf>
    <xf numFmtId="3" fontId="48" fillId="2" borderId="15" xfId="0" applyNumberFormat="1" applyFont="1" applyFill="1" applyBorder="1" applyAlignment="1" applyProtection="1">
      <alignment horizontal="center"/>
      <protection locked="0"/>
    </xf>
    <xf numFmtId="3" fontId="57" fillId="2" borderId="16" xfId="0" applyNumberFormat="1" applyFont="1" applyFill="1" applyBorder="1" applyAlignment="1"/>
    <xf numFmtId="3" fontId="52" fillId="2" borderId="15" xfId="0" applyNumberFormat="1" applyFont="1" applyFill="1" applyBorder="1" applyAlignment="1"/>
    <xf numFmtId="0" fontId="40" fillId="2" borderId="15" xfId="0" applyNumberFormat="1" applyFont="1" applyFill="1" applyBorder="1" applyAlignment="1" applyProtection="1">
      <protection locked="0"/>
    </xf>
    <xf numFmtId="0" fontId="52" fillId="2" borderId="14" xfId="0" applyNumberFormat="1" applyFont="1" applyFill="1" applyBorder="1" applyAlignment="1">
      <alignment horizontal="center"/>
    </xf>
    <xf numFmtId="0" fontId="52" fillId="2" borderId="15" xfId="0" applyNumberFormat="1" applyFont="1" applyFill="1" applyBorder="1" applyAlignment="1"/>
    <xf numFmtId="0" fontId="57" fillId="2" borderId="16" xfId="0" applyNumberFormat="1" applyFont="1" applyFill="1" applyBorder="1" applyAlignment="1"/>
    <xf numFmtId="0" fontId="52" fillId="2" borderId="15" xfId="0" applyNumberFormat="1" applyFont="1" applyFill="1" applyBorder="1" applyAlignment="1">
      <alignment horizontal="right"/>
    </xf>
    <xf numFmtId="10" fontId="48" fillId="2" borderId="15" xfId="0" applyNumberFormat="1" applyFont="1" applyFill="1" applyBorder="1" applyAlignment="1" applyProtection="1">
      <alignment horizontal="center"/>
      <protection locked="0"/>
    </xf>
    <xf numFmtId="10" fontId="52" fillId="2" borderId="15" xfId="0" applyNumberFormat="1" applyFont="1" applyFill="1" applyBorder="1" applyAlignment="1" applyProtection="1">
      <alignment horizontal="center"/>
      <protection locked="0"/>
    </xf>
    <xf numFmtId="0" fontId="44" fillId="2" borderId="15" xfId="0" applyNumberFormat="1" applyFont="1" applyFill="1" applyBorder="1" applyAlignment="1"/>
    <xf numFmtId="10" fontId="45" fillId="2" borderId="15" xfId="1" applyNumberFormat="1" applyFont="1" applyFill="1" applyBorder="1" applyAlignment="1">
      <alignment horizontal="left"/>
      <protection locked="0"/>
    </xf>
    <xf numFmtId="0" fontId="52" fillId="2" borderId="1" xfId="0" applyNumberFormat="1" applyFont="1" applyFill="1" applyBorder="1" applyAlignment="1">
      <alignment horizontal="right"/>
    </xf>
    <xf numFmtId="0" fontId="58" fillId="2" borderId="0" xfId="0" applyNumberFormat="1" applyFont="1" applyFill="1" applyBorder="1" applyAlignment="1"/>
    <xf numFmtId="0" fontId="52" fillId="2" borderId="0" xfId="0" applyNumberFormat="1" applyFont="1" applyFill="1" applyBorder="1" applyAlignment="1">
      <alignment horizontal="right"/>
    </xf>
    <xf numFmtId="10" fontId="45" fillId="2" borderId="0" xfId="1" applyNumberFormat="1" applyFont="1" applyFill="1" applyBorder="1" applyAlignment="1">
      <alignment horizontal="left"/>
      <protection locked="0"/>
    </xf>
    <xf numFmtId="10" fontId="52" fillId="2" borderId="0" xfId="0" applyNumberFormat="1" applyFont="1" applyFill="1" applyBorder="1" applyAlignment="1" applyProtection="1">
      <alignment horizontal="center"/>
      <protection locked="0"/>
    </xf>
    <xf numFmtId="0" fontId="57" fillId="2" borderId="18" xfId="0" applyNumberFormat="1" applyFont="1" applyFill="1" applyBorder="1" applyAlignment="1"/>
    <xf numFmtId="9" fontId="40" fillId="2" borderId="0" xfId="0" applyNumberFormat="1" applyFont="1" applyFill="1" applyBorder="1" applyAlignment="1"/>
    <xf numFmtId="10" fontId="40" fillId="2" borderId="0" xfId="0" applyNumberFormat="1" applyFont="1" applyFill="1" applyBorder="1" applyAlignment="1"/>
    <xf numFmtId="3" fontId="52" fillId="2" borderId="0" xfId="0" applyNumberFormat="1" applyFont="1" applyFill="1" applyBorder="1" applyAlignment="1" applyProtection="1">
      <alignment horizontal="right"/>
      <protection locked="0"/>
    </xf>
    <xf numFmtId="0" fontId="48" fillId="2" borderId="1" xfId="0" applyNumberFormat="1" applyFont="1" applyFill="1" applyBorder="1" applyAlignment="1"/>
    <xf numFmtId="0" fontId="40" fillId="0" borderId="2" xfId="0" applyNumberFormat="1" applyFont="1" applyBorder="1"/>
    <xf numFmtId="0" fontId="59" fillId="4" borderId="15" xfId="1" applyNumberFormat="1" applyFont="1" applyFill="1" applyBorder="1" applyAlignment="1" applyProtection="1"/>
    <xf numFmtId="0" fontId="60" fillId="2" borderId="2" xfId="0" applyNumberFormat="1" applyFont="1" applyFill="1" applyBorder="1" applyAlignment="1"/>
    <xf numFmtId="0" fontId="61" fillId="2" borderId="1" xfId="0" applyNumberFormat="1" applyFont="1" applyFill="1" applyBorder="1" applyAlignment="1"/>
    <xf numFmtId="0" fontId="62" fillId="2" borderId="0" xfId="0" applyNumberFormat="1" applyFont="1" applyFill="1" applyAlignment="1"/>
    <xf numFmtId="0" fontId="61" fillId="2" borderId="0" xfId="0" applyNumberFormat="1" applyFont="1" applyFill="1" applyAlignment="1"/>
    <xf numFmtId="0" fontId="61" fillId="2" borderId="18" xfId="0" applyNumberFormat="1" applyFont="1" applyFill="1" applyBorder="1" applyAlignment="1"/>
    <xf numFmtId="0" fontId="61" fillId="0" borderId="1" xfId="0" applyNumberFormat="1" applyFont="1" applyBorder="1"/>
    <xf numFmtId="0" fontId="61" fillId="0" borderId="0" xfId="0" applyNumberFormat="1" applyFont="1" applyAlignment="1"/>
    <xf numFmtId="0" fontId="63" fillId="2" borderId="0" xfId="0" applyNumberFormat="1" applyFont="1" applyFill="1" applyAlignment="1"/>
    <xf numFmtId="0" fontId="64" fillId="2" borderId="0" xfId="0" applyNumberFormat="1" applyFont="1" applyFill="1" applyAlignment="1">
      <alignment horizontal="center" wrapText="1"/>
    </xf>
    <xf numFmtId="9" fontId="63" fillId="2" borderId="0" xfId="0" applyNumberFormat="1" applyFont="1" applyFill="1" applyAlignment="1">
      <alignment horizontal="center"/>
    </xf>
    <xf numFmtId="10" fontId="63" fillId="2" borderId="0" xfId="0" applyNumberFormat="1" applyFont="1" applyFill="1" applyAlignment="1">
      <alignment horizontal="center"/>
    </xf>
    <xf numFmtId="15" fontId="63" fillId="2" borderId="0" xfId="0" applyNumberFormat="1" applyFont="1" applyFill="1" applyAlignment="1">
      <alignment horizontal="center"/>
    </xf>
    <xf numFmtId="0" fontId="61" fillId="2" borderId="0" xfId="0" applyNumberFormat="1" applyFont="1" applyFill="1" applyAlignment="1">
      <alignment horizontal="center"/>
    </xf>
    <xf numFmtId="0" fontId="64" fillId="2" borderId="0" xfId="0" applyNumberFormat="1" applyFont="1" applyFill="1" applyAlignment="1"/>
    <xf numFmtId="0" fontId="63" fillId="2" borderId="14" xfId="0" applyNumberFormat="1" applyFont="1" applyFill="1" applyBorder="1" applyAlignment="1"/>
    <xf numFmtId="0" fontId="61" fillId="2" borderId="15" xfId="0" applyNumberFormat="1" applyFont="1" applyFill="1" applyBorder="1" applyAlignment="1"/>
    <xf numFmtId="0" fontId="63" fillId="2" borderId="15" xfId="0" applyNumberFormat="1" applyFont="1" applyFill="1" applyBorder="1" applyAlignment="1">
      <alignment horizontal="center" wrapText="1"/>
    </xf>
    <xf numFmtId="0" fontId="61" fillId="2" borderId="15" xfId="0" applyNumberFormat="1" applyFont="1" applyFill="1" applyBorder="1" applyAlignment="1">
      <alignment horizontal="center" wrapText="1"/>
    </xf>
    <xf numFmtId="0" fontId="61" fillId="2" borderId="16" xfId="0" applyNumberFormat="1" applyFont="1" applyFill="1" applyBorder="1" applyAlignment="1"/>
    <xf numFmtId="0" fontId="63" fillId="2" borderId="15" xfId="0" applyNumberFormat="1" applyFont="1" applyFill="1" applyBorder="1" applyAlignment="1"/>
    <xf numFmtId="169" fontId="61" fillId="0" borderId="0" xfId="0" applyNumberFormat="1" applyFont="1" applyAlignment="1"/>
    <xf numFmtId="171" fontId="61" fillId="0" borderId="0" xfId="0" applyNumberFormat="1" applyFont="1" applyAlignment="1"/>
    <xf numFmtId="0" fontId="61" fillId="2" borderId="14" xfId="0" applyNumberFormat="1" applyFont="1" applyFill="1" applyBorder="1" applyAlignment="1"/>
    <xf numFmtId="0" fontId="61" fillId="2" borderId="15" xfId="0" applyNumberFormat="1" applyFont="1" applyFill="1" applyBorder="1" applyAlignment="1">
      <alignment horizontal="center"/>
    </xf>
    <xf numFmtId="164" fontId="61" fillId="2" borderId="15" xfId="0" applyNumberFormat="1" applyFont="1" applyFill="1" applyBorder="1" applyAlignment="1"/>
    <xf numFmtId="164" fontId="61" fillId="2" borderId="15" xfId="0" applyNumberFormat="1" applyFont="1" applyFill="1" applyBorder="1" applyAlignment="1">
      <alignment horizontal="center"/>
    </xf>
    <xf numFmtId="3" fontId="61" fillId="2" borderId="16" xfId="0" applyNumberFormat="1" applyFont="1" applyFill="1" applyBorder="1" applyAlignment="1"/>
    <xf numFmtId="164" fontId="63" fillId="2" borderId="15" xfId="0" applyNumberFormat="1" applyFont="1" applyFill="1" applyBorder="1" applyAlignment="1"/>
    <xf numFmtId="172" fontId="61" fillId="2" borderId="15" xfId="0" applyNumberFormat="1" applyFont="1" applyFill="1" applyBorder="1" applyAlignment="1">
      <alignment horizontal="center"/>
    </xf>
    <xf numFmtId="168" fontId="61" fillId="2" borderId="15" xfId="0" applyNumberFormat="1" applyFont="1" applyFill="1" applyBorder="1" applyAlignment="1">
      <alignment horizontal="center"/>
    </xf>
    <xf numFmtId="169" fontId="61" fillId="2" borderId="15" xfId="0" applyNumberFormat="1" applyFont="1" applyFill="1" applyBorder="1" applyAlignment="1">
      <alignment horizontal="center"/>
    </xf>
    <xf numFmtId="171" fontId="61" fillId="2" borderId="15" xfId="0" applyNumberFormat="1" applyFont="1" applyFill="1" applyBorder="1" applyAlignment="1">
      <alignment horizontal="center"/>
    </xf>
    <xf numFmtId="164" fontId="63" fillId="2" borderId="15" xfId="0" applyNumberFormat="1" applyFont="1" applyFill="1" applyBorder="1" applyAlignment="1">
      <alignment horizontal="center"/>
    </xf>
    <xf numFmtId="172" fontId="63" fillId="2" borderId="15" xfId="0" applyNumberFormat="1" applyFont="1" applyFill="1" applyBorder="1" applyAlignment="1">
      <alignment horizontal="center"/>
    </xf>
    <xf numFmtId="169" fontId="63" fillId="2" borderId="15" xfId="0" applyNumberFormat="1" applyFont="1" applyFill="1" applyBorder="1" applyAlignment="1">
      <alignment horizontal="center"/>
    </xf>
    <xf numFmtId="168" fontId="63" fillId="2" borderId="15" xfId="0" applyNumberFormat="1" applyFont="1" applyFill="1" applyBorder="1" applyAlignment="1">
      <alignment horizontal="center"/>
    </xf>
    <xf numFmtId="10" fontId="61" fillId="2" borderId="15" xfId="0" applyNumberFormat="1" applyFont="1" applyFill="1" applyBorder="1" applyAlignment="1">
      <alignment horizontal="center"/>
    </xf>
    <xf numFmtId="165" fontId="61" fillId="2" borderId="15" xfId="0" applyNumberFormat="1" applyFont="1" applyFill="1" applyBorder="1" applyAlignment="1">
      <alignment horizontal="center"/>
    </xf>
    <xf numFmtId="167" fontId="61" fillId="2" borderId="15" xfId="0" applyNumberFormat="1" applyFont="1" applyFill="1" applyBorder="1" applyAlignment="1">
      <alignment horizontal="center"/>
    </xf>
    <xf numFmtId="9" fontId="61" fillId="2" borderId="15" xfId="2" applyFont="1" applyFill="1" applyBorder="1" applyAlignment="1">
      <alignment horizontal="center"/>
    </xf>
    <xf numFmtId="0" fontId="61" fillId="2" borderId="15" xfId="0" applyNumberFormat="1" applyFont="1" applyFill="1" applyBorder="1" applyAlignment="1">
      <alignment horizontal="right"/>
    </xf>
    <xf numFmtId="10" fontId="61" fillId="2" borderId="15" xfId="2" applyNumberFormat="1" applyFont="1" applyFill="1" applyBorder="1" applyAlignment="1">
      <alignment horizontal="center"/>
    </xf>
    <xf numFmtId="4" fontId="61" fillId="2" borderId="15" xfId="0" applyNumberFormat="1" applyFont="1" applyFill="1" applyBorder="1" applyAlignment="1">
      <alignment horizontal="center"/>
    </xf>
    <xf numFmtId="0" fontId="63" fillId="2" borderId="15" xfId="0" applyNumberFormat="1" applyFont="1" applyFill="1" applyBorder="1" applyAlignment="1">
      <alignment horizontal="center"/>
    </xf>
    <xf numFmtId="15" fontId="63" fillId="2" borderId="15" xfId="0" applyNumberFormat="1" applyFont="1" applyFill="1" applyBorder="1" applyAlignment="1">
      <alignment horizontal="center"/>
    </xf>
    <xf numFmtId="15" fontId="63" fillId="2" borderId="15" xfId="0" applyNumberFormat="1" applyFont="1" applyFill="1" applyBorder="1" applyAlignment="1" applyProtection="1">
      <alignment horizontal="center"/>
      <protection locked="0"/>
    </xf>
    <xf numFmtId="15" fontId="61" fillId="2" borderId="15" xfId="0" applyNumberFormat="1" applyFont="1" applyFill="1" applyBorder="1" applyAlignment="1"/>
    <xf numFmtId="15" fontId="61" fillId="2" borderId="15" xfId="0" applyNumberFormat="1" applyFont="1" applyFill="1" applyBorder="1" applyAlignment="1" applyProtection="1">
      <alignment horizontal="center"/>
      <protection locked="0"/>
    </xf>
    <xf numFmtId="15" fontId="61" fillId="2" borderId="15" xfId="0" applyNumberFormat="1" applyFont="1" applyFill="1" applyBorder="1" applyAlignment="1">
      <alignment horizontal="center"/>
    </xf>
    <xf numFmtId="0" fontId="61" fillId="0" borderId="0" xfId="0" applyNumberFormat="1" applyFont="1" applyFill="1" applyBorder="1" applyAlignment="1"/>
    <xf numFmtId="0" fontId="61" fillId="2" borderId="0" xfId="0" applyNumberFormat="1" applyFont="1" applyFill="1" applyBorder="1" applyAlignment="1"/>
    <xf numFmtId="15" fontId="61" fillId="2" borderId="0" xfId="0" applyNumberFormat="1" applyFont="1" applyFill="1" applyBorder="1" applyAlignment="1" applyProtection="1">
      <alignment horizontal="center"/>
      <protection locked="0"/>
    </xf>
    <xf numFmtId="15" fontId="61" fillId="2" borderId="0" xfId="0" applyNumberFormat="1" applyFont="1" applyFill="1" applyBorder="1" applyAlignment="1">
      <alignment horizontal="center"/>
    </xf>
    <xf numFmtId="15" fontId="61" fillId="2" borderId="0" xfId="0" applyNumberFormat="1" applyFont="1" applyFill="1" applyAlignment="1" applyProtection="1">
      <alignment horizontal="center"/>
      <protection locked="0"/>
    </xf>
    <xf numFmtId="15" fontId="61" fillId="2" borderId="0" xfId="0" applyNumberFormat="1" applyFont="1" applyFill="1" applyAlignment="1">
      <alignment horizontal="center"/>
    </xf>
    <xf numFmtId="0" fontId="61" fillId="2" borderId="8" xfId="0" applyNumberFormat="1" applyFont="1" applyFill="1" applyBorder="1" applyAlignment="1"/>
    <xf numFmtId="0" fontId="65" fillId="2" borderId="9" xfId="0" applyNumberFormat="1" applyFont="1" applyFill="1" applyBorder="1" applyAlignment="1"/>
    <xf numFmtId="0" fontId="61" fillId="2" borderId="9" xfId="0" applyNumberFormat="1" applyFont="1" applyFill="1" applyBorder="1" applyAlignment="1"/>
    <xf numFmtId="0" fontId="61" fillId="2" borderId="9" xfId="0" applyNumberFormat="1" applyFont="1" applyFill="1" applyBorder="1" applyAlignment="1" applyProtection="1">
      <alignment horizontal="right"/>
      <protection locked="0"/>
    </xf>
    <xf numFmtId="0" fontId="61" fillId="2" borderId="10" xfId="0" applyNumberFormat="1" applyFont="1" applyFill="1" applyBorder="1" applyAlignment="1"/>
    <xf numFmtId="3" fontId="61" fillId="2" borderId="15" xfId="0" applyNumberFormat="1" applyFont="1" applyFill="1" applyBorder="1" applyAlignment="1"/>
    <xf numFmtId="3" fontId="61" fillId="2" borderId="15" xfId="0" applyNumberFormat="1" applyFont="1" applyFill="1" applyBorder="1" applyAlignment="1" applyProtection="1">
      <alignment horizontal="right"/>
      <protection locked="0"/>
    </xf>
    <xf numFmtId="14" fontId="61" fillId="2" borderId="15" xfId="0" applyNumberFormat="1" applyFont="1" applyFill="1" applyBorder="1" applyAlignment="1">
      <alignment horizontal="right"/>
    </xf>
    <xf numFmtId="167" fontId="61" fillId="2" borderId="15" xfId="0" applyNumberFormat="1" applyFont="1" applyFill="1" applyBorder="1" applyAlignment="1">
      <alignment horizontal="right"/>
    </xf>
    <xf numFmtId="3" fontId="61" fillId="0" borderId="0" xfId="0" applyNumberFormat="1" applyFont="1" applyAlignment="1"/>
    <xf numFmtId="3" fontId="61" fillId="2" borderId="0" xfId="0" applyNumberFormat="1" applyFont="1" applyFill="1" applyBorder="1" applyAlignment="1"/>
    <xf numFmtId="4" fontId="61" fillId="2" borderId="0" xfId="0" applyNumberFormat="1" applyFont="1" applyFill="1" applyAlignment="1" applyProtection="1">
      <alignment horizontal="right"/>
      <protection locked="0"/>
    </xf>
    <xf numFmtId="4" fontId="61" fillId="2" borderId="9" xfId="0" applyNumberFormat="1" applyFont="1" applyFill="1" applyBorder="1" applyAlignment="1" applyProtection="1">
      <alignment horizontal="right"/>
      <protection locked="0"/>
    </xf>
    <xf numFmtId="3" fontId="61" fillId="2" borderId="0" xfId="0" applyNumberFormat="1" applyFont="1" applyFill="1" applyBorder="1" applyAlignment="1" applyProtection="1">
      <alignment horizontal="right"/>
      <protection locked="0"/>
    </xf>
    <xf numFmtId="0" fontId="61" fillId="2" borderId="20" xfId="0" applyNumberFormat="1" applyFont="1" applyFill="1" applyBorder="1" applyAlignment="1"/>
    <xf numFmtId="0" fontId="61" fillId="2" borderId="21" xfId="0" applyNumberFormat="1" applyFont="1" applyFill="1" applyBorder="1" applyAlignment="1"/>
    <xf numFmtId="3" fontId="61" fillId="2" borderId="21" xfId="0" applyNumberFormat="1" applyFont="1" applyFill="1" applyBorder="1" applyAlignment="1" applyProtection="1">
      <alignment horizontal="right"/>
      <protection locked="0"/>
    </xf>
    <xf numFmtId="0" fontId="61" fillId="2" borderId="22" xfId="0" applyNumberFormat="1" applyFont="1" applyFill="1" applyBorder="1" applyAlignment="1"/>
    <xf numFmtId="0" fontId="61" fillId="0" borderId="3" xfId="0" applyNumberFormat="1" applyFont="1" applyBorder="1" applyAlignment="1"/>
    <xf numFmtId="4" fontId="61" fillId="2" borderId="15" xfId="0" applyNumberFormat="1" applyFont="1" applyFill="1" applyBorder="1" applyAlignment="1" applyProtection="1">
      <alignment horizontal="right"/>
      <protection locked="0"/>
    </xf>
    <xf numFmtId="2" fontId="61" fillId="2" borderId="15" xfId="0" applyNumberFormat="1" applyFont="1" applyFill="1" applyBorder="1" applyAlignment="1" applyProtection="1">
      <alignment horizontal="right"/>
      <protection locked="0"/>
    </xf>
    <xf numFmtId="15" fontId="63" fillId="2" borderId="15" xfId="0" applyNumberFormat="1" applyFont="1" applyFill="1" applyBorder="1" applyAlignment="1">
      <alignment horizontal="centerContinuous"/>
    </xf>
    <xf numFmtId="17" fontId="61" fillId="2" borderId="15" xfId="0" applyNumberFormat="1" applyFont="1" applyFill="1" applyBorder="1" applyAlignment="1">
      <alignment horizontal="center"/>
    </xf>
    <xf numFmtId="0" fontId="61" fillId="2" borderId="14" xfId="0" applyNumberFormat="1" applyFont="1" applyFill="1" applyBorder="1" applyAlignment="1">
      <alignment horizontal="right"/>
    </xf>
    <xf numFmtId="3" fontId="61" fillId="2" borderId="15" xfId="0" applyNumberFormat="1" applyFont="1" applyFill="1" applyBorder="1" applyAlignment="1">
      <alignment horizontal="center"/>
    </xf>
    <xf numFmtId="3" fontId="61" fillId="2" borderId="15" xfId="0" applyNumberFormat="1" applyFont="1" applyFill="1" applyBorder="1" applyAlignment="1" applyProtection="1">
      <alignment horizontal="center"/>
      <protection locked="0"/>
    </xf>
    <xf numFmtId="0" fontId="61" fillId="2" borderId="15" xfId="0" applyNumberFormat="1" applyFont="1" applyFill="1" applyBorder="1" applyAlignment="1" applyProtection="1">
      <protection locked="0"/>
    </xf>
    <xf numFmtId="3" fontId="63" fillId="2" borderId="16" xfId="0" applyNumberFormat="1" applyFont="1" applyFill="1" applyBorder="1" applyAlignment="1"/>
    <xf numFmtId="0" fontId="61" fillId="2" borderId="14" xfId="0" applyNumberFormat="1" applyFont="1" applyFill="1" applyBorder="1" applyAlignment="1">
      <alignment horizontal="center"/>
    </xf>
    <xf numFmtId="0" fontId="63" fillId="2" borderId="16" xfId="0" applyNumberFormat="1" applyFont="1" applyFill="1" applyBorder="1" applyAlignment="1"/>
    <xf numFmtId="4" fontId="61" fillId="2" borderId="15" xfId="0" applyNumberFormat="1" applyFont="1" applyFill="1" applyBorder="1" applyAlignment="1" applyProtection="1">
      <alignment horizontal="center"/>
      <protection locked="0"/>
    </xf>
    <xf numFmtId="166" fontId="61" fillId="2" borderId="15" xfId="0" applyNumberFormat="1" applyFont="1" applyFill="1" applyBorder="1" applyAlignment="1"/>
    <xf numFmtId="10" fontId="61" fillId="2" borderId="15" xfId="0" applyNumberFormat="1" applyFont="1" applyFill="1" applyBorder="1" applyAlignment="1"/>
    <xf numFmtId="9" fontId="61" fillId="2" borderId="15" xfId="0" applyNumberFormat="1" applyFont="1" applyFill="1" applyBorder="1" applyAlignment="1"/>
    <xf numFmtId="3" fontId="63" fillId="2" borderId="15" xfId="0" applyNumberFormat="1" applyFont="1" applyFill="1" applyBorder="1" applyAlignment="1"/>
    <xf numFmtId="3" fontId="63" fillId="2" borderId="15" xfId="0" applyNumberFormat="1" applyFont="1" applyFill="1" applyBorder="1" applyAlignment="1" applyProtection="1">
      <alignment horizontal="right"/>
      <protection locked="0"/>
    </xf>
    <xf numFmtId="9" fontId="63" fillId="2" borderId="15" xfId="0" applyNumberFormat="1" applyFont="1" applyFill="1" applyBorder="1" applyAlignment="1"/>
    <xf numFmtId="10" fontId="63" fillId="2" borderId="15" xfId="0" applyNumberFormat="1" applyFont="1" applyFill="1" applyBorder="1" applyAlignment="1"/>
    <xf numFmtId="10" fontId="63" fillId="2" borderId="15" xfId="0" applyNumberFormat="1" applyFont="1" applyFill="1" applyBorder="1" applyAlignment="1" applyProtection="1">
      <alignment horizontal="right"/>
      <protection locked="0"/>
    </xf>
    <xf numFmtId="9" fontId="61" fillId="2" borderId="0" xfId="0" applyNumberFormat="1" applyFont="1" applyFill="1" applyAlignment="1"/>
    <xf numFmtId="3" fontId="61" fillId="2" borderId="0" xfId="0" applyNumberFormat="1" applyFont="1" applyFill="1" applyAlignment="1" applyProtection="1">
      <alignment horizontal="right"/>
      <protection locked="0"/>
    </xf>
    <xf numFmtId="0" fontId="63" fillId="2" borderId="0" xfId="0" applyNumberFormat="1" applyFont="1" applyFill="1" applyAlignment="1">
      <alignment horizontal="center"/>
    </xf>
    <xf numFmtId="0" fontId="63" fillId="2" borderId="0" xfId="0" quotePrefix="1" applyNumberFormat="1" applyFont="1" applyFill="1" applyAlignment="1">
      <alignment horizontal="center"/>
    </xf>
    <xf numFmtId="0" fontId="63" fillId="4" borderId="0" xfId="0" applyNumberFormat="1" applyFont="1" applyFill="1" applyAlignment="1"/>
    <xf numFmtId="0" fontId="65" fillId="2" borderId="0" xfId="0" applyNumberFormat="1" applyFont="1" applyFill="1" applyAlignment="1"/>
    <xf numFmtId="0" fontId="49" fillId="5" borderId="1" xfId="0" applyNumberFormat="1" applyFont="1" applyFill="1" applyBorder="1" applyAlignment="1"/>
    <xf numFmtId="0" fontId="49" fillId="5" borderId="0" xfId="0" applyNumberFormat="1" applyFont="1" applyFill="1" applyAlignment="1"/>
    <xf numFmtId="0" fontId="49" fillId="5" borderId="18" xfId="0" applyNumberFormat="1" applyFont="1" applyFill="1" applyBorder="1" applyAlignment="1"/>
    <xf numFmtId="0" fontId="61" fillId="2" borderId="0" xfId="0" applyNumberFormat="1" applyFont="1" applyFill="1" applyBorder="1" applyAlignment="1">
      <alignment horizontal="center" wrapText="1"/>
    </xf>
    <xf numFmtId="0" fontId="49" fillId="5" borderId="0" xfId="0" applyNumberFormat="1" applyFont="1" applyFill="1" applyBorder="1" applyAlignment="1"/>
    <xf numFmtId="0" fontId="50" fillId="5" borderId="0" xfId="0" applyNumberFormat="1" applyFont="1" applyFill="1" applyBorder="1" applyAlignment="1">
      <alignment horizontal="center" wrapText="1"/>
    </xf>
    <xf numFmtId="0" fontId="49" fillId="5" borderId="0" xfId="0" applyNumberFormat="1" applyFont="1" applyFill="1" applyBorder="1" applyAlignment="1">
      <alignment horizontal="center" wrapText="1"/>
    </xf>
    <xf numFmtId="0" fontId="53" fillId="5" borderId="0" xfId="0" applyNumberFormat="1" applyFont="1" applyFill="1" applyAlignment="1"/>
    <xf numFmtId="4" fontId="49" fillId="5" borderId="0" xfId="0" applyNumberFormat="1" applyFont="1" applyFill="1" applyAlignment="1" applyProtection="1">
      <alignment horizontal="right"/>
      <protection locked="0"/>
    </xf>
    <xf numFmtId="0" fontId="50" fillId="5" borderId="0" xfId="0" applyNumberFormat="1" applyFont="1" applyFill="1" applyBorder="1" applyAlignment="1"/>
    <xf numFmtId="0" fontId="50" fillId="5" borderId="0" xfId="0" applyNumberFormat="1" applyFont="1" applyFill="1" applyBorder="1" applyAlignment="1">
      <alignment horizontal="center"/>
    </xf>
    <xf numFmtId="0" fontId="50" fillId="5" borderId="0" xfId="0" applyNumberFormat="1" applyFont="1" applyFill="1" applyBorder="1" applyAlignment="1">
      <alignment horizontal="right"/>
    </xf>
    <xf numFmtId="15" fontId="50" fillId="5" borderId="0" xfId="0" applyNumberFormat="1" applyFont="1" applyFill="1" applyBorder="1" applyAlignment="1">
      <alignment horizontal="right"/>
    </xf>
    <xf numFmtId="0" fontId="49" fillId="5" borderId="5" xfId="0" applyNumberFormat="1" applyFont="1" applyFill="1" applyBorder="1" applyAlignment="1"/>
    <xf numFmtId="0" fontId="50" fillId="5" borderId="2" xfId="0" applyNumberFormat="1" applyFont="1" applyFill="1" applyBorder="1" applyAlignment="1"/>
    <xf numFmtId="0" fontId="49" fillId="5" borderId="2" xfId="0" applyNumberFormat="1" applyFont="1" applyFill="1" applyBorder="1" applyAlignment="1"/>
    <xf numFmtId="4" fontId="49" fillId="5" borderId="2" xfId="0" applyNumberFormat="1" applyFont="1" applyFill="1" applyBorder="1" applyAlignment="1" applyProtection="1">
      <alignment horizontal="right"/>
      <protection locked="0"/>
    </xf>
    <xf numFmtId="0" fontId="49" fillId="5" borderId="17" xfId="0" applyNumberFormat="1" applyFont="1" applyFill="1" applyBorder="1" applyAlignment="1"/>
    <xf numFmtId="15" fontId="50" fillId="5" borderId="2" xfId="0" applyNumberFormat="1" applyFont="1" applyFill="1" applyBorder="1" applyAlignment="1">
      <alignment horizontal="centerContinuous"/>
    </xf>
    <xf numFmtId="15" fontId="50" fillId="5" borderId="2" xfId="0" applyNumberFormat="1" applyFont="1" applyFill="1" applyBorder="1" applyAlignment="1">
      <alignment horizontal="center"/>
    </xf>
    <xf numFmtId="0" fontId="49" fillId="5" borderId="1" xfId="0" applyNumberFormat="1" applyFont="1" applyFill="1" applyBorder="1" applyAlignment="1">
      <alignment horizontal="right"/>
    </xf>
    <xf numFmtId="0" fontId="61" fillId="2" borderId="1" xfId="0" applyNumberFormat="1" applyFont="1" applyFill="1" applyBorder="1" applyAlignment="1">
      <alignment horizontal="right"/>
    </xf>
    <xf numFmtId="0" fontId="61" fillId="2" borderId="0" xfId="0" applyNumberFormat="1" applyFont="1" applyFill="1" applyBorder="1" applyAlignment="1">
      <alignment horizontal="center"/>
    </xf>
    <xf numFmtId="3" fontId="61" fillId="2" borderId="0" xfId="0" applyNumberFormat="1" applyFont="1" applyFill="1" applyBorder="1" applyAlignment="1" applyProtection="1">
      <alignment horizontal="center"/>
      <protection locked="0"/>
    </xf>
    <xf numFmtId="0" fontId="61" fillId="2" borderId="0" xfId="0" applyNumberFormat="1" applyFont="1" applyFill="1" applyBorder="1" applyAlignment="1" applyProtection="1">
      <protection locked="0"/>
    </xf>
    <xf numFmtId="3" fontId="63" fillId="2" borderId="18" xfId="0" applyNumberFormat="1" applyFont="1" applyFill="1" applyBorder="1" applyAlignment="1"/>
    <xf numFmtId="3" fontId="50" fillId="5" borderId="0" xfId="0" applyNumberFormat="1" applyFont="1" applyFill="1" applyBorder="1" applyAlignment="1">
      <alignment horizontal="center"/>
    </xf>
    <xf numFmtId="0" fontId="50" fillId="5" borderId="18" xfId="0" applyNumberFormat="1" applyFont="1" applyFill="1" applyBorder="1" applyAlignment="1"/>
    <xf numFmtId="166" fontId="61" fillId="2" borderId="0" xfId="0" applyNumberFormat="1" applyFont="1" applyFill="1" applyBorder="1" applyAlignment="1"/>
    <xf numFmtId="10" fontId="61" fillId="2" borderId="0" xfId="0" applyNumberFormat="1" applyFont="1" applyFill="1" applyBorder="1" applyAlignment="1"/>
    <xf numFmtId="0" fontId="63" fillId="2" borderId="18" xfId="0" applyNumberFormat="1" applyFont="1" applyFill="1" applyBorder="1" applyAlignment="1"/>
    <xf numFmtId="9" fontId="61" fillId="2" borderId="0" xfId="0" applyNumberFormat="1" applyFont="1" applyFill="1" applyBorder="1" applyAlignment="1"/>
    <xf numFmtId="9" fontId="49" fillId="5" borderId="0" xfId="0" applyNumberFormat="1" applyFont="1" applyFill="1" applyBorder="1" applyAlignment="1"/>
  </cellXfs>
  <cellStyles count="3">
    <cellStyle name="Hyperlink" xfId="1" builtinId="8"/>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4F4F4"/>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9CB31"/>
      <color rgb="FF000099"/>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58</xdr:row>
      <xdr:rowOff>190500</xdr:rowOff>
    </xdr:from>
    <xdr:to>
      <xdr:col>1</xdr:col>
      <xdr:colOff>0</xdr:colOff>
      <xdr:row>59</xdr:row>
      <xdr:rowOff>228600</xdr:rowOff>
    </xdr:to>
    <xdr:pic>
      <xdr:nvPicPr>
        <xdr:cNvPr id="23724" name="Picture 1" descr="C:\WINDOWS\TEMP\Symbol.gif">
          <a:extLst>
            <a:ext uri="{FF2B5EF4-FFF2-40B4-BE49-F238E27FC236}">
              <a16:creationId xmlns="" xmlns:a16="http://schemas.microsoft.com/office/drawing/2014/main" id="{00000000-0008-0000-0000-0000AC5C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131</xdr:row>
      <xdr:rowOff>161925</xdr:rowOff>
    </xdr:from>
    <xdr:to>
      <xdr:col>1</xdr:col>
      <xdr:colOff>28575</xdr:colOff>
      <xdr:row>132</xdr:row>
      <xdr:rowOff>200025</xdr:rowOff>
    </xdr:to>
    <xdr:pic>
      <xdr:nvPicPr>
        <xdr:cNvPr id="23725" name="Picture 2" descr="C:\WINDOWS\TEMP\Symbol.gif">
          <a:extLst>
            <a:ext uri="{FF2B5EF4-FFF2-40B4-BE49-F238E27FC236}">
              <a16:creationId xmlns="" xmlns:a16="http://schemas.microsoft.com/office/drawing/2014/main" id="{00000000-0008-0000-0000-0000AD5C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7173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203</xdr:row>
      <xdr:rowOff>171450</xdr:rowOff>
    </xdr:from>
    <xdr:to>
      <xdr:col>1</xdr:col>
      <xdr:colOff>47625</xdr:colOff>
      <xdr:row>204</xdr:row>
      <xdr:rowOff>209550</xdr:rowOff>
    </xdr:to>
    <xdr:pic>
      <xdr:nvPicPr>
        <xdr:cNvPr id="23726" name="Picture 3" descr="C:\WINDOWS\TEMP\Symbol.gif">
          <a:extLst>
            <a:ext uri="{FF2B5EF4-FFF2-40B4-BE49-F238E27FC236}">
              <a16:creationId xmlns="" xmlns:a16="http://schemas.microsoft.com/office/drawing/2014/main" id="{00000000-0008-0000-0000-0000AE5C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4144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305</xdr:row>
      <xdr:rowOff>161925</xdr:rowOff>
    </xdr:from>
    <xdr:to>
      <xdr:col>1</xdr:col>
      <xdr:colOff>19050</xdr:colOff>
      <xdr:row>306</xdr:row>
      <xdr:rowOff>200025</xdr:rowOff>
    </xdr:to>
    <xdr:pic>
      <xdr:nvPicPr>
        <xdr:cNvPr id="23727" name="Picture 4" descr="C:\WINDOWS\TEMP\Symbol.gif">
          <a:extLst>
            <a:ext uri="{FF2B5EF4-FFF2-40B4-BE49-F238E27FC236}">
              <a16:creationId xmlns="" xmlns:a16="http://schemas.microsoft.com/office/drawing/2014/main" id="{00000000-0008-0000-0000-0000AF5C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305</xdr:row>
      <xdr:rowOff>123825</xdr:rowOff>
    </xdr:from>
    <xdr:to>
      <xdr:col>18</xdr:col>
      <xdr:colOff>1895475</xdr:colOff>
      <xdr:row>306</xdr:row>
      <xdr:rowOff>152400</xdr:rowOff>
    </xdr:to>
    <xdr:pic>
      <xdr:nvPicPr>
        <xdr:cNvPr id="23728" name="Picture 5" descr="C:\WINDOWS\TEMP\~0003946.gif">
          <a:extLst>
            <a:ext uri="{FF2B5EF4-FFF2-40B4-BE49-F238E27FC236}">
              <a16:creationId xmlns="" xmlns:a16="http://schemas.microsoft.com/office/drawing/2014/main" id="{00000000-0008-0000-0000-0000B05C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23729" name="Picture 6" descr="C:\WINDOWS\TEMP\~0003946.gif">
          <a:extLst>
            <a:ext uri="{FF2B5EF4-FFF2-40B4-BE49-F238E27FC236}">
              <a16:creationId xmlns="" xmlns:a16="http://schemas.microsoft.com/office/drawing/2014/main" id="{00000000-0008-0000-0000-0000B15C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395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131</xdr:row>
      <xdr:rowOff>161925</xdr:rowOff>
    </xdr:from>
    <xdr:to>
      <xdr:col>18</xdr:col>
      <xdr:colOff>1952625</xdr:colOff>
      <xdr:row>132</xdr:row>
      <xdr:rowOff>190500</xdr:rowOff>
    </xdr:to>
    <xdr:pic>
      <xdr:nvPicPr>
        <xdr:cNvPr id="23730" name="Picture 7" descr="C:\WINDOWS\TEMP\~0003946.gif">
          <a:extLst>
            <a:ext uri="{FF2B5EF4-FFF2-40B4-BE49-F238E27FC236}">
              <a16:creationId xmlns="" xmlns:a16="http://schemas.microsoft.com/office/drawing/2014/main" id="{00000000-0008-0000-0000-0000B25C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7173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23731" name="Picture 8" descr="C:\WINDOWS\TEMP\~0003946.gif">
          <a:extLst>
            <a:ext uri="{FF2B5EF4-FFF2-40B4-BE49-F238E27FC236}">
              <a16:creationId xmlns="" xmlns:a16="http://schemas.microsoft.com/office/drawing/2014/main" id="{00000000-0008-0000-0000-0000B35C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58</xdr:row>
      <xdr:rowOff>123825</xdr:rowOff>
    </xdr:from>
    <xdr:to>
      <xdr:col>18</xdr:col>
      <xdr:colOff>885825</xdr:colOff>
      <xdr:row>59</xdr:row>
      <xdr:rowOff>152400</xdr:rowOff>
    </xdr:to>
    <xdr:pic>
      <xdr:nvPicPr>
        <xdr:cNvPr id="23732" name="Picture 9" descr="C:\WINDOWS\TEMP\~0003946.gif">
          <a:extLst>
            <a:ext uri="{FF2B5EF4-FFF2-40B4-BE49-F238E27FC236}">
              <a16:creationId xmlns="" xmlns:a16="http://schemas.microsoft.com/office/drawing/2014/main" id="{00000000-0008-0000-0000-0000B45C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131</xdr:row>
      <xdr:rowOff>123825</xdr:rowOff>
    </xdr:from>
    <xdr:to>
      <xdr:col>18</xdr:col>
      <xdr:colOff>895350</xdr:colOff>
      <xdr:row>132</xdr:row>
      <xdr:rowOff>152400</xdr:rowOff>
    </xdr:to>
    <xdr:pic>
      <xdr:nvPicPr>
        <xdr:cNvPr id="23733" name="Picture 10" descr="C:\WINDOWS\TEMP\~0003946.gif">
          <a:extLst>
            <a:ext uri="{FF2B5EF4-FFF2-40B4-BE49-F238E27FC236}">
              <a16:creationId xmlns="" xmlns:a16="http://schemas.microsoft.com/office/drawing/2014/main" id="{00000000-0008-0000-0000-0000B55C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6792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203</xdr:row>
      <xdr:rowOff>104775</xdr:rowOff>
    </xdr:from>
    <xdr:to>
      <xdr:col>18</xdr:col>
      <xdr:colOff>809625</xdr:colOff>
      <xdr:row>204</xdr:row>
      <xdr:rowOff>133350</xdr:rowOff>
    </xdr:to>
    <xdr:pic>
      <xdr:nvPicPr>
        <xdr:cNvPr id="23734" name="Picture 11" descr="C:\WINDOWS\TEMP\~0003946.gif">
          <a:extLst>
            <a:ext uri="{FF2B5EF4-FFF2-40B4-BE49-F238E27FC236}">
              <a16:creationId xmlns="" xmlns:a16="http://schemas.microsoft.com/office/drawing/2014/main" id="{00000000-0008-0000-0000-0000B65C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3477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305</xdr:row>
      <xdr:rowOff>104775</xdr:rowOff>
    </xdr:from>
    <xdr:to>
      <xdr:col>18</xdr:col>
      <xdr:colOff>895350</xdr:colOff>
      <xdr:row>306</xdr:row>
      <xdr:rowOff>133350</xdr:rowOff>
    </xdr:to>
    <xdr:pic>
      <xdr:nvPicPr>
        <xdr:cNvPr id="23735" name="Picture 12" descr="C:\WINDOWS\TEMP\~0003946.gif">
          <a:extLst>
            <a:ext uri="{FF2B5EF4-FFF2-40B4-BE49-F238E27FC236}">
              <a16:creationId xmlns="" xmlns:a16="http://schemas.microsoft.com/office/drawing/2014/main" id="{00000000-0008-0000-0000-0000B75C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58</xdr:row>
      <xdr:rowOff>190500</xdr:rowOff>
    </xdr:from>
    <xdr:to>
      <xdr:col>1</xdr:col>
      <xdr:colOff>0</xdr:colOff>
      <xdr:row>59</xdr:row>
      <xdr:rowOff>228600</xdr:rowOff>
    </xdr:to>
    <xdr:pic>
      <xdr:nvPicPr>
        <xdr:cNvPr id="2" name="Picture 1" descr="C:\WINDOWS\TEMP\Symbol.gif">
          <a:extLst>
            <a:ext uri="{FF2B5EF4-FFF2-40B4-BE49-F238E27FC236}">
              <a16:creationId xmlns="" xmlns:a16="http://schemas.microsoft.com/office/drawing/2014/main" id="{7A6B0B28-559D-47C6-936B-C5839F9A6B06}"/>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18967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130</xdr:row>
      <xdr:rowOff>161925</xdr:rowOff>
    </xdr:from>
    <xdr:to>
      <xdr:col>1</xdr:col>
      <xdr:colOff>28575</xdr:colOff>
      <xdr:row>131</xdr:row>
      <xdr:rowOff>200025</xdr:rowOff>
    </xdr:to>
    <xdr:pic>
      <xdr:nvPicPr>
        <xdr:cNvPr id="3" name="Picture 2" descr="C:\WINDOWS\TEMP\Symbol.gif">
          <a:extLst>
            <a:ext uri="{FF2B5EF4-FFF2-40B4-BE49-F238E27FC236}">
              <a16:creationId xmlns="" xmlns:a16="http://schemas.microsoft.com/office/drawing/2014/main" id="{402FEB2E-EB8C-425A-BDCD-C949E746EEA4}"/>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67176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203</xdr:row>
      <xdr:rowOff>171450</xdr:rowOff>
    </xdr:from>
    <xdr:to>
      <xdr:col>1</xdr:col>
      <xdr:colOff>47625</xdr:colOff>
      <xdr:row>204</xdr:row>
      <xdr:rowOff>209550</xdr:rowOff>
    </xdr:to>
    <xdr:pic>
      <xdr:nvPicPr>
        <xdr:cNvPr id="4" name="Picture 3" descr="C:\WINDOWS\TEMP\Symbol.gif">
          <a:extLst>
            <a:ext uri="{FF2B5EF4-FFF2-40B4-BE49-F238E27FC236}">
              <a16:creationId xmlns="" xmlns:a16="http://schemas.microsoft.com/office/drawing/2014/main" id="{5752EA35-C1C2-4015-B371-0D29B798A8DD}"/>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414147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304</xdr:row>
      <xdr:rowOff>161925</xdr:rowOff>
    </xdr:from>
    <xdr:to>
      <xdr:col>1</xdr:col>
      <xdr:colOff>19050</xdr:colOff>
      <xdr:row>305</xdr:row>
      <xdr:rowOff>200025</xdr:rowOff>
    </xdr:to>
    <xdr:pic>
      <xdr:nvPicPr>
        <xdr:cNvPr id="5" name="Picture 4" descr="C:\WINDOWS\TEMP\Symbol.gif">
          <a:extLst>
            <a:ext uri="{FF2B5EF4-FFF2-40B4-BE49-F238E27FC236}">
              <a16:creationId xmlns="" xmlns:a16="http://schemas.microsoft.com/office/drawing/2014/main" id="{73DD6DAE-EB9D-4879-93CC-4CD8F6E95CD9}"/>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17315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304</xdr:row>
      <xdr:rowOff>123825</xdr:rowOff>
    </xdr:from>
    <xdr:to>
      <xdr:col>18</xdr:col>
      <xdr:colOff>1895475</xdr:colOff>
      <xdr:row>305</xdr:row>
      <xdr:rowOff>152400</xdr:rowOff>
    </xdr:to>
    <xdr:pic>
      <xdr:nvPicPr>
        <xdr:cNvPr id="6" name="Picture 5" descr="C:\WINDOWS\TEMP\~0003946.gif">
          <a:extLst>
            <a:ext uri="{FF2B5EF4-FFF2-40B4-BE49-F238E27FC236}">
              <a16:creationId xmlns="" xmlns:a16="http://schemas.microsoft.com/office/drawing/2014/main" id="{D3AAFCF0-8C03-4612-9B57-53004B728738}"/>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1693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7" name="Picture 6" descr="C:\WINDOWS\TEMP\~0003946.gif">
          <a:extLst>
            <a:ext uri="{FF2B5EF4-FFF2-40B4-BE49-F238E27FC236}">
              <a16:creationId xmlns="" xmlns:a16="http://schemas.microsoft.com/office/drawing/2014/main" id="{C652475C-0A33-4388-B4EF-18362FFDD89A}"/>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413956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8" name="Picture 7" descr="C:\WINDOWS\TEMP\~0003946.gif">
          <a:extLst>
            <a:ext uri="{FF2B5EF4-FFF2-40B4-BE49-F238E27FC236}">
              <a16:creationId xmlns="" xmlns:a16="http://schemas.microsoft.com/office/drawing/2014/main" id="{A3DE0D6E-7F6B-477C-8F9D-F0A5365EAA0A}"/>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67176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9" name="Picture 8" descr="C:\WINDOWS\TEMP\~0003946.gif">
          <a:extLst>
            <a:ext uri="{FF2B5EF4-FFF2-40B4-BE49-F238E27FC236}">
              <a16:creationId xmlns="" xmlns:a16="http://schemas.microsoft.com/office/drawing/2014/main" id="{46470F9C-22FB-42FC-9CC2-C027980A43F1}"/>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1868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58</xdr:row>
      <xdr:rowOff>123825</xdr:rowOff>
    </xdr:from>
    <xdr:to>
      <xdr:col>18</xdr:col>
      <xdr:colOff>885825</xdr:colOff>
      <xdr:row>59</xdr:row>
      <xdr:rowOff>152400</xdr:rowOff>
    </xdr:to>
    <xdr:pic>
      <xdr:nvPicPr>
        <xdr:cNvPr id="10" name="Picture 9" descr="C:\WINDOWS\TEMP\~0003946.gif">
          <a:extLst>
            <a:ext uri="{FF2B5EF4-FFF2-40B4-BE49-F238E27FC236}">
              <a16:creationId xmlns="" xmlns:a16="http://schemas.microsoft.com/office/drawing/2014/main" id="{4BB20961-ABBD-4428-AB01-DD6B6E562F61}"/>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1830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130</xdr:row>
      <xdr:rowOff>123825</xdr:rowOff>
    </xdr:from>
    <xdr:to>
      <xdr:col>18</xdr:col>
      <xdr:colOff>895350</xdr:colOff>
      <xdr:row>131</xdr:row>
      <xdr:rowOff>152400</xdr:rowOff>
    </xdr:to>
    <xdr:pic>
      <xdr:nvPicPr>
        <xdr:cNvPr id="11" name="Picture 10" descr="C:\WINDOWS\TEMP\~0003946.gif">
          <a:extLst>
            <a:ext uri="{FF2B5EF4-FFF2-40B4-BE49-F238E27FC236}">
              <a16:creationId xmlns="" xmlns:a16="http://schemas.microsoft.com/office/drawing/2014/main" id="{E507E0C7-C802-4EA8-8F95-BE13179BB1E7}"/>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66795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203</xdr:row>
      <xdr:rowOff>104775</xdr:rowOff>
    </xdr:from>
    <xdr:to>
      <xdr:col>18</xdr:col>
      <xdr:colOff>809625</xdr:colOff>
      <xdr:row>204</xdr:row>
      <xdr:rowOff>133350</xdr:rowOff>
    </xdr:to>
    <xdr:pic>
      <xdr:nvPicPr>
        <xdr:cNvPr id="12" name="Picture 11" descr="C:\WINDOWS\TEMP\~0003946.gif">
          <a:extLst>
            <a:ext uri="{FF2B5EF4-FFF2-40B4-BE49-F238E27FC236}">
              <a16:creationId xmlns="" xmlns:a16="http://schemas.microsoft.com/office/drawing/2014/main" id="{05B04549-DD17-4002-955A-85837115562D}"/>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413480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304</xdr:row>
      <xdr:rowOff>104775</xdr:rowOff>
    </xdr:from>
    <xdr:to>
      <xdr:col>18</xdr:col>
      <xdr:colOff>895350</xdr:colOff>
      <xdr:row>305</xdr:row>
      <xdr:rowOff>133350</xdr:rowOff>
    </xdr:to>
    <xdr:pic>
      <xdr:nvPicPr>
        <xdr:cNvPr id="13" name="Picture 12" descr="C:\WINDOWS\TEMP\~0003946.gif">
          <a:extLst>
            <a:ext uri="{FF2B5EF4-FFF2-40B4-BE49-F238E27FC236}">
              <a16:creationId xmlns="" xmlns:a16="http://schemas.microsoft.com/office/drawing/2014/main" id="{0E6BD88F-2E1D-457A-B3BA-8D2AAF3B9733}"/>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16743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18</xdr:col>
      <xdr:colOff>1095375</xdr:colOff>
      <xdr:row>304</xdr:row>
      <xdr:rowOff>123825</xdr:rowOff>
    </xdr:from>
    <xdr:to>
      <xdr:col>18</xdr:col>
      <xdr:colOff>1895475</xdr:colOff>
      <xdr:row>305</xdr:row>
      <xdr:rowOff>152400</xdr:rowOff>
    </xdr:to>
    <xdr:pic>
      <xdr:nvPicPr>
        <xdr:cNvPr id="6" name="Picture 5" descr="C:\WINDOWS\TEMP\~0003946.gif">
          <a:extLst>
            <a:ext uri="{FF2B5EF4-FFF2-40B4-BE49-F238E27FC236}">
              <a16:creationId xmlns="" xmlns:a16="http://schemas.microsoft.com/office/drawing/2014/main" id="{D8323E12-6BF3-48E2-A445-FD77A9C97BA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61693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7" name="Picture 6" descr="C:\WINDOWS\TEMP\~0003946.gif">
          <a:extLst>
            <a:ext uri="{FF2B5EF4-FFF2-40B4-BE49-F238E27FC236}">
              <a16:creationId xmlns="" xmlns:a16="http://schemas.microsoft.com/office/drawing/2014/main" id="{55428B2D-5CB5-4F53-84FF-6DA0591335DB}"/>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413956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8" name="Picture 7" descr="C:\WINDOWS\TEMP\~0003946.gif">
          <a:extLst>
            <a:ext uri="{FF2B5EF4-FFF2-40B4-BE49-F238E27FC236}">
              <a16:creationId xmlns="" xmlns:a16="http://schemas.microsoft.com/office/drawing/2014/main" id="{60224CE9-B8BF-475C-9FDE-B23960418FEB}"/>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67176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9" name="Picture 8" descr="C:\WINDOWS\TEMP\~0003946.gif">
          <a:extLst>
            <a:ext uri="{FF2B5EF4-FFF2-40B4-BE49-F238E27FC236}">
              <a16:creationId xmlns="" xmlns:a16="http://schemas.microsoft.com/office/drawing/2014/main" id="{B4CBFE0E-A7DB-4A72-BE75-A6E473DBC71E}"/>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1868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304</xdr:row>
      <xdr:rowOff>54429</xdr:rowOff>
    </xdr:from>
    <xdr:to>
      <xdr:col>18</xdr:col>
      <xdr:colOff>883997</xdr:colOff>
      <xdr:row>305</xdr:row>
      <xdr:rowOff>149052</xdr:rowOff>
    </xdr:to>
    <xdr:pic>
      <xdr:nvPicPr>
        <xdr:cNvPr id="14" name="Picture 13">
          <a:extLst>
            <a:ext uri="{FF2B5EF4-FFF2-40B4-BE49-F238E27FC236}">
              <a16:creationId xmlns="" xmlns:a16="http://schemas.microsoft.com/office/drawing/2014/main" id="{0C7A876D-22CD-4354-BCA0-32E908A86467}"/>
            </a:ext>
          </a:extLst>
        </xdr:cNvPr>
        <xdr:cNvPicPr>
          <a:picLocks noChangeAspect="1"/>
        </xdr:cNvPicPr>
      </xdr:nvPicPr>
      <xdr:blipFill>
        <a:blip xmlns:r="http://schemas.openxmlformats.org/officeDocument/2006/relationships" r:embed="rId3"/>
        <a:stretch>
          <a:fillRect/>
        </a:stretch>
      </xdr:blipFill>
      <xdr:spPr>
        <a:xfrm>
          <a:off x="20029714" y="62810572"/>
          <a:ext cx="883997" cy="298730"/>
        </a:xfrm>
        <a:prstGeom prst="rect">
          <a:avLst/>
        </a:prstGeom>
      </xdr:spPr>
    </xdr:pic>
    <xdr:clientData/>
  </xdr:twoCellAnchor>
  <xdr:twoCellAnchor editAs="oneCell">
    <xdr:from>
      <xdr:col>18</xdr:col>
      <xdr:colOff>40822</xdr:colOff>
      <xdr:row>203</xdr:row>
      <xdr:rowOff>68035</xdr:rowOff>
    </xdr:from>
    <xdr:to>
      <xdr:col>18</xdr:col>
      <xdr:colOff>924819</xdr:colOff>
      <xdr:row>204</xdr:row>
      <xdr:rowOff>162658</xdr:rowOff>
    </xdr:to>
    <xdr:pic>
      <xdr:nvPicPr>
        <xdr:cNvPr id="16" name="Picture 15">
          <a:extLst>
            <a:ext uri="{FF2B5EF4-FFF2-40B4-BE49-F238E27FC236}">
              <a16:creationId xmlns="" xmlns:a16="http://schemas.microsoft.com/office/drawing/2014/main" id="{49544DB5-0783-4069-84A3-47F59D8E9D64}"/>
            </a:ext>
          </a:extLst>
        </xdr:cNvPr>
        <xdr:cNvPicPr>
          <a:picLocks noChangeAspect="1"/>
        </xdr:cNvPicPr>
      </xdr:nvPicPr>
      <xdr:blipFill>
        <a:blip xmlns:r="http://schemas.openxmlformats.org/officeDocument/2006/relationships" r:embed="rId3"/>
        <a:stretch>
          <a:fillRect/>
        </a:stretch>
      </xdr:blipFill>
      <xdr:spPr>
        <a:xfrm>
          <a:off x="20070536" y="42086892"/>
          <a:ext cx="883997" cy="298730"/>
        </a:xfrm>
        <a:prstGeom prst="rect">
          <a:avLst/>
        </a:prstGeom>
      </xdr:spPr>
    </xdr:pic>
    <xdr:clientData/>
  </xdr:twoCellAnchor>
  <xdr:twoCellAnchor editAs="oneCell">
    <xdr:from>
      <xdr:col>18</xdr:col>
      <xdr:colOff>0</xdr:colOff>
      <xdr:row>130</xdr:row>
      <xdr:rowOff>0</xdr:rowOff>
    </xdr:from>
    <xdr:to>
      <xdr:col>18</xdr:col>
      <xdr:colOff>883997</xdr:colOff>
      <xdr:row>131</xdr:row>
      <xdr:rowOff>94623</xdr:rowOff>
    </xdr:to>
    <xdr:pic>
      <xdr:nvPicPr>
        <xdr:cNvPr id="17" name="Picture 16">
          <a:extLst>
            <a:ext uri="{FF2B5EF4-FFF2-40B4-BE49-F238E27FC236}">
              <a16:creationId xmlns="" xmlns:a16="http://schemas.microsoft.com/office/drawing/2014/main" id="{0BFDA8FA-F18F-465D-8EB3-5A68075EC95E}"/>
            </a:ext>
          </a:extLst>
        </xdr:cNvPr>
        <xdr:cNvPicPr>
          <a:picLocks noChangeAspect="1"/>
        </xdr:cNvPicPr>
      </xdr:nvPicPr>
      <xdr:blipFill>
        <a:blip xmlns:r="http://schemas.openxmlformats.org/officeDocument/2006/relationships" r:embed="rId3"/>
        <a:stretch>
          <a:fillRect/>
        </a:stretch>
      </xdr:blipFill>
      <xdr:spPr>
        <a:xfrm>
          <a:off x="20029714" y="27078214"/>
          <a:ext cx="883997" cy="298730"/>
        </a:xfrm>
        <a:prstGeom prst="rect">
          <a:avLst/>
        </a:prstGeom>
      </xdr:spPr>
    </xdr:pic>
    <xdr:clientData/>
  </xdr:twoCellAnchor>
  <xdr:twoCellAnchor editAs="oneCell">
    <xdr:from>
      <xdr:col>18</xdr:col>
      <xdr:colOff>27214</xdr:colOff>
      <xdr:row>58</xdr:row>
      <xdr:rowOff>54429</xdr:rowOff>
    </xdr:from>
    <xdr:to>
      <xdr:col>18</xdr:col>
      <xdr:colOff>911211</xdr:colOff>
      <xdr:row>59</xdr:row>
      <xdr:rowOff>149051</xdr:rowOff>
    </xdr:to>
    <xdr:pic>
      <xdr:nvPicPr>
        <xdr:cNvPr id="18" name="Picture 17">
          <a:extLst>
            <a:ext uri="{FF2B5EF4-FFF2-40B4-BE49-F238E27FC236}">
              <a16:creationId xmlns="" xmlns:a16="http://schemas.microsoft.com/office/drawing/2014/main" id="{4597B2EE-80DC-4948-BC1B-131F9039F393}"/>
            </a:ext>
          </a:extLst>
        </xdr:cNvPr>
        <xdr:cNvPicPr>
          <a:picLocks noChangeAspect="1"/>
        </xdr:cNvPicPr>
      </xdr:nvPicPr>
      <xdr:blipFill>
        <a:blip xmlns:r="http://schemas.openxmlformats.org/officeDocument/2006/relationships" r:embed="rId3"/>
        <a:stretch>
          <a:fillRect/>
        </a:stretch>
      </xdr:blipFill>
      <xdr:spPr>
        <a:xfrm>
          <a:off x="20056928" y="12001500"/>
          <a:ext cx="883997" cy="298730"/>
        </a:xfrm>
        <a:prstGeom prst="rect">
          <a:avLst/>
        </a:prstGeom>
      </xdr:spPr>
    </xdr:pic>
    <xdr:clientData/>
  </xdr:twoCellAnchor>
  <xdr:twoCellAnchor editAs="oneCell">
    <xdr:from>
      <xdr:col>0</xdr:col>
      <xdr:colOff>190500</xdr:colOff>
      <xdr:row>58</xdr:row>
      <xdr:rowOff>68037</xdr:rowOff>
    </xdr:from>
    <xdr:to>
      <xdr:col>1</xdr:col>
      <xdr:colOff>21024</xdr:colOff>
      <xdr:row>59</xdr:row>
      <xdr:rowOff>89501</xdr:rowOff>
    </xdr:to>
    <xdr:pic>
      <xdr:nvPicPr>
        <xdr:cNvPr id="19" name="Picture 18">
          <a:extLst>
            <a:ext uri="{FF2B5EF4-FFF2-40B4-BE49-F238E27FC236}">
              <a16:creationId xmlns="" xmlns:a16="http://schemas.microsoft.com/office/drawing/2014/main" id="{A0AF51F6-8CE2-4B35-944A-D80E1F69C30A}"/>
            </a:ext>
          </a:extLst>
        </xdr:cNvPr>
        <xdr:cNvPicPr>
          <a:picLocks noChangeAspect="1"/>
        </xdr:cNvPicPr>
      </xdr:nvPicPr>
      <xdr:blipFill>
        <a:blip xmlns:r="http://schemas.openxmlformats.org/officeDocument/2006/relationships" r:embed="rId4"/>
        <a:stretch>
          <a:fillRect/>
        </a:stretch>
      </xdr:blipFill>
      <xdr:spPr>
        <a:xfrm>
          <a:off x="190500" y="12015108"/>
          <a:ext cx="170703" cy="225572"/>
        </a:xfrm>
        <a:prstGeom prst="rect">
          <a:avLst/>
        </a:prstGeom>
      </xdr:spPr>
    </xdr:pic>
    <xdr:clientData/>
  </xdr:twoCellAnchor>
  <xdr:twoCellAnchor editAs="oneCell">
    <xdr:from>
      <xdr:col>0</xdr:col>
      <xdr:colOff>163286</xdr:colOff>
      <xdr:row>130</xdr:row>
      <xdr:rowOff>81643</xdr:rowOff>
    </xdr:from>
    <xdr:to>
      <xdr:col>0</xdr:col>
      <xdr:colOff>333989</xdr:colOff>
      <xdr:row>131</xdr:row>
      <xdr:rowOff>103108</xdr:rowOff>
    </xdr:to>
    <xdr:pic>
      <xdr:nvPicPr>
        <xdr:cNvPr id="20" name="Picture 19">
          <a:extLst>
            <a:ext uri="{FF2B5EF4-FFF2-40B4-BE49-F238E27FC236}">
              <a16:creationId xmlns="" xmlns:a16="http://schemas.microsoft.com/office/drawing/2014/main" id="{2818F6A5-99FD-4008-A352-FC83BECE8460}"/>
            </a:ext>
          </a:extLst>
        </xdr:cNvPr>
        <xdr:cNvPicPr>
          <a:picLocks noChangeAspect="1"/>
        </xdr:cNvPicPr>
      </xdr:nvPicPr>
      <xdr:blipFill>
        <a:blip xmlns:r="http://schemas.openxmlformats.org/officeDocument/2006/relationships" r:embed="rId4"/>
        <a:stretch>
          <a:fillRect/>
        </a:stretch>
      </xdr:blipFill>
      <xdr:spPr>
        <a:xfrm>
          <a:off x="163286" y="27159857"/>
          <a:ext cx="170703" cy="225572"/>
        </a:xfrm>
        <a:prstGeom prst="rect">
          <a:avLst/>
        </a:prstGeom>
      </xdr:spPr>
    </xdr:pic>
    <xdr:clientData/>
  </xdr:twoCellAnchor>
  <xdr:twoCellAnchor editAs="oneCell">
    <xdr:from>
      <xdr:col>0</xdr:col>
      <xdr:colOff>190500</xdr:colOff>
      <xdr:row>203</xdr:row>
      <xdr:rowOff>108857</xdr:rowOff>
    </xdr:from>
    <xdr:to>
      <xdr:col>1</xdr:col>
      <xdr:colOff>21024</xdr:colOff>
      <xdr:row>204</xdr:row>
      <xdr:rowOff>130322</xdr:rowOff>
    </xdr:to>
    <xdr:pic>
      <xdr:nvPicPr>
        <xdr:cNvPr id="21" name="Picture 20">
          <a:extLst>
            <a:ext uri="{FF2B5EF4-FFF2-40B4-BE49-F238E27FC236}">
              <a16:creationId xmlns="" xmlns:a16="http://schemas.microsoft.com/office/drawing/2014/main" id="{3787CA60-7293-4C06-AF67-5BC2C30C5FFD}"/>
            </a:ext>
          </a:extLst>
        </xdr:cNvPr>
        <xdr:cNvPicPr>
          <a:picLocks noChangeAspect="1"/>
        </xdr:cNvPicPr>
      </xdr:nvPicPr>
      <xdr:blipFill>
        <a:blip xmlns:r="http://schemas.openxmlformats.org/officeDocument/2006/relationships" r:embed="rId4"/>
        <a:stretch>
          <a:fillRect/>
        </a:stretch>
      </xdr:blipFill>
      <xdr:spPr>
        <a:xfrm>
          <a:off x="190500" y="42127714"/>
          <a:ext cx="170703" cy="225572"/>
        </a:xfrm>
        <a:prstGeom prst="rect">
          <a:avLst/>
        </a:prstGeom>
      </xdr:spPr>
    </xdr:pic>
    <xdr:clientData/>
  </xdr:twoCellAnchor>
  <xdr:twoCellAnchor editAs="oneCell">
    <xdr:from>
      <xdr:col>0</xdr:col>
      <xdr:colOff>190500</xdr:colOff>
      <xdr:row>304</xdr:row>
      <xdr:rowOff>122464</xdr:rowOff>
    </xdr:from>
    <xdr:to>
      <xdr:col>1</xdr:col>
      <xdr:colOff>21024</xdr:colOff>
      <xdr:row>305</xdr:row>
      <xdr:rowOff>143929</xdr:rowOff>
    </xdr:to>
    <xdr:pic>
      <xdr:nvPicPr>
        <xdr:cNvPr id="22" name="Picture 21">
          <a:extLst>
            <a:ext uri="{FF2B5EF4-FFF2-40B4-BE49-F238E27FC236}">
              <a16:creationId xmlns="" xmlns:a16="http://schemas.microsoft.com/office/drawing/2014/main" id="{4693450A-2052-4FD7-8CA9-CBF3529C725C}"/>
            </a:ext>
          </a:extLst>
        </xdr:cNvPr>
        <xdr:cNvPicPr>
          <a:picLocks noChangeAspect="1"/>
        </xdr:cNvPicPr>
      </xdr:nvPicPr>
      <xdr:blipFill>
        <a:blip xmlns:r="http://schemas.openxmlformats.org/officeDocument/2006/relationships" r:embed="rId4"/>
        <a:stretch>
          <a:fillRect/>
        </a:stretch>
      </xdr:blipFill>
      <xdr:spPr>
        <a:xfrm>
          <a:off x="190500" y="62878607"/>
          <a:ext cx="170703" cy="22557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1095375</xdr:colOff>
      <xdr:row>304</xdr:row>
      <xdr:rowOff>123825</xdr:rowOff>
    </xdr:from>
    <xdr:to>
      <xdr:col>18</xdr:col>
      <xdr:colOff>1895475</xdr:colOff>
      <xdr:row>305</xdr:row>
      <xdr:rowOff>152400</xdr:rowOff>
    </xdr:to>
    <xdr:pic>
      <xdr:nvPicPr>
        <xdr:cNvPr id="2" name="Picture 1" descr="C:\WINDOWS\TEMP\~0003946.gif">
          <a:extLst>
            <a:ext uri="{FF2B5EF4-FFF2-40B4-BE49-F238E27FC236}">
              <a16:creationId xmlns="" xmlns:a16="http://schemas.microsoft.com/office/drawing/2014/main" id="{72774AD7-502C-405B-B3CE-F444835542B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61702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3" name="Picture 2" descr="C:\WINDOWS\TEMP\~0003946.gif">
          <a:extLst>
            <a:ext uri="{FF2B5EF4-FFF2-40B4-BE49-F238E27FC236}">
              <a16:creationId xmlns="" xmlns:a16="http://schemas.microsoft.com/office/drawing/2014/main" id="{FD05A8AB-7D08-46EE-A527-CF710ACF5FE4}"/>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414051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4" name="Picture 3" descr="C:\WINDOWS\TEMP\~0003946.gif">
          <a:extLst>
            <a:ext uri="{FF2B5EF4-FFF2-40B4-BE49-F238E27FC236}">
              <a16:creationId xmlns="" xmlns:a16="http://schemas.microsoft.com/office/drawing/2014/main" id="{75BC61D7-DFD2-4E6B-BED7-B2B500739EC5}"/>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6727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5" name="Picture 4" descr="C:\WINDOWS\TEMP\~0003946.gif">
          <a:extLst>
            <a:ext uri="{FF2B5EF4-FFF2-40B4-BE49-F238E27FC236}">
              <a16:creationId xmlns="" xmlns:a16="http://schemas.microsoft.com/office/drawing/2014/main" id="{E515BFE6-67D0-4F67-82D2-D81AC3E63428}"/>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18776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304</xdr:row>
      <xdr:rowOff>54429</xdr:rowOff>
    </xdr:from>
    <xdr:to>
      <xdr:col>18</xdr:col>
      <xdr:colOff>883997</xdr:colOff>
      <xdr:row>305</xdr:row>
      <xdr:rowOff>149052</xdr:rowOff>
    </xdr:to>
    <xdr:pic>
      <xdr:nvPicPr>
        <xdr:cNvPr id="6" name="Picture 5">
          <a:extLst>
            <a:ext uri="{FF2B5EF4-FFF2-40B4-BE49-F238E27FC236}">
              <a16:creationId xmlns="" xmlns:a16="http://schemas.microsoft.com/office/drawing/2014/main" id="{C22597F1-12C7-4FAF-9E6D-D1DC6BBEE8AF}"/>
            </a:ext>
          </a:extLst>
        </xdr:cNvPr>
        <xdr:cNvPicPr>
          <a:picLocks noChangeAspect="1"/>
        </xdr:cNvPicPr>
      </xdr:nvPicPr>
      <xdr:blipFill>
        <a:blip xmlns:r="http://schemas.openxmlformats.org/officeDocument/2006/relationships" r:embed="rId3"/>
        <a:stretch>
          <a:fillRect/>
        </a:stretch>
      </xdr:blipFill>
      <xdr:spPr>
        <a:xfrm>
          <a:off x="20021550" y="61633554"/>
          <a:ext cx="883997" cy="294648"/>
        </a:xfrm>
        <a:prstGeom prst="rect">
          <a:avLst/>
        </a:prstGeom>
      </xdr:spPr>
    </xdr:pic>
    <xdr:clientData/>
  </xdr:twoCellAnchor>
  <xdr:twoCellAnchor editAs="oneCell">
    <xdr:from>
      <xdr:col>18</xdr:col>
      <xdr:colOff>40822</xdr:colOff>
      <xdr:row>203</xdr:row>
      <xdr:rowOff>68035</xdr:rowOff>
    </xdr:from>
    <xdr:to>
      <xdr:col>18</xdr:col>
      <xdr:colOff>924819</xdr:colOff>
      <xdr:row>204</xdr:row>
      <xdr:rowOff>162658</xdr:rowOff>
    </xdr:to>
    <xdr:pic>
      <xdr:nvPicPr>
        <xdr:cNvPr id="7" name="Picture 6">
          <a:extLst>
            <a:ext uri="{FF2B5EF4-FFF2-40B4-BE49-F238E27FC236}">
              <a16:creationId xmlns="" xmlns:a16="http://schemas.microsoft.com/office/drawing/2014/main" id="{23C23127-EEBC-49E7-89E2-F17F1CFC9F7D}"/>
            </a:ext>
          </a:extLst>
        </xdr:cNvPr>
        <xdr:cNvPicPr>
          <a:picLocks noChangeAspect="1"/>
        </xdr:cNvPicPr>
      </xdr:nvPicPr>
      <xdr:blipFill>
        <a:blip xmlns:r="http://schemas.openxmlformats.org/officeDocument/2006/relationships" r:embed="rId3"/>
        <a:stretch>
          <a:fillRect/>
        </a:stretch>
      </xdr:blipFill>
      <xdr:spPr>
        <a:xfrm>
          <a:off x="20062372" y="41320810"/>
          <a:ext cx="883997" cy="294648"/>
        </a:xfrm>
        <a:prstGeom prst="rect">
          <a:avLst/>
        </a:prstGeom>
      </xdr:spPr>
    </xdr:pic>
    <xdr:clientData/>
  </xdr:twoCellAnchor>
  <xdr:twoCellAnchor editAs="oneCell">
    <xdr:from>
      <xdr:col>18</xdr:col>
      <xdr:colOff>0</xdr:colOff>
      <xdr:row>130</xdr:row>
      <xdr:rowOff>0</xdr:rowOff>
    </xdr:from>
    <xdr:to>
      <xdr:col>18</xdr:col>
      <xdr:colOff>883997</xdr:colOff>
      <xdr:row>131</xdr:row>
      <xdr:rowOff>94623</xdr:rowOff>
    </xdr:to>
    <xdr:pic>
      <xdr:nvPicPr>
        <xdr:cNvPr id="8" name="Picture 7">
          <a:extLst>
            <a:ext uri="{FF2B5EF4-FFF2-40B4-BE49-F238E27FC236}">
              <a16:creationId xmlns="" xmlns:a16="http://schemas.microsoft.com/office/drawing/2014/main" id="{886A4EF6-34AF-45BB-BD89-10AAF08D7E9E}"/>
            </a:ext>
          </a:extLst>
        </xdr:cNvPr>
        <xdr:cNvPicPr>
          <a:picLocks noChangeAspect="1"/>
        </xdr:cNvPicPr>
      </xdr:nvPicPr>
      <xdr:blipFill>
        <a:blip xmlns:r="http://schemas.openxmlformats.org/officeDocument/2006/relationships" r:embed="rId3"/>
        <a:stretch>
          <a:fillRect/>
        </a:stretch>
      </xdr:blipFill>
      <xdr:spPr>
        <a:xfrm>
          <a:off x="20021550" y="26565225"/>
          <a:ext cx="883997" cy="294648"/>
        </a:xfrm>
        <a:prstGeom prst="rect">
          <a:avLst/>
        </a:prstGeom>
      </xdr:spPr>
    </xdr:pic>
    <xdr:clientData/>
  </xdr:twoCellAnchor>
  <xdr:twoCellAnchor editAs="oneCell">
    <xdr:from>
      <xdr:col>18</xdr:col>
      <xdr:colOff>27214</xdr:colOff>
      <xdr:row>58</xdr:row>
      <xdr:rowOff>54429</xdr:rowOff>
    </xdr:from>
    <xdr:to>
      <xdr:col>18</xdr:col>
      <xdr:colOff>911211</xdr:colOff>
      <xdr:row>59</xdr:row>
      <xdr:rowOff>149051</xdr:rowOff>
    </xdr:to>
    <xdr:pic>
      <xdr:nvPicPr>
        <xdr:cNvPr id="9" name="Picture 8">
          <a:extLst>
            <a:ext uri="{FF2B5EF4-FFF2-40B4-BE49-F238E27FC236}">
              <a16:creationId xmlns="" xmlns:a16="http://schemas.microsoft.com/office/drawing/2014/main" id="{44CFED59-EA70-48E2-827F-C45036F7519C}"/>
            </a:ext>
          </a:extLst>
        </xdr:cNvPr>
        <xdr:cNvPicPr>
          <a:picLocks noChangeAspect="1"/>
        </xdr:cNvPicPr>
      </xdr:nvPicPr>
      <xdr:blipFill>
        <a:blip xmlns:r="http://schemas.openxmlformats.org/officeDocument/2006/relationships" r:embed="rId3"/>
        <a:stretch>
          <a:fillRect/>
        </a:stretch>
      </xdr:blipFill>
      <xdr:spPr>
        <a:xfrm>
          <a:off x="20048764" y="11770179"/>
          <a:ext cx="883997" cy="294647"/>
        </a:xfrm>
        <a:prstGeom prst="rect">
          <a:avLst/>
        </a:prstGeom>
      </xdr:spPr>
    </xdr:pic>
    <xdr:clientData/>
  </xdr:twoCellAnchor>
  <xdr:twoCellAnchor editAs="oneCell">
    <xdr:from>
      <xdr:col>0</xdr:col>
      <xdr:colOff>190500</xdr:colOff>
      <xdr:row>58</xdr:row>
      <xdr:rowOff>68037</xdr:rowOff>
    </xdr:from>
    <xdr:to>
      <xdr:col>1</xdr:col>
      <xdr:colOff>21024</xdr:colOff>
      <xdr:row>59</xdr:row>
      <xdr:rowOff>89501</xdr:rowOff>
    </xdr:to>
    <xdr:pic>
      <xdr:nvPicPr>
        <xdr:cNvPr id="10" name="Picture 9">
          <a:extLst>
            <a:ext uri="{FF2B5EF4-FFF2-40B4-BE49-F238E27FC236}">
              <a16:creationId xmlns="" xmlns:a16="http://schemas.microsoft.com/office/drawing/2014/main" id="{95E65B4B-4D2D-412D-ABF4-86DEA65171FD}"/>
            </a:ext>
          </a:extLst>
        </xdr:cNvPr>
        <xdr:cNvPicPr>
          <a:picLocks noChangeAspect="1"/>
        </xdr:cNvPicPr>
      </xdr:nvPicPr>
      <xdr:blipFill>
        <a:blip xmlns:r="http://schemas.openxmlformats.org/officeDocument/2006/relationships" r:embed="rId4"/>
        <a:stretch>
          <a:fillRect/>
        </a:stretch>
      </xdr:blipFill>
      <xdr:spPr>
        <a:xfrm>
          <a:off x="190500" y="11783787"/>
          <a:ext cx="173424" cy="221489"/>
        </a:xfrm>
        <a:prstGeom prst="rect">
          <a:avLst/>
        </a:prstGeom>
      </xdr:spPr>
    </xdr:pic>
    <xdr:clientData/>
  </xdr:twoCellAnchor>
  <xdr:twoCellAnchor editAs="oneCell">
    <xdr:from>
      <xdr:col>0</xdr:col>
      <xdr:colOff>163286</xdr:colOff>
      <xdr:row>130</xdr:row>
      <xdr:rowOff>81643</xdr:rowOff>
    </xdr:from>
    <xdr:to>
      <xdr:col>0</xdr:col>
      <xdr:colOff>333989</xdr:colOff>
      <xdr:row>131</xdr:row>
      <xdr:rowOff>103108</xdr:rowOff>
    </xdr:to>
    <xdr:pic>
      <xdr:nvPicPr>
        <xdr:cNvPr id="11" name="Picture 10">
          <a:extLst>
            <a:ext uri="{FF2B5EF4-FFF2-40B4-BE49-F238E27FC236}">
              <a16:creationId xmlns="" xmlns:a16="http://schemas.microsoft.com/office/drawing/2014/main" id="{B4B05D7A-F1CB-4C5E-9AE7-AEFCF3BA1700}"/>
            </a:ext>
          </a:extLst>
        </xdr:cNvPr>
        <xdr:cNvPicPr>
          <a:picLocks noChangeAspect="1"/>
        </xdr:cNvPicPr>
      </xdr:nvPicPr>
      <xdr:blipFill>
        <a:blip xmlns:r="http://schemas.openxmlformats.org/officeDocument/2006/relationships" r:embed="rId4"/>
        <a:stretch>
          <a:fillRect/>
        </a:stretch>
      </xdr:blipFill>
      <xdr:spPr>
        <a:xfrm>
          <a:off x="163286" y="26646868"/>
          <a:ext cx="170703" cy="221490"/>
        </a:xfrm>
        <a:prstGeom prst="rect">
          <a:avLst/>
        </a:prstGeom>
      </xdr:spPr>
    </xdr:pic>
    <xdr:clientData/>
  </xdr:twoCellAnchor>
  <xdr:twoCellAnchor editAs="oneCell">
    <xdr:from>
      <xdr:col>0</xdr:col>
      <xdr:colOff>190500</xdr:colOff>
      <xdr:row>203</xdr:row>
      <xdr:rowOff>108857</xdr:rowOff>
    </xdr:from>
    <xdr:to>
      <xdr:col>1</xdr:col>
      <xdr:colOff>21024</xdr:colOff>
      <xdr:row>204</xdr:row>
      <xdr:rowOff>130322</xdr:rowOff>
    </xdr:to>
    <xdr:pic>
      <xdr:nvPicPr>
        <xdr:cNvPr id="12" name="Picture 11">
          <a:extLst>
            <a:ext uri="{FF2B5EF4-FFF2-40B4-BE49-F238E27FC236}">
              <a16:creationId xmlns="" xmlns:a16="http://schemas.microsoft.com/office/drawing/2014/main" id="{9CB18D5D-F89A-4669-BAEC-28B4580577F0}"/>
            </a:ext>
          </a:extLst>
        </xdr:cNvPr>
        <xdr:cNvPicPr>
          <a:picLocks noChangeAspect="1"/>
        </xdr:cNvPicPr>
      </xdr:nvPicPr>
      <xdr:blipFill>
        <a:blip xmlns:r="http://schemas.openxmlformats.org/officeDocument/2006/relationships" r:embed="rId4"/>
        <a:stretch>
          <a:fillRect/>
        </a:stretch>
      </xdr:blipFill>
      <xdr:spPr>
        <a:xfrm>
          <a:off x="190500" y="41361632"/>
          <a:ext cx="173424" cy="221490"/>
        </a:xfrm>
        <a:prstGeom prst="rect">
          <a:avLst/>
        </a:prstGeom>
      </xdr:spPr>
    </xdr:pic>
    <xdr:clientData/>
  </xdr:twoCellAnchor>
  <xdr:twoCellAnchor editAs="oneCell">
    <xdr:from>
      <xdr:col>0</xdr:col>
      <xdr:colOff>190500</xdr:colOff>
      <xdr:row>304</xdr:row>
      <xdr:rowOff>122464</xdr:rowOff>
    </xdr:from>
    <xdr:to>
      <xdr:col>1</xdr:col>
      <xdr:colOff>21024</xdr:colOff>
      <xdr:row>305</xdr:row>
      <xdr:rowOff>143929</xdr:rowOff>
    </xdr:to>
    <xdr:pic>
      <xdr:nvPicPr>
        <xdr:cNvPr id="13" name="Picture 12">
          <a:extLst>
            <a:ext uri="{FF2B5EF4-FFF2-40B4-BE49-F238E27FC236}">
              <a16:creationId xmlns="" xmlns:a16="http://schemas.microsoft.com/office/drawing/2014/main" id="{12A8BDE2-0986-48C5-84FD-4DE14A37EFA8}"/>
            </a:ext>
          </a:extLst>
        </xdr:cNvPr>
        <xdr:cNvPicPr>
          <a:picLocks noChangeAspect="1"/>
        </xdr:cNvPicPr>
      </xdr:nvPicPr>
      <xdr:blipFill>
        <a:blip xmlns:r="http://schemas.openxmlformats.org/officeDocument/2006/relationships" r:embed="rId4"/>
        <a:stretch>
          <a:fillRect/>
        </a:stretch>
      </xdr:blipFill>
      <xdr:spPr>
        <a:xfrm>
          <a:off x="190500" y="61701589"/>
          <a:ext cx="173424" cy="22149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1095375</xdr:colOff>
      <xdr:row>304</xdr:row>
      <xdr:rowOff>123825</xdr:rowOff>
    </xdr:from>
    <xdr:to>
      <xdr:col>18</xdr:col>
      <xdr:colOff>1895475</xdr:colOff>
      <xdr:row>305</xdr:row>
      <xdr:rowOff>152400</xdr:rowOff>
    </xdr:to>
    <xdr:pic>
      <xdr:nvPicPr>
        <xdr:cNvPr id="2" name="Picture 1" descr="C:\WINDOWS\TEMP\~0003946.gif">
          <a:extLst>
            <a:ext uri="{FF2B5EF4-FFF2-40B4-BE49-F238E27FC236}">
              <a16:creationId xmlns="" xmlns:a16="http://schemas.microsoft.com/office/drawing/2014/main" id="{27E0A5BC-5F44-4854-93CC-05E2A9F7FA45}"/>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61702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3" name="Picture 2" descr="C:\WINDOWS\TEMP\~0003946.gif">
          <a:extLst>
            <a:ext uri="{FF2B5EF4-FFF2-40B4-BE49-F238E27FC236}">
              <a16:creationId xmlns="" xmlns:a16="http://schemas.microsoft.com/office/drawing/2014/main" id="{E3E06F55-197C-41B9-BC13-0E14FBC5CA09}"/>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414051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4" name="Picture 3" descr="C:\WINDOWS\TEMP\~0003946.gif">
          <a:extLst>
            <a:ext uri="{FF2B5EF4-FFF2-40B4-BE49-F238E27FC236}">
              <a16:creationId xmlns="" xmlns:a16="http://schemas.microsoft.com/office/drawing/2014/main" id="{3092FAF6-DF11-409A-803D-6274AB6E4A4C}"/>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6727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5" name="Picture 4" descr="C:\WINDOWS\TEMP\~0003946.gif">
          <a:extLst>
            <a:ext uri="{FF2B5EF4-FFF2-40B4-BE49-F238E27FC236}">
              <a16:creationId xmlns="" xmlns:a16="http://schemas.microsoft.com/office/drawing/2014/main" id="{AFDDE91F-4E35-4C8C-A5D0-E82FF0E6143E}"/>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18776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304</xdr:row>
      <xdr:rowOff>54429</xdr:rowOff>
    </xdr:from>
    <xdr:to>
      <xdr:col>18</xdr:col>
      <xdr:colOff>883997</xdr:colOff>
      <xdr:row>305</xdr:row>
      <xdr:rowOff>149052</xdr:rowOff>
    </xdr:to>
    <xdr:pic>
      <xdr:nvPicPr>
        <xdr:cNvPr id="6" name="Picture 5">
          <a:extLst>
            <a:ext uri="{FF2B5EF4-FFF2-40B4-BE49-F238E27FC236}">
              <a16:creationId xmlns="" xmlns:a16="http://schemas.microsoft.com/office/drawing/2014/main" id="{4B38A460-E6A4-494C-B504-CB73761A14F4}"/>
            </a:ext>
          </a:extLst>
        </xdr:cNvPr>
        <xdr:cNvPicPr>
          <a:picLocks noChangeAspect="1"/>
        </xdr:cNvPicPr>
      </xdr:nvPicPr>
      <xdr:blipFill>
        <a:blip xmlns:r="http://schemas.openxmlformats.org/officeDocument/2006/relationships" r:embed="rId3"/>
        <a:stretch>
          <a:fillRect/>
        </a:stretch>
      </xdr:blipFill>
      <xdr:spPr>
        <a:xfrm>
          <a:off x="20021550" y="61633554"/>
          <a:ext cx="883997" cy="294648"/>
        </a:xfrm>
        <a:prstGeom prst="rect">
          <a:avLst/>
        </a:prstGeom>
      </xdr:spPr>
    </xdr:pic>
    <xdr:clientData/>
  </xdr:twoCellAnchor>
  <xdr:twoCellAnchor editAs="oneCell">
    <xdr:from>
      <xdr:col>18</xdr:col>
      <xdr:colOff>40822</xdr:colOff>
      <xdr:row>203</xdr:row>
      <xdr:rowOff>68035</xdr:rowOff>
    </xdr:from>
    <xdr:to>
      <xdr:col>18</xdr:col>
      <xdr:colOff>924819</xdr:colOff>
      <xdr:row>204</xdr:row>
      <xdr:rowOff>162658</xdr:rowOff>
    </xdr:to>
    <xdr:pic>
      <xdr:nvPicPr>
        <xdr:cNvPr id="7" name="Picture 6">
          <a:extLst>
            <a:ext uri="{FF2B5EF4-FFF2-40B4-BE49-F238E27FC236}">
              <a16:creationId xmlns="" xmlns:a16="http://schemas.microsoft.com/office/drawing/2014/main" id="{0767FA8D-68AC-42AC-B3C9-21497B58C92A}"/>
            </a:ext>
          </a:extLst>
        </xdr:cNvPr>
        <xdr:cNvPicPr>
          <a:picLocks noChangeAspect="1"/>
        </xdr:cNvPicPr>
      </xdr:nvPicPr>
      <xdr:blipFill>
        <a:blip xmlns:r="http://schemas.openxmlformats.org/officeDocument/2006/relationships" r:embed="rId3"/>
        <a:stretch>
          <a:fillRect/>
        </a:stretch>
      </xdr:blipFill>
      <xdr:spPr>
        <a:xfrm>
          <a:off x="20062372" y="41320810"/>
          <a:ext cx="883997" cy="294648"/>
        </a:xfrm>
        <a:prstGeom prst="rect">
          <a:avLst/>
        </a:prstGeom>
      </xdr:spPr>
    </xdr:pic>
    <xdr:clientData/>
  </xdr:twoCellAnchor>
  <xdr:twoCellAnchor editAs="oneCell">
    <xdr:from>
      <xdr:col>18</xdr:col>
      <xdr:colOff>0</xdr:colOff>
      <xdr:row>130</xdr:row>
      <xdr:rowOff>0</xdr:rowOff>
    </xdr:from>
    <xdr:to>
      <xdr:col>18</xdr:col>
      <xdr:colOff>883997</xdr:colOff>
      <xdr:row>131</xdr:row>
      <xdr:rowOff>94623</xdr:rowOff>
    </xdr:to>
    <xdr:pic>
      <xdr:nvPicPr>
        <xdr:cNvPr id="8" name="Picture 7">
          <a:extLst>
            <a:ext uri="{FF2B5EF4-FFF2-40B4-BE49-F238E27FC236}">
              <a16:creationId xmlns="" xmlns:a16="http://schemas.microsoft.com/office/drawing/2014/main" id="{280E20AD-A461-4853-836C-24FEE764DF83}"/>
            </a:ext>
          </a:extLst>
        </xdr:cNvPr>
        <xdr:cNvPicPr>
          <a:picLocks noChangeAspect="1"/>
        </xdr:cNvPicPr>
      </xdr:nvPicPr>
      <xdr:blipFill>
        <a:blip xmlns:r="http://schemas.openxmlformats.org/officeDocument/2006/relationships" r:embed="rId3"/>
        <a:stretch>
          <a:fillRect/>
        </a:stretch>
      </xdr:blipFill>
      <xdr:spPr>
        <a:xfrm>
          <a:off x="20021550" y="26565225"/>
          <a:ext cx="883997" cy="294648"/>
        </a:xfrm>
        <a:prstGeom prst="rect">
          <a:avLst/>
        </a:prstGeom>
      </xdr:spPr>
    </xdr:pic>
    <xdr:clientData/>
  </xdr:twoCellAnchor>
  <xdr:twoCellAnchor editAs="oneCell">
    <xdr:from>
      <xdr:col>18</xdr:col>
      <xdr:colOff>27214</xdr:colOff>
      <xdr:row>58</xdr:row>
      <xdr:rowOff>54429</xdr:rowOff>
    </xdr:from>
    <xdr:to>
      <xdr:col>18</xdr:col>
      <xdr:colOff>911211</xdr:colOff>
      <xdr:row>59</xdr:row>
      <xdr:rowOff>149051</xdr:rowOff>
    </xdr:to>
    <xdr:pic>
      <xdr:nvPicPr>
        <xdr:cNvPr id="9" name="Picture 8">
          <a:extLst>
            <a:ext uri="{FF2B5EF4-FFF2-40B4-BE49-F238E27FC236}">
              <a16:creationId xmlns="" xmlns:a16="http://schemas.microsoft.com/office/drawing/2014/main" id="{03F385D0-DD20-4522-8902-4EF3DA999A22}"/>
            </a:ext>
          </a:extLst>
        </xdr:cNvPr>
        <xdr:cNvPicPr>
          <a:picLocks noChangeAspect="1"/>
        </xdr:cNvPicPr>
      </xdr:nvPicPr>
      <xdr:blipFill>
        <a:blip xmlns:r="http://schemas.openxmlformats.org/officeDocument/2006/relationships" r:embed="rId3"/>
        <a:stretch>
          <a:fillRect/>
        </a:stretch>
      </xdr:blipFill>
      <xdr:spPr>
        <a:xfrm>
          <a:off x="20048764" y="11770179"/>
          <a:ext cx="883997" cy="294647"/>
        </a:xfrm>
        <a:prstGeom prst="rect">
          <a:avLst/>
        </a:prstGeom>
      </xdr:spPr>
    </xdr:pic>
    <xdr:clientData/>
  </xdr:twoCellAnchor>
  <xdr:twoCellAnchor editAs="oneCell">
    <xdr:from>
      <xdr:col>0</xdr:col>
      <xdr:colOff>190500</xdr:colOff>
      <xdr:row>58</xdr:row>
      <xdr:rowOff>68037</xdr:rowOff>
    </xdr:from>
    <xdr:to>
      <xdr:col>1</xdr:col>
      <xdr:colOff>21024</xdr:colOff>
      <xdr:row>59</xdr:row>
      <xdr:rowOff>89501</xdr:rowOff>
    </xdr:to>
    <xdr:pic>
      <xdr:nvPicPr>
        <xdr:cNvPr id="10" name="Picture 9">
          <a:extLst>
            <a:ext uri="{FF2B5EF4-FFF2-40B4-BE49-F238E27FC236}">
              <a16:creationId xmlns="" xmlns:a16="http://schemas.microsoft.com/office/drawing/2014/main" id="{0DD66BDC-5D8B-4F91-A07E-328452CAE00B}"/>
            </a:ext>
          </a:extLst>
        </xdr:cNvPr>
        <xdr:cNvPicPr>
          <a:picLocks noChangeAspect="1"/>
        </xdr:cNvPicPr>
      </xdr:nvPicPr>
      <xdr:blipFill>
        <a:blip xmlns:r="http://schemas.openxmlformats.org/officeDocument/2006/relationships" r:embed="rId4"/>
        <a:stretch>
          <a:fillRect/>
        </a:stretch>
      </xdr:blipFill>
      <xdr:spPr>
        <a:xfrm>
          <a:off x="190500" y="11783787"/>
          <a:ext cx="173424" cy="221489"/>
        </a:xfrm>
        <a:prstGeom prst="rect">
          <a:avLst/>
        </a:prstGeom>
      </xdr:spPr>
    </xdr:pic>
    <xdr:clientData/>
  </xdr:twoCellAnchor>
  <xdr:twoCellAnchor editAs="oneCell">
    <xdr:from>
      <xdr:col>0</xdr:col>
      <xdr:colOff>163286</xdr:colOff>
      <xdr:row>130</xdr:row>
      <xdr:rowOff>81643</xdr:rowOff>
    </xdr:from>
    <xdr:to>
      <xdr:col>0</xdr:col>
      <xdr:colOff>333989</xdr:colOff>
      <xdr:row>131</xdr:row>
      <xdr:rowOff>103108</xdr:rowOff>
    </xdr:to>
    <xdr:pic>
      <xdr:nvPicPr>
        <xdr:cNvPr id="11" name="Picture 10">
          <a:extLst>
            <a:ext uri="{FF2B5EF4-FFF2-40B4-BE49-F238E27FC236}">
              <a16:creationId xmlns="" xmlns:a16="http://schemas.microsoft.com/office/drawing/2014/main" id="{8F88F15D-3D5B-4BF7-AECC-7511A63DE46D}"/>
            </a:ext>
          </a:extLst>
        </xdr:cNvPr>
        <xdr:cNvPicPr>
          <a:picLocks noChangeAspect="1"/>
        </xdr:cNvPicPr>
      </xdr:nvPicPr>
      <xdr:blipFill>
        <a:blip xmlns:r="http://schemas.openxmlformats.org/officeDocument/2006/relationships" r:embed="rId4"/>
        <a:stretch>
          <a:fillRect/>
        </a:stretch>
      </xdr:blipFill>
      <xdr:spPr>
        <a:xfrm>
          <a:off x="163286" y="26646868"/>
          <a:ext cx="170703" cy="221490"/>
        </a:xfrm>
        <a:prstGeom prst="rect">
          <a:avLst/>
        </a:prstGeom>
      </xdr:spPr>
    </xdr:pic>
    <xdr:clientData/>
  </xdr:twoCellAnchor>
  <xdr:twoCellAnchor editAs="oneCell">
    <xdr:from>
      <xdr:col>0</xdr:col>
      <xdr:colOff>190500</xdr:colOff>
      <xdr:row>203</xdr:row>
      <xdr:rowOff>108857</xdr:rowOff>
    </xdr:from>
    <xdr:to>
      <xdr:col>1</xdr:col>
      <xdr:colOff>21024</xdr:colOff>
      <xdr:row>204</xdr:row>
      <xdr:rowOff>130322</xdr:rowOff>
    </xdr:to>
    <xdr:pic>
      <xdr:nvPicPr>
        <xdr:cNvPr id="12" name="Picture 11">
          <a:extLst>
            <a:ext uri="{FF2B5EF4-FFF2-40B4-BE49-F238E27FC236}">
              <a16:creationId xmlns="" xmlns:a16="http://schemas.microsoft.com/office/drawing/2014/main" id="{92D3E618-CB1E-4750-A4C0-09FF7BD9A9C7}"/>
            </a:ext>
          </a:extLst>
        </xdr:cNvPr>
        <xdr:cNvPicPr>
          <a:picLocks noChangeAspect="1"/>
        </xdr:cNvPicPr>
      </xdr:nvPicPr>
      <xdr:blipFill>
        <a:blip xmlns:r="http://schemas.openxmlformats.org/officeDocument/2006/relationships" r:embed="rId4"/>
        <a:stretch>
          <a:fillRect/>
        </a:stretch>
      </xdr:blipFill>
      <xdr:spPr>
        <a:xfrm>
          <a:off x="190500" y="41361632"/>
          <a:ext cx="173424" cy="221490"/>
        </a:xfrm>
        <a:prstGeom prst="rect">
          <a:avLst/>
        </a:prstGeom>
      </xdr:spPr>
    </xdr:pic>
    <xdr:clientData/>
  </xdr:twoCellAnchor>
  <xdr:twoCellAnchor editAs="oneCell">
    <xdr:from>
      <xdr:col>0</xdr:col>
      <xdr:colOff>190500</xdr:colOff>
      <xdr:row>304</xdr:row>
      <xdr:rowOff>122464</xdr:rowOff>
    </xdr:from>
    <xdr:to>
      <xdr:col>1</xdr:col>
      <xdr:colOff>21024</xdr:colOff>
      <xdr:row>305</xdr:row>
      <xdr:rowOff>143929</xdr:rowOff>
    </xdr:to>
    <xdr:pic>
      <xdr:nvPicPr>
        <xdr:cNvPr id="13" name="Picture 12">
          <a:extLst>
            <a:ext uri="{FF2B5EF4-FFF2-40B4-BE49-F238E27FC236}">
              <a16:creationId xmlns="" xmlns:a16="http://schemas.microsoft.com/office/drawing/2014/main" id="{A39FC239-0F8F-411B-A4E2-170CC497A678}"/>
            </a:ext>
          </a:extLst>
        </xdr:cNvPr>
        <xdr:cNvPicPr>
          <a:picLocks noChangeAspect="1"/>
        </xdr:cNvPicPr>
      </xdr:nvPicPr>
      <xdr:blipFill>
        <a:blip xmlns:r="http://schemas.openxmlformats.org/officeDocument/2006/relationships" r:embed="rId4"/>
        <a:stretch>
          <a:fillRect/>
        </a:stretch>
      </xdr:blipFill>
      <xdr:spPr>
        <a:xfrm>
          <a:off x="190500" y="61701589"/>
          <a:ext cx="173424" cy="22149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1095375</xdr:colOff>
      <xdr:row>304</xdr:row>
      <xdr:rowOff>123825</xdr:rowOff>
    </xdr:from>
    <xdr:to>
      <xdr:col>18</xdr:col>
      <xdr:colOff>1895475</xdr:colOff>
      <xdr:row>305</xdr:row>
      <xdr:rowOff>152400</xdr:rowOff>
    </xdr:to>
    <xdr:pic>
      <xdr:nvPicPr>
        <xdr:cNvPr id="2" name="Picture 1" descr="C:\WINDOWS\TEMP\~0003946.gif">
          <a:extLst>
            <a:ext uri="{FF2B5EF4-FFF2-40B4-BE49-F238E27FC236}">
              <a16:creationId xmlns="" xmlns:a16="http://schemas.microsoft.com/office/drawing/2014/main" id="{5760D0A1-DC6D-461F-BE70-2E12FB0D8C54}"/>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61702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3" name="Picture 2" descr="C:\WINDOWS\TEMP\~0003946.gif">
          <a:extLst>
            <a:ext uri="{FF2B5EF4-FFF2-40B4-BE49-F238E27FC236}">
              <a16:creationId xmlns="" xmlns:a16="http://schemas.microsoft.com/office/drawing/2014/main" id="{8BD014EE-1F3E-40BF-9696-99622FA7CCAA}"/>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414051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4" name="Picture 3" descr="C:\WINDOWS\TEMP\~0003946.gif">
          <a:extLst>
            <a:ext uri="{FF2B5EF4-FFF2-40B4-BE49-F238E27FC236}">
              <a16:creationId xmlns="" xmlns:a16="http://schemas.microsoft.com/office/drawing/2014/main" id="{C7CDA525-B9EF-4241-9C60-6DC2FA34BE4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6727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5" name="Picture 4" descr="C:\WINDOWS\TEMP\~0003946.gif">
          <a:extLst>
            <a:ext uri="{FF2B5EF4-FFF2-40B4-BE49-F238E27FC236}">
              <a16:creationId xmlns="" xmlns:a16="http://schemas.microsoft.com/office/drawing/2014/main" id="{2EA4BA41-09CB-4ECC-8444-3D2750BF463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18776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304</xdr:row>
      <xdr:rowOff>54429</xdr:rowOff>
    </xdr:from>
    <xdr:to>
      <xdr:col>18</xdr:col>
      <xdr:colOff>883997</xdr:colOff>
      <xdr:row>305</xdr:row>
      <xdr:rowOff>149052</xdr:rowOff>
    </xdr:to>
    <xdr:pic>
      <xdr:nvPicPr>
        <xdr:cNvPr id="6" name="Picture 5">
          <a:extLst>
            <a:ext uri="{FF2B5EF4-FFF2-40B4-BE49-F238E27FC236}">
              <a16:creationId xmlns="" xmlns:a16="http://schemas.microsoft.com/office/drawing/2014/main" id="{0CC2CCD6-D7B4-41D7-82EF-EBFB5DB319F3}"/>
            </a:ext>
          </a:extLst>
        </xdr:cNvPr>
        <xdr:cNvPicPr>
          <a:picLocks noChangeAspect="1"/>
        </xdr:cNvPicPr>
      </xdr:nvPicPr>
      <xdr:blipFill>
        <a:blip xmlns:r="http://schemas.openxmlformats.org/officeDocument/2006/relationships" r:embed="rId3"/>
        <a:stretch>
          <a:fillRect/>
        </a:stretch>
      </xdr:blipFill>
      <xdr:spPr>
        <a:xfrm>
          <a:off x="20021550" y="61633554"/>
          <a:ext cx="883997" cy="294648"/>
        </a:xfrm>
        <a:prstGeom prst="rect">
          <a:avLst/>
        </a:prstGeom>
      </xdr:spPr>
    </xdr:pic>
    <xdr:clientData/>
  </xdr:twoCellAnchor>
  <xdr:twoCellAnchor editAs="oneCell">
    <xdr:from>
      <xdr:col>18</xdr:col>
      <xdr:colOff>40822</xdr:colOff>
      <xdr:row>203</xdr:row>
      <xdr:rowOff>68035</xdr:rowOff>
    </xdr:from>
    <xdr:to>
      <xdr:col>18</xdr:col>
      <xdr:colOff>924819</xdr:colOff>
      <xdr:row>204</xdr:row>
      <xdr:rowOff>162658</xdr:rowOff>
    </xdr:to>
    <xdr:pic>
      <xdr:nvPicPr>
        <xdr:cNvPr id="7" name="Picture 6">
          <a:extLst>
            <a:ext uri="{FF2B5EF4-FFF2-40B4-BE49-F238E27FC236}">
              <a16:creationId xmlns="" xmlns:a16="http://schemas.microsoft.com/office/drawing/2014/main" id="{647D43F5-6F70-4389-9BFF-B97C327F13BC}"/>
            </a:ext>
          </a:extLst>
        </xdr:cNvPr>
        <xdr:cNvPicPr>
          <a:picLocks noChangeAspect="1"/>
        </xdr:cNvPicPr>
      </xdr:nvPicPr>
      <xdr:blipFill>
        <a:blip xmlns:r="http://schemas.openxmlformats.org/officeDocument/2006/relationships" r:embed="rId3"/>
        <a:stretch>
          <a:fillRect/>
        </a:stretch>
      </xdr:blipFill>
      <xdr:spPr>
        <a:xfrm>
          <a:off x="20062372" y="41320810"/>
          <a:ext cx="883997" cy="294648"/>
        </a:xfrm>
        <a:prstGeom prst="rect">
          <a:avLst/>
        </a:prstGeom>
      </xdr:spPr>
    </xdr:pic>
    <xdr:clientData/>
  </xdr:twoCellAnchor>
  <xdr:twoCellAnchor editAs="oneCell">
    <xdr:from>
      <xdr:col>18</xdr:col>
      <xdr:colOff>0</xdr:colOff>
      <xdr:row>130</xdr:row>
      <xdr:rowOff>0</xdr:rowOff>
    </xdr:from>
    <xdr:to>
      <xdr:col>18</xdr:col>
      <xdr:colOff>883997</xdr:colOff>
      <xdr:row>131</xdr:row>
      <xdr:rowOff>94623</xdr:rowOff>
    </xdr:to>
    <xdr:pic>
      <xdr:nvPicPr>
        <xdr:cNvPr id="8" name="Picture 7">
          <a:extLst>
            <a:ext uri="{FF2B5EF4-FFF2-40B4-BE49-F238E27FC236}">
              <a16:creationId xmlns="" xmlns:a16="http://schemas.microsoft.com/office/drawing/2014/main" id="{9ABD5D15-F676-46F0-A8B1-21D523A1C8F5}"/>
            </a:ext>
          </a:extLst>
        </xdr:cNvPr>
        <xdr:cNvPicPr>
          <a:picLocks noChangeAspect="1"/>
        </xdr:cNvPicPr>
      </xdr:nvPicPr>
      <xdr:blipFill>
        <a:blip xmlns:r="http://schemas.openxmlformats.org/officeDocument/2006/relationships" r:embed="rId3"/>
        <a:stretch>
          <a:fillRect/>
        </a:stretch>
      </xdr:blipFill>
      <xdr:spPr>
        <a:xfrm>
          <a:off x="20021550" y="26565225"/>
          <a:ext cx="883997" cy="294648"/>
        </a:xfrm>
        <a:prstGeom prst="rect">
          <a:avLst/>
        </a:prstGeom>
      </xdr:spPr>
    </xdr:pic>
    <xdr:clientData/>
  </xdr:twoCellAnchor>
  <xdr:twoCellAnchor editAs="oneCell">
    <xdr:from>
      <xdr:col>18</xdr:col>
      <xdr:colOff>27214</xdr:colOff>
      <xdr:row>58</xdr:row>
      <xdr:rowOff>54429</xdr:rowOff>
    </xdr:from>
    <xdr:to>
      <xdr:col>18</xdr:col>
      <xdr:colOff>911211</xdr:colOff>
      <xdr:row>59</xdr:row>
      <xdr:rowOff>149051</xdr:rowOff>
    </xdr:to>
    <xdr:pic>
      <xdr:nvPicPr>
        <xdr:cNvPr id="9" name="Picture 8">
          <a:extLst>
            <a:ext uri="{FF2B5EF4-FFF2-40B4-BE49-F238E27FC236}">
              <a16:creationId xmlns="" xmlns:a16="http://schemas.microsoft.com/office/drawing/2014/main" id="{E517C76C-30B4-489F-B071-20C9513FE7C5}"/>
            </a:ext>
          </a:extLst>
        </xdr:cNvPr>
        <xdr:cNvPicPr>
          <a:picLocks noChangeAspect="1"/>
        </xdr:cNvPicPr>
      </xdr:nvPicPr>
      <xdr:blipFill>
        <a:blip xmlns:r="http://schemas.openxmlformats.org/officeDocument/2006/relationships" r:embed="rId3"/>
        <a:stretch>
          <a:fillRect/>
        </a:stretch>
      </xdr:blipFill>
      <xdr:spPr>
        <a:xfrm>
          <a:off x="20048764" y="11770179"/>
          <a:ext cx="883997" cy="294647"/>
        </a:xfrm>
        <a:prstGeom prst="rect">
          <a:avLst/>
        </a:prstGeom>
      </xdr:spPr>
    </xdr:pic>
    <xdr:clientData/>
  </xdr:twoCellAnchor>
  <xdr:twoCellAnchor editAs="oneCell">
    <xdr:from>
      <xdr:col>0</xdr:col>
      <xdr:colOff>190500</xdr:colOff>
      <xdr:row>58</xdr:row>
      <xdr:rowOff>68037</xdr:rowOff>
    </xdr:from>
    <xdr:to>
      <xdr:col>1</xdr:col>
      <xdr:colOff>21024</xdr:colOff>
      <xdr:row>59</xdr:row>
      <xdr:rowOff>89501</xdr:rowOff>
    </xdr:to>
    <xdr:pic>
      <xdr:nvPicPr>
        <xdr:cNvPr id="10" name="Picture 9">
          <a:extLst>
            <a:ext uri="{FF2B5EF4-FFF2-40B4-BE49-F238E27FC236}">
              <a16:creationId xmlns="" xmlns:a16="http://schemas.microsoft.com/office/drawing/2014/main" id="{B2EDD2DB-67D3-45D7-B6FB-592C0C0F58F5}"/>
            </a:ext>
          </a:extLst>
        </xdr:cNvPr>
        <xdr:cNvPicPr>
          <a:picLocks noChangeAspect="1"/>
        </xdr:cNvPicPr>
      </xdr:nvPicPr>
      <xdr:blipFill>
        <a:blip xmlns:r="http://schemas.openxmlformats.org/officeDocument/2006/relationships" r:embed="rId4"/>
        <a:stretch>
          <a:fillRect/>
        </a:stretch>
      </xdr:blipFill>
      <xdr:spPr>
        <a:xfrm>
          <a:off x="190500" y="11783787"/>
          <a:ext cx="173424" cy="221489"/>
        </a:xfrm>
        <a:prstGeom prst="rect">
          <a:avLst/>
        </a:prstGeom>
      </xdr:spPr>
    </xdr:pic>
    <xdr:clientData/>
  </xdr:twoCellAnchor>
  <xdr:twoCellAnchor editAs="oneCell">
    <xdr:from>
      <xdr:col>0</xdr:col>
      <xdr:colOff>163286</xdr:colOff>
      <xdr:row>130</xdr:row>
      <xdr:rowOff>81643</xdr:rowOff>
    </xdr:from>
    <xdr:to>
      <xdr:col>0</xdr:col>
      <xdr:colOff>333989</xdr:colOff>
      <xdr:row>131</xdr:row>
      <xdr:rowOff>103108</xdr:rowOff>
    </xdr:to>
    <xdr:pic>
      <xdr:nvPicPr>
        <xdr:cNvPr id="11" name="Picture 10">
          <a:extLst>
            <a:ext uri="{FF2B5EF4-FFF2-40B4-BE49-F238E27FC236}">
              <a16:creationId xmlns="" xmlns:a16="http://schemas.microsoft.com/office/drawing/2014/main" id="{D9D762E4-DCD7-4332-BC4B-6653E6DB2C6F}"/>
            </a:ext>
          </a:extLst>
        </xdr:cNvPr>
        <xdr:cNvPicPr>
          <a:picLocks noChangeAspect="1"/>
        </xdr:cNvPicPr>
      </xdr:nvPicPr>
      <xdr:blipFill>
        <a:blip xmlns:r="http://schemas.openxmlformats.org/officeDocument/2006/relationships" r:embed="rId4"/>
        <a:stretch>
          <a:fillRect/>
        </a:stretch>
      </xdr:blipFill>
      <xdr:spPr>
        <a:xfrm>
          <a:off x="163286" y="26646868"/>
          <a:ext cx="170703" cy="221490"/>
        </a:xfrm>
        <a:prstGeom prst="rect">
          <a:avLst/>
        </a:prstGeom>
      </xdr:spPr>
    </xdr:pic>
    <xdr:clientData/>
  </xdr:twoCellAnchor>
  <xdr:twoCellAnchor editAs="oneCell">
    <xdr:from>
      <xdr:col>0</xdr:col>
      <xdr:colOff>190500</xdr:colOff>
      <xdr:row>203</xdr:row>
      <xdr:rowOff>108857</xdr:rowOff>
    </xdr:from>
    <xdr:to>
      <xdr:col>1</xdr:col>
      <xdr:colOff>21024</xdr:colOff>
      <xdr:row>204</xdr:row>
      <xdr:rowOff>130322</xdr:rowOff>
    </xdr:to>
    <xdr:pic>
      <xdr:nvPicPr>
        <xdr:cNvPr id="12" name="Picture 11">
          <a:extLst>
            <a:ext uri="{FF2B5EF4-FFF2-40B4-BE49-F238E27FC236}">
              <a16:creationId xmlns="" xmlns:a16="http://schemas.microsoft.com/office/drawing/2014/main" id="{2D6FE87E-F2AD-4245-BA95-5CCC1490A849}"/>
            </a:ext>
          </a:extLst>
        </xdr:cNvPr>
        <xdr:cNvPicPr>
          <a:picLocks noChangeAspect="1"/>
        </xdr:cNvPicPr>
      </xdr:nvPicPr>
      <xdr:blipFill>
        <a:blip xmlns:r="http://schemas.openxmlformats.org/officeDocument/2006/relationships" r:embed="rId4"/>
        <a:stretch>
          <a:fillRect/>
        </a:stretch>
      </xdr:blipFill>
      <xdr:spPr>
        <a:xfrm>
          <a:off x="190500" y="41361632"/>
          <a:ext cx="173424" cy="221490"/>
        </a:xfrm>
        <a:prstGeom prst="rect">
          <a:avLst/>
        </a:prstGeom>
      </xdr:spPr>
    </xdr:pic>
    <xdr:clientData/>
  </xdr:twoCellAnchor>
  <xdr:twoCellAnchor editAs="oneCell">
    <xdr:from>
      <xdr:col>0</xdr:col>
      <xdr:colOff>190500</xdr:colOff>
      <xdr:row>304</xdr:row>
      <xdr:rowOff>122464</xdr:rowOff>
    </xdr:from>
    <xdr:to>
      <xdr:col>1</xdr:col>
      <xdr:colOff>21024</xdr:colOff>
      <xdr:row>305</xdr:row>
      <xdr:rowOff>143929</xdr:rowOff>
    </xdr:to>
    <xdr:pic>
      <xdr:nvPicPr>
        <xdr:cNvPr id="13" name="Picture 12">
          <a:extLst>
            <a:ext uri="{FF2B5EF4-FFF2-40B4-BE49-F238E27FC236}">
              <a16:creationId xmlns="" xmlns:a16="http://schemas.microsoft.com/office/drawing/2014/main" id="{59B81477-C450-453D-B9CF-06B79D69FACA}"/>
            </a:ext>
          </a:extLst>
        </xdr:cNvPr>
        <xdr:cNvPicPr>
          <a:picLocks noChangeAspect="1"/>
        </xdr:cNvPicPr>
      </xdr:nvPicPr>
      <xdr:blipFill>
        <a:blip xmlns:r="http://schemas.openxmlformats.org/officeDocument/2006/relationships" r:embed="rId4"/>
        <a:stretch>
          <a:fillRect/>
        </a:stretch>
      </xdr:blipFill>
      <xdr:spPr>
        <a:xfrm>
          <a:off x="190500" y="61701589"/>
          <a:ext cx="173424" cy="22149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1095375</xdr:colOff>
      <xdr:row>304</xdr:row>
      <xdr:rowOff>123825</xdr:rowOff>
    </xdr:from>
    <xdr:to>
      <xdr:col>18</xdr:col>
      <xdr:colOff>1895475</xdr:colOff>
      <xdr:row>305</xdr:row>
      <xdr:rowOff>152400</xdr:rowOff>
    </xdr:to>
    <xdr:pic>
      <xdr:nvPicPr>
        <xdr:cNvPr id="2" name="Picture 1" descr="C:\WINDOWS\TEMP\~0003946.gif">
          <a:extLst>
            <a:ext uri="{FF2B5EF4-FFF2-40B4-BE49-F238E27FC236}">
              <a16:creationId xmlns="" xmlns:a16="http://schemas.microsoft.com/office/drawing/2014/main" id="{C661AACE-407C-4985-B0A4-8C2F2AB31062}"/>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61702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3" name="Picture 2" descr="C:\WINDOWS\TEMP\~0003946.gif">
          <a:extLst>
            <a:ext uri="{FF2B5EF4-FFF2-40B4-BE49-F238E27FC236}">
              <a16:creationId xmlns="" xmlns:a16="http://schemas.microsoft.com/office/drawing/2014/main" id="{C5D5C9E7-A4D9-4BF9-B67E-0CE67A814D88}"/>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414051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4" name="Picture 3" descr="C:\WINDOWS\TEMP\~0003946.gif">
          <a:extLst>
            <a:ext uri="{FF2B5EF4-FFF2-40B4-BE49-F238E27FC236}">
              <a16:creationId xmlns="" xmlns:a16="http://schemas.microsoft.com/office/drawing/2014/main" id="{7272815A-8CF5-49DE-8254-67B13FB7ABBF}"/>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6727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5" name="Picture 4" descr="C:\WINDOWS\TEMP\~0003946.gif">
          <a:extLst>
            <a:ext uri="{FF2B5EF4-FFF2-40B4-BE49-F238E27FC236}">
              <a16:creationId xmlns="" xmlns:a16="http://schemas.microsoft.com/office/drawing/2014/main" id="{8B41A3D9-5526-4A70-8175-01B6C2BB553B}"/>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18776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304</xdr:row>
      <xdr:rowOff>54429</xdr:rowOff>
    </xdr:from>
    <xdr:to>
      <xdr:col>18</xdr:col>
      <xdr:colOff>883997</xdr:colOff>
      <xdr:row>305</xdr:row>
      <xdr:rowOff>149052</xdr:rowOff>
    </xdr:to>
    <xdr:pic>
      <xdr:nvPicPr>
        <xdr:cNvPr id="6" name="Picture 5">
          <a:extLst>
            <a:ext uri="{FF2B5EF4-FFF2-40B4-BE49-F238E27FC236}">
              <a16:creationId xmlns="" xmlns:a16="http://schemas.microsoft.com/office/drawing/2014/main" id="{32C62ACB-AEF4-4A5D-B74E-497470A39C89}"/>
            </a:ext>
          </a:extLst>
        </xdr:cNvPr>
        <xdr:cNvPicPr>
          <a:picLocks noChangeAspect="1"/>
        </xdr:cNvPicPr>
      </xdr:nvPicPr>
      <xdr:blipFill>
        <a:blip xmlns:r="http://schemas.openxmlformats.org/officeDocument/2006/relationships" r:embed="rId3"/>
        <a:stretch>
          <a:fillRect/>
        </a:stretch>
      </xdr:blipFill>
      <xdr:spPr>
        <a:xfrm>
          <a:off x="20021550" y="61633554"/>
          <a:ext cx="883997" cy="294648"/>
        </a:xfrm>
        <a:prstGeom prst="rect">
          <a:avLst/>
        </a:prstGeom>
      </xdr:spPr>
    </xdr:pic>
    <xdr:clientData/>
  </xdr:twoCellAnchor>
  <xdr:twoCellAnchor editAs="oneCell">
    <xdr:from>
      <xdr:col>18</xdr:col>
      <xdr:colOff>40822</xdr:colOff>
      <xdr:row>203</xdr:row>
      <xdr:rowOff>68035</xdr:rowOff>
    </xdr:from>
    <xdr:to>
      <xdr:col>18</xdr:col>
      <xdr:colOff>924819</xdr:colOff>
      <xdr:row>204</xdr:row>
      <xdr:rowOff>162658</xdr:rowOff>
    </xdr:to>
    <xdr:pic>
      <xdr:nvPicPr>
        <xdr:cNvPr id="7" name="Picture 6">
          <a:extLst>
            <a:ext uri="{FF2B5EF4-FFF2-40B4-BE49-F238E27FC236}">
              <a16:creationId xmlns="" xmlns:a16="http://schemas.microsoft.com/office/drawing/2014/main" id="{8233FA6D-22E8-48FC-8088-002F14DB90A3}"/>
            </a:ext>
          </a:extLst>
        </xdr:cNvPr>
        <xdr:cNvPicPr>
          <a:picLocks noChangeAspect="1"/>
        </xdr:cNvPicPr>
      </xdr:nvPicPr>
      <xdr:blipFill>
        <a:blip xmlns:r="http://schemas.openxmlformats.org/officeDocument/2006/relationships" r:embed="rId3"/>
        <a:stretch>
          <a:fillRect/>
        </a:stretch>
      </xdr:blipFill>
      <xdr:spPr>
        <a:xfrm>
          <a:off x="20062372" y="41320810"/>
          <a:ext cx="883997" cy="294648"/>
        </a:xfrm>
        <a:prstGeom prst="rect">
          <a:avLst/>
        </a:prstGeom>
      </xdr:spPr>
    </xdr:pic>
    <xdr:clientData/>
  </xdr:twoCellAnchor>
  <xdr:twoCellAnchor editAs="oneCell">
    <xdr:from>
      <xdr:col>18</xdr:col>
      <xdr:colOff>0</xdr:colOff>
      <xdr:row>130</xdr:row>
      <xdr:rowOff>0</xdr:rowOff>
    </xdr:from>
    <xdr:to>
      <xdr:col>18</xdr:col>
      <xdr:colOff>883997</xdr:colOff>
      <xdr:row>131</xdr:row>
      <xdr:rowOff>94623</xdr:rowOff>
    </xdr:to>
    <xdr:pic>
      <xdr:nvPicPr>
        <xdr:cNvPr id="8" name="Picture 7">
          <a:extLst>
            <a:ext uri="{FF2B5EF4-FFF2-40B4-BE49-F238E27FC236}">
              <a16:creationId xmlns="" xmlns:a16="http://schemas.microsoft.com/office/drawing/2014/main" id="{40579719-C853-425E-9E50-26B9CFA962D9}"/>
            </a:ext>
          </a:extLst>
        </xdr:cNvPr>
        <xdr:cNvPicPr>
          <a:picLocks noChangeAspect="1"/>
        </xdr:cNvPicPr>
      </xdr:nvPicPr>
      <xdr:blipFill>
        <a:blip xmlns:r="http://schemas.openxmlformats.org/officeDocument/2006/relationships" r:embed="rId3"/>
        <a:stretch>
          <a:fillRect/>
        </a:stretch>
      </xdr:blipFill>
      <xdr:spPr>
        <a:xfrm>
          <a:off x="20021550" y="26565225"/>
          <a:ext cx="883997" cy="294648"/>
        </a:xfrm>
        <a:prstGeom prst="rect">
          <a:avLst/>
        </a:prstGeom>
      </xdr:spPr>
    </xdr:pic>
    <xdr:clientData/>
  </xdr:twoCellAnchor>
  <xdr:twoCellAnchor editAs="oneCell">
    <xdr:from>
      <xdr:col>18</xdr:col>
      <xdr:colOff>27214</xdr:colOff>
      <xdr:row>58</xdr:row>
      <xdr:rowOff>54429</xdr:rowOff>
    </xdr:from>
    <xdr:to>
      <xdr:col>18</xdr:col>
      <xdr:colOff>911211</xdr:colOff>
      <xdr:row>59</xdr:row>
      <xdr:rowOff>149051</xdr:rowOff>
    </xdr:to>
    <xdr:pic>
      <xdr:nvPicPr>
        <xdr:cNvPr id="9" name="Picture 8">
          <a:extLst>
            <a:ext uri="{FF2B5EF4-FFF2-40B4-BE49-F238E27FC236}">
              <a16:creationId xmlns="" xmlns:a16="http://schemas.microsoft.com/office/drawing/2014/main" id="{18755846-95C7-4993-8BD3-2EEDD216830F}"/>
            </a:ext>
          </a:extLst>
        </xdr:cNvPr>
        <xdr:cNvPicPr>
          <a:picLocks noChangeAspect="1"/>
        </xdr:cNvPicPr>
      </xdr:nvPicPr>
      <xdr:blipFill>
        <a:blip xmlns:r="http://schemas.openxmlformats.org/officeDocument/2006/relationships" r:embed="rId3"/>
        <a:stretch>
          <a:fillRect/>
        </a:stretch>
      </xdr:blipFill>
      <xdr:spPr>
        <a:xfrm>
          <a:off x="20048764" y="11770179"/>
          <a:ext cx="883997" cy="294647"/>
        </a:xfrm>
        <a:prstGeom prst="rect">
          <a:avLst/>
        </a:prstGeom>
      </xdr:spPr>
    </xdr:pic>
    <xdr:clientData/>
  </xdr:twoCellAnchor>
  <xdr:twoCellAnchor editAs="oneCell">
    <xdr:from>
      <xdr:col>0</xdr:col>
      <xdr:colOff>190500</xdr:colOff>
      <xdr:row>58</xdr:row>
      <xdr:rowOff>68037</xdr:rowOff>
    </xdr:from>
    <xdr:to>
      <xdr:col>1</xdr:col>
      <xdr:colOff>21024</xdr:colOff>
      <xdr:row>59</xdr:row>
      <xdr:rowOff>89501</xdr:rowOff>
    </xdr:to>
    <xdr:pic>
      <xdr:nvPicPr>
        <xdr:cNvPr id="10" name="Picture 9">
          <a:extLst>
            <a:ext uri="{FF2B5EF4-FFF2-40B4-BE49-F238E27FC236}">
              <a16:creationId xmlns="" xmlns:a16="http://schemas.microsoft.com/office/drawing/2014/main" id="{4CED0453-710F-4291-8AE6-DA2E63BFA615}"/>
            </a:ext>
          </a:extLst>
        </xdr:cNvPr>
        <xdr:cNvPicPr>
          <a:picLocks noChangeAspect="1"/>
        </xdr:cNvPicPr>
      </xdr:nvPicPr>
      <xdr:blipFill>
        <a:blip xmlns:r="http://schemas.openxmlformats.org/officeDocument/2006/relationships" r:embed="rId4"/>
        <a:stretch>
          <a:fillRect/>
        </a:stretch>
      </xdr:blipFill>
      <xdr:spPr>
        <a:xfrm>
          <a:off x="190500" y="11783787"/>
          <a:ext cx="173424" cy="221489"/>
        </a:xfrm>
        <a:prstGeom prst="rect">
          <a:avLst/>
        </a:prstGeom>
      </xdr:spPr>
    </xdr:pic>
    <xdr:clientData/>
  </xdr:twoCellAnchor>
  <xdr:twoCellAnchor editAs="oneCell">
    <xdr:from>
      <xdr:col>0</xdr:col>
      <xdr:colOff>163286</xdr:colOff>
      <xdr:row>130</xdr:row>
      <xdr:rowOff>81643</xdr:rowOff>
    </xdr:from>
    <xdr:to>
      <xdr:col>0</xdr:col>
      <xdr:colOff>333989</xdr:colOff>
      <xdr:row>131</xdr:row>
      <xdr:rowOff>103108</xdr:rowOff>
    </xdr:to>
    <xdr:pic>
      <xdr:nvPicPr>
        <xdr:cNvPr id="11" name="Picture 10">
          <a:extLst>
            <a:ext uri="{FF2B5EF4-FFF2-40B4-BE49-F238E27FC236}">
              <a16:creationId xmlns="" xmlns:a16="http://schemas.microsoft.com/office/drawing/2014/main" id="{9C946D37-B77A-4F26-8FC3-BCC941810E2C}"/>
            </a:ext>
          </a:extLst>
        </xdr:cNvPr>
        <xdr:cNvPicPr>
          <a:picLocks noChangeAspect="1"/>
        </xdr:cNvPicPr>
      </xdr:nvPicPr>
      <xdr:blipFill>
        <a:blip xmlns:r="http://schemas.openxmlformats.org/officeDocument/2006/relationships" r:embed="rId4"/>
        <a:stretch>
          <a:fillRect/>
        </a:stretch>
      </xdr:blipFill>
      <xdr:spPr>
        <a:xfrm>
          <a:off x="163286" y="26646868"/>
          <a:ext cx="170703" cy="221490"/>
        </a:xfrm>
        <a:prstGeom prst="rect">
          <a:avLst/>
        </a:prstGeom>
      </xdr:spPr>
    </xdr:pic>
    <xdr:clientData/>
  </xdr:twoCellAnchor>
  <xdr:twoCellAnchor editAs="oneCell">
    <xdr:from>
      <xdr:col>0</xdr:col>
      <xdr:colOff>190500</xdr:colOff>
      <xdr:row>203</xdr:row>
      <xdr:rowOff>108857</xdr:rowOff>
    </xdr:from>
    <xdr:to>
      <xdr:col>1</xdr:col>
      <xdr:colOff>21024</xdr:colOff>
      <xdr:row>204</xdr:row>
      <xdr:rowOff>130322</xdr:rowOff>
    </xdr:to>
    <xdr:pic>
      <xdr:nvPicPr>
        <xdr:cNvPr id="12" name="Picture 11">
          <a:extLst>
            <a:ext uri="{FF2B5EF4-FFF2-40B4-BE49-F238E27FC236}">
              <a16:creationId xmlns="" xmlns:a16="http://schemas.microsoft.com/office/drawing/2014/main" id="{DDD128E0-E27B-4AFD-86EB-324E12F2845C}"/>
            </a:ext>
          </a:extLst>
        </xdr:cNvPr>
        <xdr:cNvPicPr>
          <a:picLocks noChangeAspect="1"/>
        </xdr:cNvPicPr>
      </xdr:nvPicPr>
      <xdr:blipFill>
        <a:blip xmlns:r="http://schemas.openxmlformats.org/officeDocument/2006/relationships" r:embed="rId4"/>
        <a:stretch>
          <a:fillRect/>
        </a:stretch>
      </xdr:blipFill>
      <xdr:spPr>
        <a:xfrm>
          <a:off x="190500" y="41361632"/>
          <a:ext cx="173424" cy="221490"/>
        </a:xfrm>
        <a:prstGeom prst="rect">
          <a:avLst/>
        </a:prstGeom>
      </xdr:spPr>
    </xdr:pic>
    <xdr:clientData/>
  </xdr:twoCellAnchor>
  <xdr:twoCellAnchor editAs="oneCell">
    <xdr:from>
      <xdr:col>0</xdr:col>
      <xdr:colOff>190500</xdr:colOff>
      <xdr:row>304</xdr:row>
      <xdr:rowOff>122464</xdr:rowOff>
    </xdr:from>
    <xdr:to>
      <xdr:col>1</xdr:col>
      <xdr:colOff>21024</xdr:colOff>
      <xdr:row>305</xdr:row>
      <xdr:rowOff>143929</xdr:rowOff>
    </xdr:to>
    <xdr:pic>
      <xdr:nvPicPr>
        <xdr:cNvPr id="13" name="Picture 12">
          <a:extLst>
            <a:ext uri="{FF2B5EF4-FFF2-40B4-BE49-F238E27FC236}">
              <a16:creationId xmlns="" xmlns:a16="http://schemas.microsoft.com/office/drawing/2014/main" id="{21FDF2AA-AE3D-44AA-B827-82632A2F8DA1}"/>
            </a:ext>
          </a:extLst>
        </xdr:cNvPr>
        <xdr:cNvPicPr>
          <a:picLocks noChangeAspect="1"/>
        </xdr:cNvPicPr>
      </xdr:nvPicPr>
      <xdr:blipFill>
        <a:blip xmlns:r="http://schemas.openxmlformats.org/officeDocument/2006/relationships" r:embed="rId4"/>
        <a:stretch>
          <a:fillRect/>
        </a:stretch>
      </xdr:blipFill>
      <xdr:spPr>
        <a:xfrm>
          <a:off x="190500" y="61701589"/>
          <a:ext cx="173424" cy="22149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18</xdr:col>
      <xdr:colOff>1095375</xdr:colOff>
      <xdr:row>304</xdr:row>
      <xdr:rowOff>123825</xdr:rowOff>
    </xdr:from>
    <xdr:to>
      <xdr:col>18</xdr:col>
      <xdr:colOff>1895475</xdr:colOff>
      <xdr:row>305</xdr:row>
      <xdr:rowOff>152400</xdr:rowOff>
    </xdr:to>
    <xdr:pic>
      <xdr:nvPicPr>
        <xdr:cNvPr id="2" name="Picture 1" descr="C:\WINDOWS\TEMP\~0003946.gif">
          <a:extLst>
            <a:ext uri="{FF2B5EF4-FFF2-40B4-BE49-F238E27FC236}">
              <a16:creationId xmlns="" xmlns:a16="http://schemas.microsoft.com/office/drawing/2014/main" id="{4842D886-A805-482F-9028-7A506667AE4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61702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3" name="Picture 2" descr="C:\WINDOWS\TEMP\~0003946.gif">
          <a:extLst>
            <a:ext uri="{FF2B5EF4-FFF2-40B4-BE49-F238E27FC236}">
              <a16:creationId xmlns="" xmlns:a16="http://schemas.microsoft.com/office/drawing/2014/main" id="{5855DCB6-A76B-4EB3-A324-84DBBEA96AC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414051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4" name="Picture 3" descr="C:\WINDOWS\TEMP\~0003946.gif">
          <a:extLst>
            <a:ext uri="{FF2B5EF4-FFF2-40B4-BE49-F238E27FC236}">
              <a16:creationId xmlns="" xmlns:a16="http://schemas.microsoft.com/office/drawing/2014/main" id="{24BA749D-439F-4EBA-BFB8-87497945221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6727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5" name="Picture 4" descr="C:\WINDOWS\TEMP\~0003946.gif">
          <a:extLst>
            <a:ext uri="{FF2B5EF4-FFF2-40B4-BE49-F238E27FC236}">
              <a16:creationId xmlns="" xmlns:a16="http://schemas.microsoft.com/office/drawing/2014/main" id="{9429B0B3-41C1-4824-B4AC-CC145B381AAE}"/>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18776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304</xdr:row>
      <xdr:rowOff>54429</xdr:rowOff>
    </xdr:from>
    <xdr:to>
      <xdr:col>18</xdr:col>
      <xdr:colOff>883997</xdr:colOff>
      <xdr:row>305</xdr:row>
      <xdr:rowOff>149052</xdr:rowOff>
    </xdr:to>
    <xdr:pic>
      <xdr:nvPicPr>
        <xdr:cNvPr id="6" name="Picture 5">
          <a:extLst>
            <a:ext uri="{FF2B5EF4-FFF2-40B4-BE49-F238E27FC236}">
              <a16:creationId xmlns="" xmlns:a16="http://schemas.microsoft.com/office/drawing/2014/main" id="{B561634A-91E7-47A1-91CF-33A00B760C55}"/>
            </a:ext>
          </a:extLst>
        </xdr:cNvPr>
        <xdr:cNvPicPr>
          <a:picLocks noChangeAspect="1"/>
        </xdr:cNvPicPr>
      </xdr:nvPicPr>
      <xdr:blipFill>
        <a:blip xmlns:r="http://schemas.openxmlformats.org/officeDocument/2006/relationships" r:embed="rId3"/>
        <a:stretch>
          <a:fillRect/>
        </a:stretch>
      </xdr:blipFill>
      <xdr:spPr>
        <a:xfrm>
          <a:off x="20021550" y="61633554"/>
          <a:ext cx="883997" cy="294648"/>
        </a:xfrm>
        <a:prstGeom prst="rect">
          <a:avLst/>
        </a:prstGeom>
      </xdr:spPr>
    </xdr:pic>
    <xdr:clientData/>
  </xdr:twoCellAnchor>
  <xdr:twoCellAnchor editAs="oneCell">
    <xdr:from>
      <xdr:col>18</xdr:col>
      <xdr:colOff>40822</xdr:colOff>
      <xdr:row>203</xdr:row>
      <xdr:rowOff>68035</xdr:rowOff>
    </xdr:from>
    <xdr:to>
      <xdr:col>18</xdr:col>
      <xdr:colOff>924819</xdr:colOff>
      <xdr:row>204</xdr:row>
      <xdr:rowOff>162658</xdr:rowOff>
    </xdr:to>
    <xdr:pic>
      <xdr:nvPicPr>
        <xdr:cNvPr id="7" name="Picture 6">
          <a:extLst>
            <a:ext uri="{FF2B5EF4-FFF2-40B4-BE49-F238E27FC236}">
              <a16:creationId xmlns="" xmlns:a16="http://schemas.microsoft.com/office/drawing/2014/main" id="{2CCFDA30-7E8E-45E4-A8A7-182ABF857683}"/>
            </a:ext>
          </a:extLst>
        </xdr:cNvPr>
        <xdr:cNvPicPr>
          <a:picLocks noChangeAspect="1"/>
        </xdr:cNvPicPr>
      </xdr:nvPicPr>
      <xdr:blipFill>
        <a:blip xmlns:r="http://schemas.openxmlformats.org/officeDocument/2006/relationships" r:embed="rId3"/>
        <a:stretch>
          <a:fillRect/>
        </a:stretch>
      </xdr:blipFill>
      <xdr:spPr>
        <a:xfrm>
          <a:off x="20062372" y="41320810"/>
          <a:ext cx="883997" cy="294648"/>
        </a:xfrm>
        <a:prstGeom prst="rect">
          <a:avLst/>
        </a:prstGeom>
      </xdr:spPr>
    </xdr:pic>
    <xdr:clientData/>
  </xdr:twoCellAnchor>
  <xdr:twoCellAnchor editAs="oneCell">
    <xdr:from>
      <xdr:col>18</xdr:col>
      <xdr:colOff>0</xdr:colOff>
      <xdr:row>130</xdr:row>
      <xdr:rowOff>0</xdr:rowOff>
    </xdr:from>
    <xdr:to>
      <xdr:col>18</xdr:col>
      <xdr:colOff>883997</xdr:colOff>
      <xdr:row>131</xdr:row>
      <xdr:rowOff>94623</xdr:rowOff>
    </xdr:to>
    <xdr:pic>
      <xdr:nvPicPr>
        <xdr:cNvPr id="8" name="Picture 7">
          <a:extLst>
            <a:ext uri="{FF2B5EF4-FFF2-40B4-BE49-F238E27FC236}">
              <a16:creationId xmlns="" xmlns:a16="http://schemas.microsoft.com/office/drawing/2014/main" id="{A8C7DB4B-8CA5-41F0-A838-C41D7B7CA4F3}"/>
            </a:ext>
          </a:extLst>
        </xdr:cNvPr>
        <xdr:cNvPicPr>
          <a:picLocks noChangeAspect="1"/>
        </xdr:cNvPicPr>
      </xdr:nvPicPr>
      <xdr:blipFill>
        <a:blip xmlns:r="http://schemas.openxmlformats.org/officeDocument/2006/relationships" r:embed="rId3"/>
        <a:stretch>
          <a:fillRect/>
        </a:stretch>
      </xdr:blipFill>
      <xdr:spPr>
        <a:xfrm>
          <a:off x="20021550" y="26565225"/>
          <a:ext cx="883997" cy="294648"/>
        </a:xfrm>
        <a:prstGeom prst="rect">
          <a:avLst/>
        </a:prstGeom>
      </xdr:spPr>
    </xdr:pic>
    <xdr:clientData/>
  </xdr:twoCellAnchor>
  <xdr:twoCellAnchor editAs="oneCell">
    <xdr:from>
      <xdr:col>18</xdr:col>
      <xdr:colOff>27214</xdr:colOff>
      <xdr:row>58</xdr:row>
      <xdr:rowOff>54429</xdr:rowOff>
    </xdr:from>
    <xdr:to>
      <xdr:col>18</xdr:col>
      <xdr:colOff>911211</xdr:colOff>
      <xdr:row>59</xdr:row>
      <xdr:rowOff>149051</xdr:rowOff>
    </xdr:to>
    <xdr:pic>
      <xdr:nvPicPr>
        <xdr:cNvPr id="9" name="Picture 8">
          <a:extLst>
            <a:ext uri="{FF2B5EF4-FFF2-40B4-BE49-F238E27FC236}">
              <a16:creationId xmlns="" xmlns:a16="http://schemas.microsoft.com/office/drawing/2014/main" id="{7F7726D7-0D4B-45F0-BBA4-AA9E1F592540}"/>
            </a:ext>
          </a:extLst>
        </xdr:cNvPr>
        <xdr:cNvPicPr>
          <a:picLocks noChangeAspect="1"/>
        </xdr:cNvPicPr>
      </xdr:nvPicPr>
      <xdr:blipFill>
        <a:blip xmlns:r="http://schemas.openxmlformats.org/officeDocument/2006/relationships" r:embed="rId3"/>
        <a:stretch>
          <a:fillRect/>
        </a:stretch>
      </xdr:blipFill>
      <xdr:spPr>
        <a:xfrm>
          <a:off x="20048764" y="11770179"/>
          <a:ext cx="883997" cy="294647"/>
        </a:xfrm>
        <a:prstGeom prst="rect">
          <a:avLst/>
        </a:prstGeom>
      </xdr:spPr>
    </xdr:pic>
    <xdr:clientData/>
  </xdr:twoCellAnchor>
  <xdr:twoCellAnchor editAs="oneCell">
    <xdr:from>
      <xdr:col>0</xdr:col>
      <xdr:colOff>190500</xdr:colOff>
      <xdr:row>58</xdr:row>
      <xdr:rowOff>68037</xdr:rowOff>
    </xdr:from>
    <xdr:to>
      <xdr:col>1</xdr:col>
      <xdr:colOff>21024</xdr:colOff>
      <xdr:row>59</xdr:row>
      <xdr:rowOff>89501</xdr:rowOff>
    </xdr:to>
    <xdr:pic>
      <xdr:nvPicPr>
        <xdr:cNvPr id="10" name="Picture 9">
          <a:extLst>
            <a:ext uri="{FF2B5EF4-FFF2-40B4-BE49-F238E27FC236}">
              <a16:creationId xmlns="" xmlns:a16="http://schemas.microsoft.com/office/drawing/2014/main" id="{0BAB9A4B-26C3-4C81-B2E2-7CA2DCA7F43D}"/>
            </a:ext>
          </a:extLst>
        </xdr:cNvPr>
        <xdr:cNvPicPr>
          <a:picLocks noChangeAspect="1"/>
        </xdr:cNvPicPr>
      </xdr:nvPicPr>
      <xdr:blipFill>
        <a:blip xmlns:r="http://schemas.openxmlformats.org/officeDocument/2006/relationships" r:embed="rId4"/>
        <a:stretch>
          <a:fillRect/>
        </a:stretch>
      </xdr:blipFill>
      <xdr:spPr>
        <a:xfrm>
          <a:off x="190500" y="11783787"/>
          <a:ext cx="173424" cy="221489"/>
        </a:xfrm>
        <a:prstGeom prst="rect">
          <a:avLst/>
        </a:prstGeom>
      </xdr:spPr>
    </xdr:pic>
    <xdr:clientData/>
  </xdr:twoCellAnchor>
  <xdr:twoCellAnchor editAs="oneCell">
    <xdr:from>
      <xdr:col>0</xdr:col>
      <xdr:colOff>163286</xdr:colOff>
      <xdr:row>130</xdr:row>
      <xdr:rowOff>81643</xdr:rowOff>
    </xdr:from>
    <xdr:to>
      <xdr:col>0</xdr:col>
      <xdr:colOff>333989</xdr:colOff>
      <xdr:row>131</xdr:row>
      <xdr:rowOff>103108</xdr:rowOff>
    </xdr:to>
    <xdr:pic>
      <xdr:nvPicPr>
        <xdr:cNvPr id="11" name="Picture 10">
          <a:extLst>
            <a:ext uri="{FF2B5EF4-FFF2-40B4-BE49-F238E27FC236}">
              <a16:creationId xmlns="" xmlns:a16="http://schemas.microsoft.com/office/drawing/2014/main" id="{AF32C145-4738-4FD3-8305-0C88B17DB29C}"/>
            </a:ext>
          </a:extLst>
        </xdr:cNvPr>
        <xdr:cNvPicPr>
          <a:picLocks noChangeAspect="1"/>
        </xdr:cNvPicPr>
      </xdr:nvPicPr>
      <xdr:blipFill>
        <a:blip xmlns:r="http://schemas.openxmlformats.org/officeDocument/2006/relationships" r:embed="rId4"/>
        <a:stretch>
          <a:fillRect/>
        </a:stretch>
      </xdr:blipFill>
      <xdr:spPr>
        <a:xfrm>
          <a:off x="163286" y="26646868"/>
          <a:ext cx="170703" cy="221490"/>
        </a:xfrm>
        <a:prstGeom prst="rect">
          <a:avLst/>
        </a:prstGeom>
      </xdr:spPr>
    </xdr:pic>
    <xdr:clientData/>
  </xdr:twoCellAnchor>
  <xdr:twoCellAnchor editAs="oneCell">
    <xdr:from>
      <xdr:col>0</xdr:col>
      <xdr:colOff>190500</xdr:colOff>
      <xdr:row>203</xdr:row>
      <xdr:rowOff>108857</xdr:rowOff>
    </xdr:from>
    <xdr:to>
      <xdr:col>1</xdr:col>
      <xdr:colOff>21024</xdr:colOff>
      <xdr:row>204</xdr:row>
      <xdr:rowOff>130322</xdr:rowOff>
    </xdr:to>
    <xdr:pic>
      <xdr:nvPicPr>
        <xdr:cNvPr id="12" name="Picture 11">
          <a:extLst>
            <a:ext uri="{FF2B5EF4-FFF2-40B4-BE49-F238E27FC236}">
              <a16:creationId xmlns="" xmlns:a16="http://schemas.microsoft.com/office/drawing/2014/main" id="{E87AD78B-317B-4BC3-811E-59FC67F67946}"/>
            </a:ext>
          </a:extLst>
        </xdr:cNvPr>
        <xdr:cNvPicPr>
          <a:picLocks noChangeAspect="1"/>
        </xdr:cNvPicPr>
      </xdr:nvPicPr>
      <xdr:blipFill>
        <a:blip xmlns:r="http://schemas.openxmlformats.org/officeDocument/2006/relationships" r:embed="rId4"/>
        <a:stretch>
          <a:fillRect/>
        </a:stretch>
      </xdr:blipFill>
      <xdr:spPr>
        <a:xfrm>
          <a:off x="190500" y="41361632"/>
          <a:ext cx="173424" cy="221490"/>
        </a:xfrm>
        <a:prstGeom prst="rect">
          <a:avLst/>
        </a:prstGeom>
      </xdr:spPr>
    </xdr:pic>
    <xdr:clientData/>
  </xdr:twoCellAnchor>
  <xdr:twoCellAnchor editAs="oneCell">
    <xdr:from>
      <xdr:col>0</xdr:col>
      <xdr:colOff>190500</xdr:colOff>
      <xdr:row>304</xdr:row>
      <xdr:rowOff>122464</xdr:rowOff>
    </xdr:from>
    <xdr:to>
      <xdr:col>1</xdr:col>
      <xdr:colOff>21024</xdr:colOff>
      <xdr:row>305</xdr:row>
      <xdr:rowOff>143929</xdr:rowOff>
    </xdr:to>
    <xdr:pic>
      <xdr:nvPicPr>
        <xdr:cNvPr id="13" name="Picture 12">
          <a:extLst>
            <a:ext uri="{FF2B5EF4-FFF2-40B4-BE49-F238E27FC236}">
              <a16:creationId xmlns="" xmlns:a16="http://schemas.microsoft.com/office/drawing/2014/main" id="{DE80D832-46A8-4A0C-8E53-4023D2387A26}"/>
            </a:ext>
          </a:extLst>
        </xdr:cNvPr>
        <xdr:cNvPicPr>
          <a:picLocks noChangeAspect="1"/>
        </xdr:cNvPicPr>
      </xdr:nvPicPr>
      <xdr:blipFill>
        <a:blip xmlns:r="http://schemas.openxmlformats.org/officeDocument/2006/relationships" r:embed="rId4"/>
        <a:stretch>
          <a:fillRect/>
        </a:stretch>
      </xdr:blipFill>
      <xdr:spPr>
        <a:xfrm>
          <a:off x="190500" y="61701589"/>
          <a:ext cx="173424" cy="22149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18</xdr:col>
      <xdr:colOff>1095375</xdr:colOff>
      <xdr:row>306</xdr:row>
      <xdr:rowOff>123825</xdr:rowOff>
    </xdr:from>
    <xdr:to>
      <xdr:col>18</xdr:col>
      <xdr:colOff>1895475</xdr:colOff>
      <xdr:row>307</xdr:row>
      <xdr:rowOff>152400</xdr:rowOff>
    </xdr:to>
    <xdr:pic>
      <xdr:nvPicPr>
        <xdr:cNvPr id="2" name="Picture 1" descr="C:\WINDOWS\TEMP\~0003946.gif">
          <a:extLst>
            <a:ext uri="{FF2B5EF4-FFF2-40B4-BE49-F238E27FC236}">
              <a16:creationId xmlns="" xmlns:a16="http://schemas.microsoft.com/office/drawing/2014/main" id="{ACF24072-CF65-4B7E-8FAB-E50D3A307466}"/>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61702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205</xdr:row>
      <xdr:rowOff>152400</xdr:rowOff>
    </xdr:from>
    <xdr:to>
      <xdr:col>18</xdr:col>
      <xdr:colOff>1924050</xdr:colOff>
      <xdr:row>206</xdr:row>
      <xdr:rowOff>180975</xdr:rowOff>
    </xdr:to>
    <xdr:pic>
      <xdr:nvPicPr>
        <xdr:cNvPr id="3" name="Picture 2" descr="C:\WINDOWS\TEMP\~0003946.gif">
          <a:extLst>
            <a:ext uri="{FF2B5EF4-FFF2-40B4-BE49-F238E27FC236}">
              <a16:creationId xmlns="" xmlns:a16="http://schemas.microsoft.com/office/drawing/2014/main" id="{6B2422F5-778D-4623-8952-0EA7E8078C5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414051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131</xdr:row>
      <xdr:rowOff>161925</xdr:rowOff>
    </xdr:from>
    <xdr:to>
      <xdr:col>18</xdr:col>
      <xdr:colOff>1952625</xdr:colOff>
      <xdr:row>132</xdr:row>
      <xdr:rowOff>190500</xdr:rowOff>
    </xdr:to>
    <xdr:pic>
      <xdr:nvPicPr>
        <xdr:cNvPr id="4" name="Picture 3" descr="C:\WINDOWS\TEMP\~0003946.gif">
          <a:extLst>
            <a:ext uri="{FF2B5EF4-FFF2-40B4-BE49-F238E27FC236}">
              <a16:creationId xmlns="" xmlns:a16="http://schemas.microsoft.com/office/drawing/2014/main" id="{F85620F4-EA35-4C1D-98E1-85F82BE80BB4}"/>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6727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5" name="Picture 4" descr="C:\WINDOWS\TEMP\~0003946.gif">
          <a:extLst>
            <a:ext uri="{FF2B5EF4-FFF2-40B4-BE49-F238E27FC236}">
              <a16:creationId xmlns="" xmlns:a16="http://schemas.microsoft.com/office/drawing/2014/main" id="{C3A83649-BE0E-4EBA-B511-BBCC0E677CB8}"/>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18776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306</xdr:row>
      <xdr:rowOff>54429</xdr:rowOff>
    </xdr:from>
    <xdr:to>
      <xdr:col>18</xdr:col>
      <xdr:colOff>883997</xdr:colOff>
      <xdr:row>307</xdr:row>
      <xdr:rowOff>142702</xdr:rowOff>
    </xdr:to>
    <xdr:pic>
      <xdr:nvPicPr>
        <xdr:cNvPr id="6" name="Picture 5">
          <a:extLst>
            <a:ext uri="{FF2B5EF4-FFF2-40B4-BE49-F238E27FC236}">
              <a16:creationId xmlns="" xmlns:a16="http://schemas.microsoft.com/office/drawing/2014/main" id="{A3D4B081-900F-4398-9CF7-DEC434CA0C61}"/>
            </a:ext>
          </a:extLst>
        </xdr:cNvPr>
        <xdr:cNvPicPr>
          <a:picLocks noChangeAspect="1"/>
        </xdr:cNvPicPr>
      </xdr:nvPicPr>
      <xdr:blipFill>
        <a:blip xmlns:r="http://schemas.openxmlformats.org/officeDocument/2006/relationships" r:embed="rId3"/>
        <a:stretch>
          <a:fillRect/>
        </a:stretch>
      </xdr:blipFill>
      <xdr:spPr>
        <a:xfrm>
          <a:off x="20021550" y="61633554"/>
          <a:ext cx="883997" cy="294648"/>
        </a:xfrm>
        <a:prstGeom prst="rect">
          <a:avLst/>
        </a:prstGeom>
      </xdr:spPr>
    </xdr:pic>
    <xdr:clientData/>
  </xdr:twoCellAnchor>
  <xdr:twoCellAnchor editAs="oneCell">
    <xdr:from>
      <xdr:col>18</xdr:col>
      <xdr:colOff>40822</xdr:colOff>
      <xdr:row>205</xdr:row>
      <xdr:rowOff>68035</xdr:rowOff>
    </xdr:from>
    <xdr:to>
      <xdr:col>18</xdr:col>
      <xdr:colOff>924819</xdr:colOff>
      <xdr:row>206</xdr:row>
      <xdr:rowOff>162659</xdr:rowOff>
    </xdr:to>
    <xdr:pic>
      <xdr:nvPicPr>
        <xdr:cNvPr id="7" name="Picture 6">
          <a:extLst>
            <a:ext uri="{FF2B5EF4-FFF2-40B4-BE49-F238E27FC236}">
              <a16:creationId xmlns="" xmlns:a16="http://schemas.microsoft.com/office/drawing/2014/main" id="{66B8A5D7-3A4E-4339-8911-6533BC1A46E0}"/>
            </a:ext>
          </a:extLst>
        </xdr:cNvPr>
        <xdr:cNvPicPr>
          <a:picLocks noChangeAspect="1"/>
        </xdr:cNvPicPr>
      </xdr:nvPicPr>
      <xdr:blipFill>
        <a:blip xmlns:r="http://schemas.openxmlformats.org/officeDocument/2006/relationships" r:embed="rId3"/>
        <a:stretch>
          <a:fillRect/>
        </a:stretch>
      </xdr:blipFill>
      <xdr:spPr>
        <a:xfrm>
          <a:off x="20062372" y="41320810"/>
          <a:ext cx="883997" cy="294648"/>
        </a:xfrm>
        <a:prstGeom prst="rect">
          <a:avLst/>
        </a:prstGeom>
      </xdr:spPr>
    </xdr:pic>
    <xdr:clientData/>
  </xdr:twoCellAnchor>
  <xdr:twoCellAnchor editAs="oneCell">
    <xdr:from>
      <xdr:col>18</xdr:col>
      <xdr:colOff>0</xdr:colOff>
      <xdr:row>131</xdr:row>
      <xdr:rowOff>0</xdr:rowOff>
    </xdr:from>
    <xdr:to>
      <xdr:col>18</xdr:col>
      <xdr:colOff>883997</xdr:colOff>
      <xdr:row>132</xdr:row>
      <xdr:rowOff>94623</xdr:rowOff>
    </xdr:to>
    <xdr:pic>
      <xdr:nvPicPr>
        <xdr:cNvPr id="8" name="Picture 7">
          <a:extLst>
            <a:ext uri="{FF2B5EF4-FFF2-40B4-BE49-F238E27FC236}">
              <a16:creationId xmlns="" xmlns:a16="http://schemas.microsoft.com/office/drawing/2014/main" id="{73E2500C-4443-4548-B7FD-C728EE835B73}"/>
            </a:ext>
          </a:extLst>
        </xdr:cNvPr>
        <xdr:cNvPicPr>
          <a:picLocks noChangeAspect="1"/>
        </xdr:cNvPicPr>
      </xdr:nvPicPr>
      <xdr:blipFill>
        <a:blip xmlns:r="http://schemas.openxmlformats.org/officeDocument/2006/relationships" r:embed="rId3"/>
        <a:stretch>
          <a:fillRect/>
        </a:stretch>
      </xdr:blipFill>
      <xdr:spPr>
        <a:xfrm>
          <a:off x="20021550" y="26565225"/>
          <a:ext cx="883997" cy="294648"/>
        </a:xfrm>
        <a:prstGeom prst="rect">
          <a:avLst/>
        </a:prstGeom>
      </xdr:spPr>
    </xdr:pic>
    <xdr:clientData/>
  </xdr:twoCellAnchor>
  <xdr:twoCellAnchor editAs="oneCell">
    <xdr:from>
      <xdr:col>18</xdr:col>
      <xdr:colOff>27214</xdr:colOff>
      <xdr:row>58</xdr:row>
      <xdr:rowOff>54429</xdr:rowOff>
    </xdr:from>
    <xdr:to>
      <xdr:col>18</xdr:col>
      <xdr:colOff>904861</xdr:colOff>
      <xdr:row>59</xdr:row>
      <xdr:rowOff>142701</xdr:rowOff>
    </xdr:to>
    <xdr:pic>
      <xdr:nvPicPr>
        <xdr:cNvPr id="9" name="Picture 8">
          <a:extLst>
            <a:ext uri="{FF2B5EF4-FFF2-40B4-BE49-F238E27FC236}">
              <a16:creationId xmlns="" xmlns:a16="http://schemas.microsoft.com/office/drawing/2014/main" id="{27B19ABA-875C-4253-AC05-03886F803DFB}"/>
            </a:ext>
          </a:extLst>
        </xdr:cNvPr>
        <xdr:cNvPicPr>
          <a:picLocks noChangeAspect="1"/>
        </xdr:cNvPicPr>
      </xdr:nvPicPr>
      <xdr:blipFill>
        <a:blip xmlns:r="http://schemas.openxmlformats.org/officeDocument/2006/relationships" r:embed="rId3"/>
        <a:stretch>
          <a:fillRect/>
        </a:stretch>
      </xdr:blipFill>
      <xdr:spPr>
        <a:xfrm>
          <a:off x="20048764" y="11770179"/>
          <a:ext cx="883997" cy="294647"/>
        </a:xfrm>
        <a:prstGeom prst="rect">
          <a:avLst/>
        </a:prstGeom>
      </xdr:spPr>
    </xdr:pic>
    <xdr:clientData/>
  </xdr:twoCellAnchor>
  <xdr:twoCellAnchor editAs="oneCell">
    <xdr:from>
      <xdr:col>0</xdr:col>
      <xdr:colOff>190500</xdr:colOff>
      <xdr:row>58</xdr:row>
      <xdr:rowOff>68037</xdr:rowOff>
    </xdr:from>
    <xdr:to>
      <xdr:col>1</xdr:col>
      <xdr:colOff>21024</xdr:colOff>
      <xdr:row>59</xdr:row>
      <xdr:rowOff>83151</xdr:rowOff>
    </xdr:to>
    <xdr:pic>
      <xdr:nvPicPr>
        <xdr:cNvPr id="10" name="Picture 9">
          <a:extLst>
            <a:ext uri="{FF2B5EF4-FFF2-40B4-BE49-F238E27FC236}">
              <a16:creationId xmlns="" xmlns:a16="http://schemas.microsoft.com/office/drawing/2014/main" id="{D798198D-7BD1-4BB1-AAC8-0375C7271973}"/>
            </a:ext>
          </a:extLst>
        </xdr:cNvPr>
        <xdr:cNvPicPr>
          <a:picLocks noChangeAspect="1"/>
        </xdr:cNvPicPr>
      </xdr:nvPicPr>
      <xdr:blipFill>
        <a:blip xmlns:r="http://schemas.openxmlformats.org/officeDocument/2006/relationships" r:embed="rId4"/>
        <a:stretch>
          <a:fillRect/>
        </a:stretch>
      </xdr:blipFill>
      <xdr:spPr>
        <a:xfrm>
          <a:off x="190500" y="11783787"/>
          <a:ext cx="173424" cy="221489"/>
        </a:xfrm>
        <a:prstGeom prst="rect">
          <a:avLst/>
        </a:prstGeom>
      </xdr:spPr>
    </xdr:pic>
    <xdr:clientData/>
  </xdr:twoCellAnchor>
  <xdr:twoCellAnchor editAs="oneCell">
    <xdr:from>
      <xdr:col>0</xdr:col>
      <xdr:colOff>163286</xdr:colOff>
      <xdr:row>131</xdr:row>
      <xdr:rowOff>81643</xdr:rowOff>
    </xdr:from>
    <xdr:to>
      <xdr:col>0</xdr:col>
      <xdr:colOff>333989</xdr:colOff>
      <xdr:row>132</xdr:row>
      <xdr:rowOff>103108</xdr:rowOff>
    </xdr:to>
    <xdr:pic>
      <xdr:nvPicPr>
        <xdr:cNvPr id="11" name="Picture 10">
          <a:extLst>
            <a:ext uri="{FF2B5EF4-FFF2-40B4-BE49-F238E27FC236}">
              <a16:creationId xmlns="" xmlns:a16="http://schemas.microsoft.com/office/drawing/2014/main" id="{1F02E8E4-45F2-4D19-B1CC-63ED0233AC31}"/>
            </a:ext>
          </a:extLst>
        </xdr:cNvPr>
        <xdr:cNvPicPr>
          <a:picLocks noChangeAspect="1"/>
        </xdr:cNvPicPr>
      </xdr:nvPicPr>
      <xdr:blipFill>
        <a:blip xmlns:r="http://schemas.openxmlformats.org/officeDocument/2006/relationships" r:embed="rId4"/>
        <a:stretch>
          <a:fillRect/>
        </a:stretch>
      </xdr:blipFill>
      <xdr:spPr>
        <a:xfrm>
          <a:off x="163286" y="26646868"/>
          <a:ext cx="170703" cy="221490"/>
        </a:xfrm>
        <a:prstGeom prst="rect">
          <a:avLst/>
        </a:prstGeom>
      </xdr:spPr>
    </xdr:pic>
    <xdr:clientData/>
  </xdr:twoCellAnchor>
  <xdr:twoCellAnchor editAs="oneCell">
    <xdr:from>
      <xdr:col>0</xdr:col>
      <xdr:colOff>190500</xdr:colOff>
      <xdr:row>205</xdr:row>
      <xdr:rowOff>108857</xdr:rowOff>
    </xdr:from>
    <xdr:to>
      <xdr:col>1</xdr:col>
      <xdr:colOff>21024</xdr:colOff>
      <xdr:row>206</xdr:row>
      <xdr:rowOff>130323</xdr:rowOff>
    </xdr:to>
    <xdr:pic>
      <xdr:nvPicPr>
        <xdr:cNvPr id="12" name="Picture 11">
          <a:extLst>
            <a:ext uri="{FF2B5EF4-FFF2-40B4-BE49-F238E27FC236}">
              <a16:creationId xmlns="" xmlns:a16="http://schemas.microsoft.com/office/drawing/2014/main" id="{F8D5A914-678D-49B6-B76D-22AF6B780D3F}"/>
            </a:ext>
          </a:extLst>
        </xdr:cNvPr>
        <xdr:cNvPicPr>
          <a:picLocks noChangeAspect="1"/>
        </xdr:cNvPicPr>
      </xdr:nvPicPr>
      <xdr:blipFill>
        <a:blip xmlns:r="http://schemas.openxmlformats.org/officeDocument/2006/relationships" r:embed="rId4"/>
        <a:stretch>
          <a:fillRect/>
        </a:stretch>
      </xdr:blipFill>
      <xdr:spPr>
        <a:xfrm>
          <a:off x="190500" y="41361632"/>
          <a:ext cx="173424" cy="221490"/>
        </a:xfrm>
        <a:prstGeom prst="rect">
          <a:avLst/>
        </a:prstGeom>
      </xdr:spPr>
    </xdr:pic>
    <xdr:clientData/>
  </xdr:twoCellAnchor>
  <xdr:twoCellAnchor editAs="oneCell">
    <xdr:from>
      <xdr:col>0</xdr:col>
      <xdr:colOff>190500</xdr:colOff>
      <xdr:row>306</xdr:row>
      <xdr:rowOff>122464</xdr:rowOff>
    </xdr:from>
    <xdr:to>
      <xdr:col>1</xdr:col>
      <xdr:colOff>21024</xdr:colOff>
      <xdr:row>307</xdr:row>
      <xdr:rowOff>143929</xdr:rowOff>
    </xdr:to>
    <xdr:pic>
      <xdr:nvPicPr>
        <xdr:cNvPr id="13" name="Picture 12">
          <a:extLst>
            <a:ext uri="{FF2B5EF4-FFF2-40B4-BE49-F238E27FC236}">
              <a16:creationId xmlns="" xmlns:a16="http://schemas.microsoft.com/office/drawing/2014/main" id="{B648A74D-37E0-4A92-A9B0-79035C61826A}"/>
            </a:ext>
          </a:extLst>
        </xdr:cNvPr>
        <xdr:cNvPicPr>
          <a:picLocks noChangeAspect="1"/>
        </xdr:cNvPicPr>
      </xdr:nvPicPr>
      <xdr:blipFill>
        <a:blip xmlns:r="http://schemas.openxmlformats.org/officeDocument/2006/relationships" r:embed="rId4"/>
        <a:stretch>
          <a:fillRect/>
        </a:stretch>
      </xdr:blipFill>
      <xdr:spPr>
        <a:xfrm>
          <a:off x="190500" y="61701589"/>
          <a:ext cx="173424" cy="2214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58</xdr:row>
      <xdr:rowOff>190500</xdr:rowOff>
    </xdr:from>
    <xdr:to>
      <xdr:col>1</xdr:col>
      <xdr:colOff>0</xdr:colOff>
      <xdr:row>59</xdr:row>
      <xdr:rowOff>228600</xdr:rowOff>
    </xdr:to>
    <xdr:pic>
      <xdr:nvPicPr>
        <xdr:cNvPr id="2" name="Picture 1" descr="C:\WINDOWS\TEMP\Symbol.gif">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18967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130</xdr:row>
      <xdr:rowOff>161925</xdr:rowOff>
    </xdr:from>
    <xdr:to>
      <xdr:col>1</xdr:col>
      <xdr:colOff>28575</xdr:colOff>
      <xdr:row>131</xdr:row>
      <xdr:rowOff>200025</xdr:rowOff>
    </xdr:to>
    <xdr:pic>
      <xdr:nvPicPr>
        <xdr:cNvPr id="3" name="Picture 2" descr="C:\WINDOWS\TEMP\Symbol.gif">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71176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202</xdr:row>
      <xdr:rowOff>171450</xdr:rowOff>
    </xdr:from>
    <xdr:to>
      <xdr:col>1</xdr:col>
      <xdr:colOff>47625</xdr:colOff>
      <xdr:row>203</xdr:row>
      <xdr:rowOff>209550</xdr:rowOff>
    </xdr:to>
    <xdr:pic>
      <xdr:nvPicPr>
        <xdr:cNvPr id="4" name="Picture 3" descr="C:\WINDOWS\TEMP\Symbol.gif">
          <a:extLst>
            <a:ext uri="{FF2B5EF4-FFF2-40B4-BE49-F238E27FC236}">
              <a16:creationId xmlns=""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416147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304</xdr:row>
      <xdr:rowOff>161925</xdr:rowOff>
    </xdr:from>
    <xdr:to>
      <xdr:col>1</xdr:col>
      <xdr:colOff>19050</xdr:colOff>
      <xdr:row>305</xdr:row>
      <xdr:rowOff>200025</xdr:rowOff>
    </xdr:to>
    <xdr:pic>
      <xdr:nvPicPr>
        <xdr:cNvPr id="5" name="Picture 4" descr="C:\WINDOWS\TEMP\Symbol.gif">
          <a:extLst>
            <a:ext uri="{FF2B5EF4-FFF2-40B4-BE49-F238E27FC236}">
              <a16:creationId xmlns=""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213157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304</xdr:row>
      <xdr:rowOff>123825</xdr:rowOff>
    </xdr:from>
    <xdr:to>
      <xdr:col>18</xdr:col>
      <xdr:colOff>1895475</xdr:colOff>
      <xdr:row>305</xdr:row>
      <xdr:rowOff>152400</xdr:rowOff>
    </xdr:to>
    <xdr:pic>
      <xdr:nvPicPr>
        <xdr:cNvPr id="6" name="Picture 5" descr="C:\WINDOWS\TEMP\~0003946.gif">
          <a:extLst>
            <a:ext uri="{FF2B5EF4-FFF2-40B4-BE49-F238E27FC236}">
              <a16:creationId xmlns=""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20934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202</xdr:row>
      <xdr:rowOff>152400</xdr:rowOff>
    </xdr:from>
    <xdr:to>
      <xdr:col>18</xdr:col>
      <xdr:colOff>1924050</xdr:colOff>
      <xdr:row>203</xdr:row>
      <xdr:rowOff>180975</xdr:rowOff>
    </xdr:to>
    <xdr:pic>
      <xdr:nvPicPr>
        <xdr:cNvPr id="7" name="Picture 6" descr="C:\WINDOWS\TEMP\~0003946.gif">
          <a:extLst>
            <a:ext uri="{FF2B5EF4-FFF2-40B4-BE49-F238E27FC236}">
              <a16:creationId xmlns=""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415956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8" name="Picture 7" descr="C:\WINDOWS\TEMP\~0003946.gif">
          <a:extLst>
            <a:ext uri="{FF2B5EF4-FFF2-40B4-BE49-F238E27FC236}">
              <a16:creationId xmlns=""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71176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9" name="Picture 8" descr="C:\WINDOWS\TEMP\~0003946.gif">
          <a:extLst>
            <a:ext uri="{FF2B5EF4-FFF2-40B4-BE49-F238E27FC236}">
              <a16:creationId xmlns=""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1868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58</xdr:row>
      <xdr:rowOff>123825</xdr:rowOff>
    </xdr:from>
    <xdr:to>
      <xdr:col>18</xdr:col>
      <xdr:colOff>885825</xdr:colOff>
      <xdr:row>59</xdr:row>
      <xdr:rowOff>152400</xdr:rowOff>
    </xdr:to>
    <xdr:pic>
      <xdr:nvPicPr>
        <xdr:cNvPr id="10" name="Picture 9" descr="C:\WINDOWS\TEMP\~0003946.gif">
          <a:extLst>
            <a:ext uri="{FF2B5EF4-FFF2-40B4-BE49-F238E27FC236}">
              <a16:creationId xmlns=""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1830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130</xdr:row>
      <xdr:rowOff>123825</xdr:rowOff>
    </xdr:from>
    <xdr:to>
      <xdr:col>18</xdr:col>
      <xdr:colOff>895350</xdr:colOff>
      <xdr:row>131</xdr:row>
      <xdr:rowOff>152400</xdr:rowOff>
    </xdr:to>
    <xdr:pic>
      <xdr:nvPicPr>
        <xdr:cNvPr id="11" name="Picture 10" descr="C:\WINDOWS\TEMP\~0003946.gif">
          <a:extLst>
            <a:ext uri="{FF2B5EF4-FFF2-40B4-BE49-F238E27FC236}">
              <a16:creationId xmlns=""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70795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202</xdr:row>
      <xdr:rowOff>104775</xdr:rowOff>
    </xdr:from>
    <xdr:to>
      <xdr:col>18</xdr:col>
      <xdr:colOff>809625</xdr:colOff>
      <xdr:row>203</xdr:row>
      <xdr:rowOff>133350</xdr:rowOff>
    </xdr:to>
    <xdr:pic>
      <xdr:nvPicPr>
        <xdr:cNvPr id="12" name="Picture 11" descr="C:\WINDOWS\TEMP\~0003946.gif">
          <a:extLst>
            <a:ext uri="{FF2B5EF4-FFF2-40B4-BE49-F238E27FC236}">
              <a16:creationId xmlns=""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41548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304</xdr:row>
      <xdr:rowOff>104775</xdr:rowOff>
    </xdr:from>
    <xdr:to>
      <xdr:col>18</xdr:col>
      <xdr:colOff>895350</xdr:colOff>
      <xdr:row>305</xdr:row>
      <xdr:rowOff>133350</xdr:rowOff>
    </xdr:to>
    <xdr:pic>
      <xdr:nvPicPr>
        <xdr:cNvPr id="13" name="Picture 12" descr="C:\WINDOWS\TEMP\~0003946.gif">
          <a:extLst>
            <a:ext uri="{FF2B5EF4-FFF2-40B4-BE49-F238E27FC236}">
              <a16:creationId xmlns=""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20744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58</xdr:row>
      <xdr:rowOff>190500</xdr:rowOff>
    </xdr:from>
    <xdr:to>
      <xdr:col>1</xdr:col>
      <xdr:colOff>0</xdr:colOff>
      <xdr:row>59</xdr:row>
      <xdr:rowOff>228600</xdr:rowOff>
    </xdr:to>
    <xdr:pic>
      <xdr:nvPicPr>
        <xdr:cNvPr id="2" name="Picture 1" descr="C:\WINDOWS\TEMP\Symbol.gif">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18967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130</xdr:row>
      <xdr:rowOff>161925</xdr:rowOff>
    </xdr:from>
    <xdr:to>
      <xdr:col>1</xdr:col>
      <xdr:colOff>28575</xdr:colOff>
      <xdr:row>131</xdr:row>
      <xdr:rowOff>200025</xdr:rowOff>
    </xdr:to>
    <xdr:pic>
      <xdr:nvPicPr>
        <xdr:cNvPr id="3" name="Picture 2" descr="C:\WINDOWS\TEMP\Symbol.gif">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71176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202</xdr:row>
      <xdr:rowOff>171450</xdr:rowOff>
    </xdr:from>
    <xdr:to>
      <xdr:col>1</xdr:col>
      <xdr:colOff>47625</xdr:colOff>
      <xdr:row>203</xdr:row>
      <xdr:rowOff>209550</xdr:rowOff>
    </xdr:to>
    <xdr:pic>
      <xdr:nvPicPr>
        <xdr:cNvPr id="4" name="Picture 3" descr="C:\WINDOWS\TEMP\Symbol.gif">
          <a:extLst>
            <a:ext uri="{FF2B5EF4-FFF2-40B4-BE49-F238E27FC236}">
              <a16:creationId xmlns=""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416147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304</xdr:row>
      <xdr:rowOff>161925</xdr:rowOff>
    </xdr:from>
    <xdr:to>
      <xdr:col>1</xdr:col>
      <xdr:colOff>19050</xdr:colOff>
      <xdr:row>305</xdr:row>
      <xdr:rowOff>200025</xdr:rowOff>
    </xdr:to>
    <xdr:pic>
      <xdr:nvPicPr>
        <xdr:cNvPr id="5" name="Picture 4" descr="C:\WINDOWS\TEMP\Symbol.gif">
          <a:extLst>
            <a:ext uri="{FF2B5EF4-FFF2-40B4-BE49-F238E27FC236}">
              <a16:creationId xmlns=""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213157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304</xdr:row>
      <xdr:rowOff>123825</xdr:rowOff>
    </xdr:from>
    <xdr:to>
      <xdr:col>18</xdr:col>
      <xdr:colOff>1895475</xdr:colOff>
      <xdr:row>305</xdr:row>
      <xdr:rowOff>152400</xdr:rowOff>
    </xdr:to>
    <xdr:pic>
      <xdr:nvPicPr>
        <xdr:cNvPr id="6" name="Picture 5" descr="C:\WINDOWS\TEMP\~0003946.gif">
          <a:extLst>
            <a:ext uri="{FF2B5EF4-FFF2-40B4-BE49-F238E27FC236}">
              <a16:creationId xmlns=""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20934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202</xdr:row>
      <xdr:rowOff>152400</xdr:rowOff>
    </xdr:from>
    <xdr:to>
      <xdr:col>18</xdr:col>
      <xdr:colOff>1924050</xdr:colOff>
      <xdr:row>203</xdr:row>
      <xdr:rowOff>180975</xdr:rowOff>
    </xdr:to>
    <xdr:pic>
      <xdr:nvPicPr>
        <xdr:cNvPr id="7" name="Picture 6" descr="C:\WINDOWS\TEMP\~0003946.gif">
          <a:extLst>
            <a:ext uri="{FF2B5EF4-FFF2-40B4-BE49-F238E27FC236}">
              <a16:creationId xmlns=""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415956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8" name="Picture 7" descr="C:\WINDOWS\TEMP\~0003946.gif">
          <a:extLst>
            <a:ext uri="{FF2B5EF4-FFF2-40B4-BE49-F238E27FC236}">
              <a16:creationId xmlns=""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71176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9" name="Picture 8" descr="C:\WINDOWS\TEMP\~0003946.gif">
          <a:extLst>
            <a:ext uri="{FF2B5EF4-FFF2-40B4-BE49-F238E27FC236}">
              <a16:creationId xmlns=""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1868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58</xdr:row>
      <xdr:rowOff>123825</xdr:rowOff>
    </xdr:from>
    <xdr:to>
      <xdr:col>18</xdr:col>
      <xdr:colOff>885825</xdr:colOff>
      <xdr:row>59</xdr:row>
      <xdr:rowOff>152400</xdr:rowOff>
    </xdr:to>
    <xdr:pic>
      <xdr:nvPicPr>
        <xdr:cNvPr id="10" name="Picture 9" descr="C:\WINDOWS\TEMP\~0003946.gif">
          <a:extLst>
            <a:ext uri="{FF2B5EF4-FFF2-40B4-BE49-F238E27FC236}">
              <a16:creationId xmlns=""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1830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130</xdr:row>
      <xdr:rowOff>123825</xdr:rowOff>
    </xdr:from>
    <xdr:to>
      <xdr:col>18</xdr:col>
      <xdr:colOff>895350</xdr:colOff>
      <xdr:row>131</xdr:row>
      <xdr:rowOff>152400</xdr:rowOff>
    </xdr:to>
    <xdr:pic>
      <xdr:nvPicPr>
        <xdr:cNvPr id="11" name="Picture 10" descr="C:\WINDOWS\TEMP\~0003946.gif">
          <a:extLst>
            <a:ext uri="{FF2B5EF4-FFF2-40B4-BE49-F238E27FC236}">
              <a16:creationId xmlns=""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70795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202</xdr:row>
      <xdr:rowOff>104775</xdr:rowOff>
    </xdr:from>
    <xdr:to>
      <xdr:col>18</xdr:col>
      <xdr:colOff>809625</xdr:colOff>
      <xdr:row>203</xdr:row>
      <xdr:rowOff>133350</xdr:rowOff>
    </xdr:to>
    <xdr:pic>
      <xdr:nvPicPr>
        <xdr:cNvPr id="12" name="Picture 11" descr="C:\WINDOWS\TEMP\~0003946.gif">
          <a:extLst>
            <a:ext uri="{FF2B5EF4-FFF2-40B4-BE49-F238E27FC236}">
              <a16:creationId xmlns=""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41548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304</xdr:row>
      <xdr:rowOff>104775</xdr:rowOff>
    </xdr:from>
    <xdr:to>
      <xdr:col>18</xdr:col>
      <xdr:colOff>895350</xdr:colOff>
      <xdr:row>305</xdr:row>
      <xdr:rowOff>133350</xdr:rowOff>
    </xdr:to>
    <xdr:pic>
      <xdr:nvPicPr>
        <xdr:cNvPr id="13" name="Picture 12" descr="C:\WINDOWS\TEMP\~0003946.gif">
          <a:extLst>
            <a:ext uri="{FF2B5EF4-FFF2-40B4-BE49-F238E27FC236}">
              <a16:creationId xmlns=""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20744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58</xdr:row>
      <xdr:rowOff>190500</xdr:rowOff>
    </xdr:from>
    <xdr:to>
      <xdr:col>1</xdr:col>
      <xdr:colOff>0</xdr:colOff>
      <xdr:row>59</xdr:row>
      <xdr:rowOff>228600</xdr:rowOff>
    </xdr:to>
    <xdr:pic>
      <xdr:nvPicPr>
        <xdr:cNvPr id="2" name="Picture 1" descr="C:\WINDOWS\TEMP\Symbol.gif">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18967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130</xdr:row>
      <xdr:rowOff>161925</xdr:rowOff>
    </xdr:from>
    <xdr:to>
      <xdr:col>1</xdr:col>
      <xdr:colOff>28575</xdr:colOff>
      <xdr:row>131</xdr:row>
      <xdr:rowOff>200025</xdr:rowOff>
    </xdr:to>
    <xdr:pic>
      <xdr:nvPicPr>
        <xdr:cNvPr id="3" name="Picture 2" descr="C:\WINDOWS\TEMP\Symbol.gif">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67176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202</xdr:row>
      <xdr:rowOff>171450</xdr:rowOff>
    </xdr:from>
    <xdr:to>
      <xdr:col>1</xdr:col>
      <xdr:colOff>47625</xdr:colOff>
      <xdr:row>203</xdr:row>
      <xdr:rowOff>209550</xdr:rowOff>
    </xdr:to>
    <xdr:pic>
      <xdr:nvPicPr>
        <xdr:cNvPr id="4" name="Picture 3" descr="C:\WINDOWS\TEMP\Symbol.gif">
          <a:extLst>
            <a:ext uri="{FF2B5EF4-FFF2-40B4-BE49-F238E27FC236}">
              <a16:creationId xmlns=""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412146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304</xdr:row>
      <xdr:rowOff>161925</xdr:rowOff>
    </xdr:from>
    <xdr:to>
      <xdr:col>1</xdr:col>
      <xdr:colOff>19050</xdr:colOff>
      <xdr:row>305</xdr:row>
      <xdr:rowOff>200025</xdr:rowOff>
    </xdr:to>
    <xdr:pic>
      <xdr:nvPicPr>
        <xdr:cNvPr id="5" name="Picture 4" descr="C:\WINDOWS\TEMP\Symbol.gif">
          <a:extLst>
            <a:ext uri="{FF2B5EF4-FFF2-40B4-BE49-F238E27FC236}">
              <a16:creationId xmlns=""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17315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304</xdr:row>
      <xdr:rowOff>123825</xdr:rowOff>
    </xdr:from>
    <xdr:to>
      <xdr:col>18</xdr:col>
      <xdr:colOff>1895475</xdr:colOff>
      <xdr:row>305</xdr:row>
      <xdr:rowOff>152400</xdr:rowOff>
    </xdr:to>
    <xdr:pic>
      <xdr:nvPicPr>
        <xdr:cNvPr id="6" name="Picture 5" descr="C:\WINDOWS\TEMP\~0003946.gif">
          <a:extLst>
            <a:ext uri="{FF2B5EF4-FFF2-40B4-BE49-F238E27FC236}">
              <a16:creationId xmlns=""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1693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202</xdr:row>
      <xdr:rowOff>152400</xdr:rowOff>
    </xdr:from>
    <xdr:to>
      <xdr:col>18</xdr:col>
      <xdr:colOff>1924050</xdr:colOff>
      <xdr:row>203</xdr:row>
      <xdr:rowOff>180975</xdr:rowOff>
    </xdr:to>
    <xdr:pic>
      <xdr:nvPicPr>
        <xdr:cNvPr id="7" name="Picture 6" descr="C:\WINDOWS\TEMP\~0003946.gif">
          <a:extLst>
            <a:ext uri="{FF2B5EF4-FFF2-40B4-BE49-F238E27FC236}">
              <a16:creationId xmlns=""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411956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8" name="Picture 7" descr="C:\WINDOWS\TEMP\~0003946.gif">
          <a:extLst>
            <a:ext uri="{FF2B5EF4-FFF2-40B4-BE49-F238E27FC236}">
              <a16:creationId xmlns=""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67176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9" name="Picture 8" descr="C:\WINDOWS\TEMP\~0003946.gif">
          <a:extLst>
            <a:ext uri="{FF2B5EF4-FFF2-40B4-BE49-F238E27FC236}">
              <a16:creationId xmlns=""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1868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58</xdr:row>
      <xdr:rowOff>123825</xdr:rowOff>
    </xdr:from>
    <xdr:to>
      <xdr:col>18</xdr:col>
      <xdr:colOff>885825</xdr:colOff>
      <xdr:row>59</xdr:row>
      <xdr:rowOff>152400</xdr:rowOff>
    </xdr:to>
    <xdr:pic>
      <xdr:nvPicPr>
        <xdr:cNvPr id="10" name="Picture 9" descr="C:\WINDOWS\TEMP\~0003946.gif">
          <a:extLst>
            <a:ext uri="{FF2B5EF4-FFF2-40B4-BE49-F238E27FC236}">
              <a16:creationId xmlns=""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1830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130</xdr:row>
      <xdr:rowOff>123825</xdr:rowOff>
    </xdr:from>
    <xdr:to>
      <xdr:col>18</xdr:col>
      <xdr:colOff>895350</xdr:colOff>
      <xdr:row>131</xdr:row>
      <xdr:rowOff>152400</xdr:rowOff>
    </xdr:to>
    <xdr:pic>
      <xdr:nvPicPr>
        <xdr:cNvPr id="11" name="Picture 10" descr="C:\WINDOWS\TEMP\~0003946.gif">
          <a:extLst>
            <a:ext uri="{FF2B5EF4-FFF2-40B4-BE49-F238E27FC236}">
              <a16:creationId xmlns=""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66795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202</xdr:row>
      <xdr:rowOff>104775</xdr:rowOff>
    </xdr:from>
    <xdr:to>
      <xdr:col>18</xdr:col>
      <xdr:colOff>809625</xdr:colOff>
      <xdr:row>203</xdr:row>
      <xdr:rowOff>133350</xdr:rowOff>
    </xdr:to>
    <xdr:pic>
      <xdr:nvPicPr>
        <xdr:cNvPr id="12" name="Picture 11" descr="C:\WINDOWS\TEMP\~0003946.gif">
          <a:extLst>
            <a:ext uri="{FF2B5EF4-FFF2-40B4-BE49-F238E27FC236}">
              <a16:creationId xmlns=""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411480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304</xdr:row>
      <xdr:rowOff>104775</xdr:rowOff>
    </xdr:from>
    <xdr:to>
      <xdr:col>18</xdr:col>
      <xdr:colOff>895350</xdr:colOff>
      <xdr:row>305</xdr:row>
      <xdr:rowOff>133350</xdr:rowOff>
    </xdr:to>
    <xdr:pic>
      <xdr:nvPicPr>
        <xdr:cNvPr id="13" name="Picture 12" descr="C:\WINDOWS\TEMP\~0003946.gif">
          <a:extLst>
            <a:ext uri="{FF2B5EF4-FFF2-40B4-BE49-F238E27FC236}">
              <a16:creationId xmlns=""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16743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58</xdr:row>
      <xdr:rowOff>190500</xdr:rowOff>
    </xdr:from>
    <xdr:to>
      <xdr:col>1</xdr:col>
      <xdr:colOff>0</xdr:colOff>
      <xdr:row>59</xdr:row>
      <xdr:rowOff>228600</xdr:rowOff>
    </xdr:to>
    <xdr:pic>
      <xdr:nvPicPr>
        <xdr:cNvPr id="2" name="Picture 1" descr="C:\WINDOWS\TEMP\Symbol.gif">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18967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130</xdr:row>
      <xdr:rowOff>161925</xdr:rowOff>
    </xdr:from>
    <xdr:to>
      <xdr:col>1</xdr:col>
      <xdr:colOff>28575</xdr:colOff>
      <xdr:row>131</xdr:row>
      <xdr:rowOff>200025</xdr:rowOff>
    </xdr:to>
    <xdr:pic>
      <xdr:nvPicPr>
        <xdr:cNvPr id="3" name="Picture 2" descr="C:\WINDOWS\TEMP\Symbol.gif">
          <a:extLst>
            <a:ext uri="{FF2B5EF4-FFF2-40B4-BE49-F238E27FC236}">
              <a16:creationId xmlns=""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67176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202</xdr:row>
      <xdr:rowOff>171450</xdr:rowOff>
    </xdr:from>
    <xdr:to>
      <xdr:col>1</xdr:col>
      <xdr:colOff>47625</xdr:colOff>
      <xdr:row>203</xdr:row>
      <xdr:rowOff>209550</xdr:rowOff>
    </xdr:to>
    <xdr:pic>
      <xdr:nvPicPr>
        <xdr:cNvPr id="4" name="Picture 3" descr="C:\WINDOWS\TEMP\Symbol.gif">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412146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304</xdr:row>
      <xdr:rowOff>161925</xdr:rowOff>
    </xdr:from>
    <xdr:to>
      <xdr:col>1</xdr:col>
      <xdr:colOff>19050</xdr:colOff>
      <xdr:row>305</xdr:row>
      <xdr:rowOff>200025</xdr:rowOff>
    </xdr:to>
    <xdr:pic>
      <xdr:nvPicPr>
        <xdr:cNvPr id="5" name="Picture 4" descr="C:\WINDOWS\TEMP\Symbol.gif">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17315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304</xdr:row>
      <xdr:rowOff>123825</xdr:rowOff>
    </xdr:from>
    <xdr:to>
      <xdr:col>18</xdr:col>
      <xdr:colOff>1895475</xdr:colOff>
      <xdr:row>305</xdr:row>
      <xdr:rowOff>152400</xdr:rowOff>
    </xdr:to>
    <xdr:pic>
      <xdr:nvPicPr>
        <xdr:cNvPr id="6" name="Picture 5" descr="C:\WINDOWS\TEMP\~0003946.gif">
          <a:extLst>
            <a:ext uri="{FF2B5EF4-FFF2-40B4-BE49-F238E27FC236}">
              <a16:creationId xmlns=""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1693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202</xdr:row>
      <xdr:rowOff>152400</xdr:rowOff>
    </xdr:from>
    <xdr:to>
      <xdr:col>18</xdr:col>
      <xdr:colOff>1924050</xdr:colOff>
      <xdr:row>203</xdr:row>
      <xdr:rowOff>180975</xdr:rowOff>
    </xdr:to>
    <xdr:pic>
      <xdr:nvPicPr>
        <xdr:cNvPr id="7" name="Picture 6" descr="C:\WINDOWS\TEMP\~0003946.gif">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411956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8" name="Picture 7" descr="C:\WINDOWS\TEMP\~0003946.gif">
          <a:extLst>
            <a:ext uri="{FF2B5EF4-FFF2-40B4-BE49-F238E27FC236}">
              <a16:creationId xmlns=""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67176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9" name="Picture 8" descr="C:\WINDOWS\TEMP\~0003946.gif">
          <a:extLst>
            <a:ext uri="{FF2B5EF4-FFF2-40B4-BE49-F238E27FC236}">
              <a16:creationId xmlns=""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1868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58</xdr:row>
      <xdr:rowOff>123825</xdr:rowOff>
    </xdr:from>
    <xdr:to>
      <xdr:col>18</xdr:col>
      <xdr:colOff>885825</xdr:colOff>
      <xdr:row>59</xdr:row>
      <xdr:rowOff>152400</xdr:rowOff>
    </xdr:to>
    <xdr:pic>
      <xdr:nvPicPr>
        <xdr:cNvPr id="10" name="Picture 9" descr="C:\WINDOWS\TEMP\~0003946.gif">
          <a:extLst>
            <a:ext uri="{FF2B5EF4-FFF2-40B4-BE49-F238E27FC236}">
              <a16:creationId xmlns=""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1830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130</xdr:row>
      <xdr:rowOff>123825</xdr:rowOff>
    </xdr:from>
    <xdr:to>
      <xdr:col>18</xdr:col>
      <xdr:colOff>895350</xdr:colOff>
      <xdr:row>131</xdr:row>
      <xdr:rowOff>152400</xdr:rowOff>
    </xdr:to>
    <xdr:pic>
      <xdr:nvPicPr>
        <xdr:cNvPr id="11" name="Picture 10" descr="C:\WINDOWS\TEMP\~0003946.gif">
          <a:extLst>
            <a:ext uri="{FF2B5EF4-FFF2-40B4-BE49-F238E27FC236}">
              <a16:creationId xmlns=""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66795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202</xdr:row>
      <xdr:rowOff>104775</xdr:rowOff>
    </xdr:from>
    <xdr:to>
      <xdr:col>18</xdr:col>
      <xdr:colOff>809625</xdr:colOff>
      <xdr:row>203</xdr:row>
      <xdr:rowOff>133350</xdr:rowOff>
    </xdr:to>
    <xdr:pic>
      <xdr:nvPicPr>
        <xdr:cNvPr id="12" name="Picture 11" descr="C:\WINDOWS\TEMP\~0003946.gif">
          <a:extLst>
            <a:ext uri="{FF2B5EF4-FFF2-40B4-BE49-F238E27FC236}">
              <a16:creationId xmlns=""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411480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304</xdr:row>
      <xdr:rowOff>104775</xdr:rowOff>
    </xdr:from>
    <xdr:to>
      <xdr:col>18</xdr:col>
      <xdr:colOff>895350</xdr:colOff>
      <xdr:row>305</xdr:row>
      <xdr:rowOff>133350</xdr:rowOff>
    </xdr:to>
    <xdr:pic>
      <xdr:nvPicPr>
        <xdr:cNvPr id="13" name="Picture 12" descr="C:\WINDOWS\TEMP\~0003946.gif">
          <a:extLst>
            <a:ext uri="{FF2B5EF4-FFF2-40B4-BE49-F238E27FC236}">
              <a16:creationId xmlns=""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16743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58</xdr:row>
      <xdr:rowOff>190500</xdr:rowOff>
    </xdr:from>
    <xdr:to>
      <xdr:col>1</xdr:col>
      <xdr:colOff>0</xdr:colOff>
      <xdr:row>59</xdr:row>
      <xdr:rowOff>228600</xdr:rowOff>
    </xdr:to>
    <xdr:pic>
      <xdr:nvPicPr>
        <xdr:cNvPr id="2" name="Picture 1" descr="C:\WINDOWS\TEMP\Symbol.gif">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18967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130</xdr:row>
      <xdr:rowOff>161925</xdr:rowOff>
    </xdr:from>
    <xdr:to>
      <xdr:col>1</xdr:col>
      <xdr:colOff>28575</xdr:colOff>
      <xdr:row>131</xdr:row>
      <xdr:rowOff>200025</xdr:rowOff>
    </xdr:to>
    <xdr:pic>
      <xdr:nvPicPr>
        <xdr:cNvPr id="3" name="Picture 2" descr="C:\WINDOWS\TEMP\Symbol.gif">
          <a:extLst>
            <a:ext uri="{FF2B5EF4-FFF2-40B4-BE49-F238E27FC236}">
              <a16:creationId xmlns=""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67176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203</xdr:row>
      <xdr:rowOff>171450</xdr:rowOff>
    </xdr:from>
    <xdr:to>
      <xdr:col>1</xdr:col>
      <xdr:colOff>47625</xdr:colOff>
      <xdr:row>204</xdr:row>
      <xdr:rowOff>209550</xdr:rowOff>
    </xdr:to>
    <xdr:pic>
      <xdr:nvPicPr>
        <xdr:cNvPr id="4" name="Picture 3" descr="C:\WINDOWS\TEMP\Symbol.gif">
          <a:extLst>
            <a:ext uri="{FF2B5EF4-FFF2-40B4-BE49-F238E27FC236}">
              <a16:creationId xmlns=""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412146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305</xdr:row>
      <xdr:rowOff>161925</xdr:rowOff>
    </xdr:from>
    <xdr:to>
      <xdr:col>1</xdr:col>
      <xdr:colOff>19050</xdr:colOff>
      <xdr:row>306</xdr:row>
      <xdr:rowOff>200025</xdr:rowOff>
    </xdr:to>
    <xdr:pic>
      <xdr:nvPicPr>
        <xdr:cNvPr id="5" name="Picture 4" descr="C:\WINDOWS\TEMP\Symbol.gif">
          <a:extLst>
            <a:ext uri="{FF2B5EF4-FFF2-40B4-BE49-F238E27FC236}">
              <a16:creationId xmlns=""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17315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305</xdr:row>
      <xdr:rowOff>123825</xdr:rowOff>
    </xdr:from>
    <xdr:to>
      <xdr:col>18</xdr:col>
      <xdr:colOff>1895475</xdr:colOff>
      <xdr:row>306</xdr:row>
      <xdr:rowOff>152400</xdr:rowOff>
    </xdr:to>
    <xdr:pic>
      <xdr:nvPicPr>
        <xdr:cNvPr id="6" name="Picture 5" descr="C:\WINDOWS\TEMP\~0003946.gif">
          <a:extLst>
            <a:ext uri="{FF2B5EF4-FFF2-40B4-BE49-F238E27FC236}">
              <a16:creationId xmlns=""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1693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7" name="Picture 6" descr="C:\WINDOWS\TEMP\~0003946.gif">
          <a:extLst>
            <a:ext uri="{FF2B5EF4-FFF2-40B4-BE49-F238E27FC236}">
              <a16:creationId xmlns=""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411956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8" name="Picture 7" descr="C:\WINDOWS\TEMP\~0003946.gif">
          <a:extLst>
            <a:ext uri="{FF2B5EF4-FFF2-40B4-BE49-F238E27FC236}">
              <a16:creationId xmlns=""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67176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9" name="Picture 8" descr="C:\WINDOWS\TEMP\~0003946.gif">
          <a:extLst>
            <a:ext uri="{FF2B5EF4-FFF2-40B4-BE49-F238E27FC236}">
              <a16:creationId xmlns=""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1868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58</xdr:row>
      <xdr:rowOff>123825</xdr:rowOff>
    </xdr:from>
    <xdr:to>
      <xdr:col>18</xdr:col>
      <xdr:colOff>885825</xdr:colOff>
      <xdr:row>59</xdr:row>
      <xdr:rowOff>152400</xdr:rowOff>
    </xdr:to>
    <xdr:pic>
      <xdr:nvPicPr>
        <xdr:cNvPr id="10" name="Picture 9" descr="C:\WINDOWS\TEMP\~0003946.gif">
          <a:extLst>
            <a:ext uri="{FF2B5EF4-FFF2-40B4-BE49-F238E27FC236}">
              <a16:creationId xmlns=""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1830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130</xdr:row>
      <xdr:rowOff>123825</xdr:rowOff>
    </xdr:from>
    <xdr:to>
      <xdr:col>18</xdr:col>
      <xdr:colOff>895350</xdr:colOff>
      <xdr:row>131</xdr:row>
      <xdr:rowOff>152400</xdr:rowOff>
    </xdr:to>
    <xdr:pic>
      <xdr:nvPicPr>
        <xdr:cNvPr id="11" name="Picture 10" descr="C:\WINDOWS\TEMP\~0003946.gif">
          <a:extLst>
            <a:ext uri="{FF2B5EF4-FFF2-40B4-BE49-F238E27FC236}">
              <a16:creationId xmlns=""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66795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203</xdr:row>
      <xdr:rowOff>104775</xdr:rowOff>
    </xdr:from>
    <xdr:to>
      <xdr:col>18</xdr:col>
      <xdr:colOff>809625</xdr:colOff>
      <xdr:row>204</xdr:row>
      <xdr:rowOff>133350</xdr:rowOff>
    </xdr:to>
    <xdr:pic>
      <xdr:nvPicPr>
        <xdr:cNvPr id="12" name="Picture 11" descr="C:\WINDOWS\TEMP\~0003946.gif">
          <a:extLst>
            <a:ext uri="{FF2B5EF4-FFF2-40B4-BE49-F238E27FC236}">
              <a16:creationId xmlns=""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411480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305</xdr:row>
      <xdr:rowOff>104775</xdr:rowOff>
    </xdr:from>
    <xdr:to>
      <xdr:col>18</xdr:col>
      <xdr:colOff>895350</xdr:colOff>
      <xdr:row>306</xdr:row>
      <xdr:rowOff>133350</xdr:rowOff>
    </xdr:to>
    <xdr:pic>
      <xdr:nvPicPr>
        <xdr:cNvPr id="13" name="Picture 12" descr="C:\WINDOWS\TEMP\~0003946.gif">
          <a:extLst>
            <a:ext uri="{FF2B5EF4-FFF2-40B4-BE49-F238E27FC236}">
              <a16:creationId xmlns=""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16743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58</xdr:row>
      <xdr:rowOff>190500</xdr:rowOff>
    </xdr:from>
    <xdr:to>
      <xdr:col>1</xdr:col>
      <xdr:colOff>0</xdr:colOff>
      <xdr:row>59</xdr:row>
      <xdr:rowOff>228600</xdr:rowOff>
    </xdr:to>
    <xdr:pic>
      <xdr:nvPicPr>
        <xdr:cNvPr id="2" name="Picture 1" descr="C:\WINDOWS\TEMP\Symbol.gif">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18967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130</xdr:row>
      <xdr:rowOff>161925</xdr:rowOff>
    </xdr:from>
    <xdr:to>
      <xdr:col>1</xdr:col>
      <xdr:colOff>28575</xdr:colOff>
      <xdr:row>131</xdr:row>
      <xdr:rowOff>200025</xdr:rowOff>
    </xdr:to>
    <xdr:pic>
      <xdr:nvPicPr>
        <xdr:cNvPr id="3" name="Picture 2" descr="C:\WINDOWS\TEMP\Symbol.gif">
          <a:extLst>
            <a:ext uri="{FF2B5EF4-FFF2-40B4-BE49-F238E27FC236}">
              <a16:creationId xmlns=""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67176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203</xdr:row>
      <xdr:rowOff>171450</xdr:rowOff>
    </xdr:from>
    <xdr:to>
      <xdr:col>1</xdr:col>
      <xdr:colOff>47625</xdr:colOff>
      <xdr:row>204</xdr:row>
      <xdr:rowOff>209550</xdr:rowOff>
    </xdr:to>
    <xdr:pic>
      <xdr:nvPicPr>
        <xdr:cNvPr id="4" name="Picture 3" descr="C:\WINDOWS\TEMP\Symbol.gif">
          <a:extLst>
            <a:ext uri="{FF2B5EF4-FFF2-40B4-BE49-F238E27FC236}">
              <a16:creationId xmlns=""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414147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305</xdr:row>
      <xdr:rowOff>161925</xdr:rowOff>
    </xdr:from>
    <xdr:to>
      <xdr:col>1</xdr:col>
      <xdr:colOff>19050</xdr:colOff>
      <xdr:row>306</xdr:row>
      <xdr:rowOff>200025</xdr:rowOff>
    </xdr:to>
    <xdr:pic>
      <xdr:nvPicPr>
        <xdr:cNvPr id="5" name="Picture 4" descr="C:\WINDOWS\TEMP\Symbol.gif">
          <a:extLst>
            <a:ext uri="{FF2B5EF4-FFF2-40B4-BE49-F238E27FC236}">
              <a16:creationId xmlns=""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193155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305</xdr:row>
      <xdr:rowOff>123825</xdr:rowOff>
    </xdr:from>
    <xdr:to>
      <xdr:col>18</xdr:col>
      <xdr:colOff>1895475</xdr:colOff>
      <xdr:row>306</xdr:row>
      <xdr:rowOff>152400</xdr:rowOff>
    </xdr:to>
    <xdr:pic>
      <xdr:nvPicPr>
        <xdr:cNvPr id="6" name="Picture 5" descr="C:\WINDOWS\TEMP\~0003946.gif">
          <a:extLst>
            <a:ext uri="{FF2B5EF4-FFF2-40B4-BE49-F238E27FC236}">
              <a16:creationId xmlns=""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18934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7" name="Picture 6" descr="C:\WINDOWS\TEMP\~0003946.gif">
          <a:extLst>
            <a:ext uri="{FF2B5EF4-FFF2-40B4-BE49-F238E27FC236}">
              <a16:creationId xmlns=""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413956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8" name="Picture 7" descr="C:\WINDOWS\TEMP\~0003946.gif">
          <a:extLst>
            <a:ext uri="{FF2B5EF4-FFF2-40B4-BE49-F238E27FC236}">
              <a16:creationId xmlns=""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67176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9" name="Picture 8" descr="C:\WINDOWS\TEMP\~0003946.gif">
          <a:extLst>
            <a:ext uri="{FF2B5EF4-FFF2-40B4-BE49-F238E27FC236}">
              <a16:creationId xmlns=""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1868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58</xdr:row>
      <xdr:rowOff>123825</xdr:rowOff>
    </xdr:from>
    <xdr:to>
      <xdr:col>18</xdr:col>
      <xdr:colOff>885825</xdr:colOff>
      <xdr:row>59</xdr:row>
      <xdr:rowOff>152400</xdr:rowOff>
    </xdr:to>
    <xdr:pic>
      <xdr:nvPicPr>
        <xdr:cNvPr id="10" name="Picture 9" descr="C:\WINDOWS\TEMP\~0003946.gif">
          <a:extLst>
            <a:ext uri="{FF2B5EF4-FFF2-40B4-BE49-F238E27FC236}">
              <a16:creationId xmlns=""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1830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130</xdr:row>
      <xdr:rowOff>123825</xdr:rowOff>
    </xdr:from>
    <xdr:to>
      <xdr:col>18</xdr:col>
      <xdr:colOff>895350</xdr:colOff>
      <xdr:row>131</xdr:row>
      <xdr:rowOff>152400</xdr:rowOff>
    </xdr:to>
    <xdr:pic>
      <xdr:nvPicPr>
        <xdr:cNvPr id="11" name="Picture 10" descr="C:\WINDOWS\TEMP\~0003946.gif">
          <a:extLst>
            <a:ext uri="{FF2B5EF4-FFF2-40B4-BE49-F238E27FC236}">
              <a16:creationId xmlns=""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66795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203</xdr:row>
      <xdr:rowOff>104775</xdr:rowOff>
    </xdr:from>
    <xdr:to>
      <xdr:col>18</xdr:col>
      <xdr:colOff>809625</xdr:colOff>
      <xdr:row>204</xdr:row>
      <xdr:rowOff>133350</xdr:rowOff>
    </xdr:to>
    <xdr:pic>
      <xdr:nvPicPr>
        <xdr:cNvPr id="12" name="Picture 11" descr="C:\WINDOWS\TEMP\~0003946.gif">
          <a:extLst>
            <a:ext uri="{FF2B5EF4-FFF2-40B4-BE49-F238E27FC236}">
              <a16:creationId xmlns="" xmlns:a16="http://schemas.microsoft.com/office/drawing/2014/main" id="{00000000-0008-0000-06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413480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305</xdr:row>
      <xdr:rowOff>104775</xdr:rowOff>
    </xdr:from>
    <xdr:to>
      <xdr:col>18</xdr:col>
      <xdr:colOff>895350</xdr:colOff>
      <xdr:row>306</xdr:row>
      <xdr:rowOff>133350</xdr:rowOff>
    </xdr:to>
    <xdr:pic>
      <xdr:nvPicPr>
        <xdr:cNvPr id="13" name="Picture 12" descr="C:\WINDOWS\TEMP\~0003946.gif">
          <a:extLst>
            <a:ext uri="{FF2B5EF4-FFF2-40B4-BE49-F238E27FC236}">
              <a16:creationId xmlns="" xmlns:a16="http://schemas.microsoft.com/office/drawing/2014/main" id="{00000000-0008-0000-06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18744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58</xdr:row>
      <xdr:rowOff>190500</xdr:rowOff>
    </xdr:from>
    <xdr:to>
      <xdr:col>1</xdr:col>
      <xdr:colOff>0</xdr:colOff>
      <xdr:row>59</xdr:row>
      <xdr:rowOff>228600</xdr:rowOff>
    </xdr:to>
    <xdr:pic>
      <xdr:nvPicPr>
        <xdr:cNvPr id="2" name="Picture 1" descr="C:\WINDOWS\TEMP\Symbol.gif">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18967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130</xdr:row>
      <xdr:rowOff>161925</xdr:rowOff>
    </xdr:from>
    <xdr:to>
      <xdr:col>1</xdr:col>
      <xdr:colOff>28575</xdr:colOff>
      <xdr:row>131</xdr:row>
      <xdr:rowOff>200025</xdr:rowOff>
    </xdr:to>
    <xdr:pic>
      <xdr:nvPicPr>
        <xdr:cNvPr id="3" name="Picture 2" descr="C:\WINDOWS\TEMP\Symbol.gif">
          <a:extLst>
            <a:ext uri="{FF2B5EF4-FFF2-40B4-BE49-F238E27FC236}">
              <a16:creationId xmlns=""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67176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203</xdr:row>
      <xdr:rowOff>171450</xdr:rowOff>
    </xdr:from>
    <xdr:to>
      <xdr:col>1</xdr:col>
      <xdr:colOff>47625</xdr:colOff>
      <xdr:row>204</xdr:row>
      <xdr:rowOff>209550</xdr:rowOff>
    </xdr:to>
    <xdr:pic>
      <xdr:nvPicPr>
        <xdr:cNvPr id="4" name="Picture 3" descr="C:\WINDOWS\TEMP\Symbol.gif">
          <a:extLst>
            <a:ext uri="{FF2B5EF4-FFF2-40B4-BE49-F238E27FC236}">
              <a16:creationId xmlns=""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414147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304</xdr:row>
      <xdr:rowOff>161925</xdr:rowOff>
    </xdr:from>
    <xdr:to>
      <xdr:col>1</xdr:col>
      <xdr:colOff>19050</xdr:colOff>
      <xdr:row>305</xdr:row>
      <xdr:rowOff>200025</xdr:rowOff>
    </xdr:to>
    <xdr:pic>
      <xdr:nvPicPr>
        <xdr:cNvPr id="5" name="Picture 4" descr="C:\WINDOWS\TEMP\Symbol.gif">
          <a:extLst>
            <a:ext uri="{FF2B5EF4-FFF2-40B4-BE49-F238E27FC236}">
              <a16:creationId xmlns=""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193155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304</xdr:row>
      <xdr:rowOff>123825</xdr:rowOff>
    </xdr:from>
    <xdr:to>
      <xdr:col>18</xdr:col>
      <xdr:colOff>1895475</xdr:colOff>
      <xdr:row>305</xdr:row>
      <xdr:rowOff>152400</xdr:rowOff>
    </xdr:to>
    <xdr:pic>
      <xdr:nvPicPr>
        <xdr:cNvPr id="6" name="Picture 5" descr="C:\WINDOWS\TEMP\~0003946.gif">
          <a:extLst>
            <a:ext uri="{FF2B5EF4-FFF2-40B4-BE49-F238E27FC236}">
              <a16:creationId xmlns=""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18934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7" name="Picture 6" descr="C:\WINDOWS\TEMP\~0003946.gif">
          <a:extLst>
            <a:ext uri="{FF2B5EF4-FFF2-40B4-BE49-F238E27FC236}">
              <a16:creationId xmlns=""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413956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8" name="Picture 7" descr="C:\WINDOWS\TEMP\~0003946.gif">
          <a:extLst>
            <a:ext uri="{FF2B5EF4-FFF2-40B4-BE49-F238E27FC236}">
              <a16:creationId xmlns=""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67176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9" name="Picture 8" descr="C:\WINDOWS\TEMP\~0003946.gif">
          <a:extLst>
            <a:ext uri="{FF2B5EF4-FFF2-40B4-BE49-F238E27FC236}">
              <a16:creationId xmlns=""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1868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58</xdr:row>
      <xdr:rowOff>123825</xdr:rowOff>
    </xdr:from>
    <xdr:to>
      <xdr:col>18</xdr:col>
      <xdr:colOff>885825</xdr:colOff>
      <xdr:row>59</xdr:row>
      <xdr:rowOff>152400</xdr:rowOff>
    </xdr:to>
    <xdr:pic>
      <xdr:nvPicPr>
        <xdr:cNvPr id="10" name="Picture 9" descr="C:\WINDOWS\TEMP\~0003946.gif">
          <a:extLst>
            <a:ext uri="{FF2B5EF4-FFF2-40B4-BE49-F238E27FC236}">
              <a16:creationId xmlns=""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1830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130</xdr:row>
      <xdr:rowOff>123825</xdr:rowOff>
    </xdr:from>
    <xdr:to>
      <xdr:col>18</xdr:col>
      <xdr:colOff>895350</xdr:colOff>
      <xdr:row>131</xdr:row>
      <xdr:rowOff>152400</xdr:rowOff>
    </xdr:to>
    <xdr:pic>
      <xdr:nvPicPr>
        <xdr:cNvPr id="11" name="Picture 10" descr="C:\WINDOWS\TEMP\~0003946.gif">
          <a:extLst>
            <a:ext uri="{FF2B5EF4-FFF2-40B4-BE49-F238E27FC236}">
              <a16:creationId xmlns=""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66795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203</xdr:row>
      <xdr:rowOff>104775</xdr:rowOff>
    </xdr:from>
    <xdr:to>
      <xdr:col>18</xdr:col>
      <xdr:colOff>809625</xdr:colOff>
      <xdr:row>204</xdr:row>
      <xdr:rowOff>133350</xdr:rowOff>
    </xdr:to>
    <xdr:pic>
      <xdr:nvPicPr>
        <xdr:cNvPr id="12" name="Picture 11" descr="C:\WINDOWS\TEMP\~0003946.gif">
          <a:extLst>
            <a:ext uri="{FF2B5EF4-FFF2-40B4-BE49-F238E27FC236}">
              <a16:creationId xmlns=""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413480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304</xdr:row>
      <xdr:rowOff>104775</xdr:rowOff>
    </xdr:from>
    <xdr:to>
      <xdr:col>18</xdr:col>
      <xdr:colOff>895350</xdr:colOff>
      <xdr:row>305</xdr:row>
      <xdr:rowOff>133350</xdr:rowOff>
    </xdr:to>
    <xdr:pic>
      <xdr:nvPicPr>
        <xdr:cNvPr id="13" name="Picture 12" descr="C:\WINDOWS\TEMP\~0003946.gif">
          <a:extLst>
            <a:ext uri="{FF2B5EF4-FFF2-40B4-BE49-F238E27FC236}">
              <a16:creationId xmlns=""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18744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58</xdr:row>
      <xdr:rowOff>190500</xdr:rowOff>
    </xdr:from>
    <xdr:to>
      <xdr:col>1</xdr:col>
      <xdr:colOff>0</xdr:colOff>
      <xdr:row>59</xdr:row>
      <xdr:rowOff>228600</xdr:rowOff>
    </xdr:to>
    <xdr:pic>
      <xdr:nvPicPr>
        <xdr:cNvPr id="2" name="Picture 1" descr="C:\WINDOWS\TEMP\Symbol.gif">
          <a:extLst>
            <a:ext uri="{FF2B5EF4-FFF2-40B4-BE49-F238E27FC236}">
              <a16:creationId xmlns="" xmlns:a16="http://schemas.microsoft.com/office/drawing/2014/main" id="{44019277-8F55-4FBD-9EAC-632C08553CFF}"/>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18967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130</xdr:row>
      <xdr:rowOff>161925</xdr:rowOff>
    </xdr:from>
    <xdr:to>
      <xdr:col>1</xdr:col>
      <xdr:colOff>28575</xdr:colOff>
      <xdr:row>131</xdr:row>
      <xdr:rowOff>200025</xdr:rowOff>
    </xdr:to>
    <xdr:pic>
      <xdr:nvPicPr>
        <xdr:cNvPr id="3" name="Picture 2" descr="C:\WINDOWS\TEMP\Symbol.gif">
          <a:extLst>
            <a:ext uri="{FF2B5EF4-FFF2-40B4-BE49-F238E27FC236}">
              <a16:creationId xmlns="" xmlns:a16="http://schemas.microsoft.com/office/drawing/2014/main" id="{A07EF04D-F194-4A74-A0CB-094E410EBEA5}"/>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67176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203</xdr:row>
      <xdr:rowOff>171450</xdr:rowOff>
    </xdr:from>
    <xdr:to>
      <xdr:col>1</xdr:col>
      <xdr:colOff>47625</xdr:colOff>
      <xdr:row>204</xdr:row>
      <xdr:rowOff>209550</xdr:rowOff>
    </xdr:to>
    <xdr:pic>
      <xdr:nvPicPr>
        <xdr:cNvPr id="4" name="Picture 3" descr="C:\WINDOWS\TEMP\Symbol.gif">
          <a:extLst>
            <a:ext uri="{FF2B5EF4-FFF2-40B4-BE49-F238E27FC236}">
              <a16:creationId xmlns="" xmlns:a16="http://schemas.microsoft.com/office/drawing/2014/main" id="{11579FD2-F8CC-4212-A14A-90952BEE882D}"/>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414147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304</xdr:row>
      <xdr:rowOff>161925</xdr:rowOff>
    </xdr:from>
    <xdr:to>
      <xdr:col>1</xdr:col>
      <xdr:colOff>19050</xdr:colOff>
      <xdr:row>305</xdr:row>
      <xdr:rowOff>200025</xdr:rowOff>
    </xdr:to>
    <xdr:pic>
      <xdr:nvPicPr>
        <xdr:cNvPr id="5" name="Picture 4" descr="C:\WINDOWS\TEMP\Symbol.gif">
          <a:extLst>
            <a:ext uri="{FF2B5EF4-FFF2-40B4-BE49-F238E27FC236}">
              <a16:creationId xmlns="" xmlns:a16="http://schemas.microsoft.com/office/drawing/2014/main" id="{A7A703D9-5402-4B67-960D-2402516432F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17315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304</xdr:row>
      <xdr:rowOff>123825</xdr:rowOff>
    </xdr:from>
    <xdr:to>
      <xdr:col>18</xdr:col>
      <xdr:colOff>1895475</xdr:colOff>
      <xdr:row>305</xdr:row>
      <xdr:rowOff>152400</xdr:rowOff>
    </xdr:to>
    <xdr:pic>
      <xdr:nvPicPr>
        <xdr:cNvPr id="6" name="Picture 5" descr="C:\WINDOWS\TEMP\~0003946.gif">
          <a:extLst>
            <a:ext uri="{FF2B5EF4-FFF2-40B4-BE49-F238E27FC236}">
              <a16:creationId xmlns="" xmlns:a16="http://schemas.microsoft.com/office/drawing/2014/main" id="{D571A8BA-5969-4630-B0D5-DB8078C2AA77}"/>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1693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7" name="Picture 6" descr="C:\WINDOWS\TEMP\~0003946.gif">
          <a:extLst>
            <a:ext uri="{FF2B5EF4-FFF2-40B4-BE49-F238E27FC236}">
              <a16:creationId xmlns="" xmlns:a16="http://schemas.microsoft.com/office/drawing/2014/main" id="{0754F51F-A1BE-4956-8B8E-D06C708C9AE2}"/>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413956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8" name="Picture 7" descr="C:\WINDOWS\TEMP\~0003946.gif">
          <a:extLst>
            <a:ext uri="{FF2B5EF4-FFF2-40B4-BE49-F238E27FC236}">
              <a16:creationId xmlns="" xmlns:a16="http://schemas.microsoft.com/office/drawing/2014/main" id="{AD99E7F5-BF69-4BF4-B605-75B6FB4968E4}"/>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67176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9" name="Picture 8" descr="C:\WINDOWS\TEMP\~0003946.gif">
          <a:extLst>
            <a:ext uri="{FF2B5EF4-FFF2-40B4-BE49-F238E27FC236}">
              <a16:creationId xmlns="" xmlns:a16="http://schemas.microsoft.com/office/drawing/2014/main" id="{441BE3E0-4D3E-4F37-8D5F-DCD7738C6FB7}"/>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1868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58</xdr:row>
      <xdr:rowOff>123825</xdr:rowOff>
    </xdr:from>
    <xdr:to>
      <xdr:col>18</xdr:col>
      <xdr:colOff>885825</xdr:colOff>
      <xdr:row>59</xdr:row>
      <xdr:rowOff>152400</xdr:rowOff>
    </xdr:to>
    <xdr:pic>
      <xdr:nvPicPr>
        <xdr:cNvPr id="10" name="Picture 9" descr="C:\WINDOWS\TEMP\~0003946.gif">
          <a:extLst>
            <a:ext uri="{FF2B5EF4-FFF2-40B4-BE49-F238E27FC236}">
              <a16:creationId xmlns="" xmlns:a16="http://schemas.microsoft.com/office/drawing/2014/main" id="{FE56320A-2765-4FBA-B09B-ED26B381FA5A}"/>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1830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130</xdr:row>
      <xdr:rowOff>123825</xdr:rowOff>
    </xdr:from>
    <xdr:to>
      <xdr:col>18</xdr:col>
      <xdr:colOff>895350</xdr:colOff>
      <xdr:row>131</xdr:row>
      <xdr:rowOff>152400</xdr:rowOff>
    </xdr:to>
    <xdr:pic>
      <xdr:nvPicPr>
        <xdr:cNvPr id="11" name="Picture 10" descr="C:\WINDOWS\TEMP\~0003946.gif">
          <a:extLst>
            <a:ext uri="{FF2B5EF4-FFF2-40B4-BE49-F238E27FC236}">
              <a16:creationId xmlns="" xmlns:a16="http://schemas.microsoft.com/office/drawing/2014/main" id="{4FC4DF8A-6438-4D86-8F3C-8B54D5350A7E}"/>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66795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203</xdr:row>
      <xdr:rowOff>104775</xdr:rowOff>
    </xdr:from>
    <xdr:to>
      <xdr:col>18</xdr:col>
      <xdr:colOff>809625</xdr:colOff>
      <xdr:row>204</xdr:row>
      <xdr:rowOff>133350</xdr:rowOff>
    </xdr:to>
    <xdr:pic>
      <xdr:nvPicPr>
        <xdr:cNvPr id="12" name="Picture 11" descr="C:\WINDOWS\TEMP\~0003946.gif">
          <a:extLst>
            <a:ext uri="{FF2B5EF4-FFF2-40B4-BE49-F238E27FC236}">
              <a16:creationId xmlns="" xmlns:a16="http://schemas.microsoft.com/office/drawing/2014/main" id="{D7EC77D7-B410-475B-8FBF-E3F0108688E1}"/>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413480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304</xdr:row>
      <xdr:rowOff>104775</xdr:rowOff>
    </xdr:from>
    <xdr:to>
      <xdr:col>18</xdr:col>
      <xdr:colOff>895350</xdr:colOff>
      <xdr:row>305</xdr:row>
      <xdr:rowOff>133350</xdr:rowOff>
    </xdr:to>
    <xdr:pic>
      <xdr:nvPicPr>
        <xdr:cNvPr id="13" name="Picture 12" descr="C:\WINDOWS\TEMP\~0003946.gif">
          <a:extLst>
            <a:ext uri="{FF2B5EF4-FFF2-40B4-BE49-F238E27FC236}">
              <a16:creationId xmlns="" xmlns:a16="http://schemas.microsoft.com/office/drawing/2014/main" id="{2BC85964-C4CB-48C8-AE4A-949B4816EF53}"/>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16743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New Branding">
      <a:dk1>
        <a:sysClr val="windowText" lastClr="000000"/>
      </a:dk1>
      <a:lt1>
        <a:sysClr val="window" lastClr="FFFFFF"/>
      </a:lt1>
      <a:dk2>
        <a:srgbClr val="44546A"/>
      </a:dk2>
      <a:lt2>
        <a:srgbClr val="E7E6E6"/>
      </a:lt2>
      <a:accent1>
        <a:srgbClr val="89CB31"/>
      </a:accent1>
      <a:accent2>
        <a:srgbClr val="D0EBAB"/>
      </a:accent2>
      <a:accent3>
        <a:srgbClr val="2D2926"/>
      </a:accent3>
      <a:accent4>
        <a:srgbClr val="F0F0F0"/>
      </a:accent4>
      <a:accent5>
        <a:srgbClr val="5B8721"/>
      </a:accent5>
      <a:accent6>
        <a:srgbClr val="009999"/>
      </a:accent6>
      <a:hlink>
        <a:srgbClr val="BDFFEE"/>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paragonbankinggroup.co.uk/" TargetMode="External"/><Relationship Id="rId1" Type="http://schemas.openxmlformats.org/officeDocument/2006/relationships/hyperlink" Target="http://www.paragonbankinggroup.co.uk/"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paragonbankinggroup.co.uk/" TargetMode="External"/><Relationship Id="rId1" Type="http://schemas.openxmlformats.org/officeDocument/2006/relationships/hyperlink" Target="http://www.paragonbankinggroup.co.uk/"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paragonbankinggroup.co.uk/" TargetMode="External"/><Relationship Id="rId1" Type="http://schemas.openxmlformats.org/officeDocument/2006/relationships/hyperlink" Target="http://www.paragonbankinggroup.co.uk/"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paragonbankinggroup.co.uk/" TargetMode="External"/><Relationship Id="rId1" Type="http://schemas.openxmlformats.org/officeDocument/2006/relationships/hyperlink" Target="http://www.paragonbankinggroup.co.uk/"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paragonbankinggroup.co.uk/" TargetMode="External"/><Relationship Id="rId1" Type="http://schemas.openxmlformats.org/officeDocument/2006/relationships/hyperlink" Target="http://www.paragonbankinggroup.co.uk/"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paragonbankinggroup.co.uk/" TargetMode="External"/><Relationship Id="rId1" Type="http://schemas.openxmlformats.org/officeDocument/2006/relationships/hyperlink" Target="http://www.paragonbankinggroup.co.uk/"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paragonbankinggroup.co.uk/" TargetMode="External"/><Relationship Id="rId1" Type="http://schemas.openxmlformats.org/officeDocument/2006/relationships/hyperlink" Target="http://www.paragonbankinggroup.co.uk/" TargetMode="External"/><Relationship Id="rId4"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sheetPr>
  <dimension ref="A1:IR308"/>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221</v>
      </c>
      <c r="C1" s="11"/>
      <c r="D1" s="11"/>
      <c r="E1" s="11"/>
      <c r="F1" s="11"/>
      <c r="G1" s="11"/>
      <c r="H1" s="11"/>
      <c r="I1" s="11"/>
      <c r="J1" s="11"/>
      <c r="K1" s="11"/>
      <c r="L1" s="11"/>
      <c r="M1" s="11"/>
      <c r="N1" s="11"/>
      <c r="O1" s="11"/>
      <c r="P1" s="11"/>
      <c r="Q1" s="11"/>
      <c r="R1" s="11"/>
      <c r="S1" s="216"/>
      <c r="T1" s="2"/>
    </row>
    <row r="2" spans="1:20" ht="15.6" x14ac:dyDescent="0.3">
      <c r="A2" s="12"/>
      <c r="B2" s="13"/>
      <c r="C2" s="14"/>
      <c r="D2" s="14"/>
      <c r="E2" s="14"/>
      <c r="F2" s="14"/>
      <c r="G2" s="14"/>
      <c r="H2" s="14"/>
      <c r="I2" s="14"/>
      <c r="J2" s="14"/>
      <c r="K2" s="14"/>
      <c r="L2" s="14"/>
      <c r="M2" s="14"/>
      <c r="N2" s="14"/>
      <c r="O2" s="14"/>
      <c r="P2" s="14"/>
      <c r="Q2" s="14"/>
      <c r="R2" s="14"/>
      <c r="S2" s="217"/>
      <c r="T2" s="2"/>
    </row>
    <row r="3" spans="1:20" ht="15.6" x14ac:dyDescent="0.3">
      <c r="A3" s="15"/>
      <c r="B3" s="16" t="s">
        <v>222</v>
      </c>
      <c r="C3" s="14"/>
      <c r="D3" s="14"/>
      <c r="E3" s="14"/>
      <c r="F3" s="14"/>
      <c r="G3" s="14"/>
      <c r="H3" s="14"/>
      <c r="I3" s="14"/>
      <c r="J3" s="14"/>
      <c r="K3" s="14"/>
      <c r="L3" s="14"/>
      <c r="M3" s="14"/>
      <c r="N3" s="14"/>
      <c r="O3" s="14"/>
      <c r="P3" s="14"/>
      <c r="Q3" s="14"/>
      <c r="R3" s="14"/>
      <c r="S3" s="217"/>
      <c r="T3" s="2"/>
    </row>
    <row r="4" spans="1:20" ht="15.6" x14ac:dyDescent="0.3">
      <c r="A4" s="12"/>
      <c r="B4" s="13"/>
      <c r="C4" s="14"/>
      <c r="D4" s="14"/>
      <c r="E4" s="14"/>
      <c r="F4" s="14"/>
      <c r="G4" s="14"/>
      <c r="H4" s="14"/>
      <c r="I4" s="14"/>
      <c r="J4" s="14"/>
      <c r="K4" s="14"/>
      <c r="L4" s="14"/>
      <c r="M4" s="14"/>
      <c r="N4" s="14"/>
      <c r="O4" s="14"/>
      <c r="P4" s="14"/>
      <c r="Q4" s="14"/>
      <c r="R4" s="14"/>
      <c r="S4" s="217"/>
      <c r="T4" s="2"/>
    </row>
    <row r="5" spans="1:20" ht="15.6" x14ac:dyDescent="0.3">
      <c r="A5" s="12"/>
      <c r="B5" s="102" t="s">
        <v>109</v>
      </c>
      <c r="C5" s="14"/>
      <c r="D5" s="14"/>
      <c r="E5" s="14"/>
      <c r="F5" s="14"/>
      <c r="G5" s="14"/>
      <c r="H5" s="14"/>
      <c r="I5" s="14"/>
      <c r="J5" s="14"/>
      <c r="K5" s="14"/>
      <c r="L5" s="14"/>
      <c r="M5" s="14"/>
      <c r="N5" s="14"/>
      <c r="O5" s="14"/>
      <c r="P5" s="14"/>
      <c r="Q5" s="14"/>
      <c r="R5" s="14"/>
      <c r="S5" s="217"/>
      <c r="T5" s="2"/>
    </row>
    <row r="6" spans="1:20" ht="15.6" x14ac:dyDescent="0.3">
      <c r="A6" s="12"/>
      <c r="B6" s="102" t="s">
        <v>111</v>
      </c>
      <c r="C6" s="14"/>
      <c r="D6" s="14"/>
      <c r="E6" s="14"/>
      <c r="F6" s="14"/>
      <c r="G6" s="14"/>
      <c r="H6" s="14"/>
      <c r="I6" s="14"/>
      <c r="J6" s="14"/>
      <c r="K6" s="14"/>
      <c r="L6" s="14"/>
      <c r="M6" s="14"/>
      <c r="N6" s="14"/>
      <c r="O6" s="14"/>
      <c r="P6" s="14"/>
      <c r="Q6" s="14"/>
      <c r="R6" s="14"/>
      <c r="S6" s="217"/>
      <c r="T6" s="2"/>
    </row>
    <row r="7" spans="1:20" ht="15.6" x14ac:dyDescent="0.3">
      <c r="A7" s="12"/>
      <c r="B7" s="102" t="s">
        <v>110</v>
      </c>
      <c r="C7" s="14"/>
      <c r="D7" s="14"/>
      <c r="E7" s="14"/>
      <c r="F7" s="14"/>
      <c r="G7" s="14"/>
      <c r="H7" s="14"/>
      <c r="I7" s="14"/>
      <c r="J7" s="14"/>
      <c r="K7" s="14"/>
      <c r="L7" s="14"/>
      <c r="M7" s="14"/>
      <c r="N7" s="14"/>
      <c r="O7" s="14"/>
      <c r="P7" s="14"/>
      <c r="Q7" s="14"/>
      <c r="R7" s="14"/>
      <c r="S7" s="217"/>
      <c r="T7" s="2"/>
    </row>
    <row r="8" spans="1:20" ht="15.6" x14ac:dyDescent="0.3">
      <c r="A8" s="12"/>
      <c r="B8" s="17"/>
      <c r="C8" s="14"/>
      <c r="D8" s="14"/>
      <c r="E8" s="14"/>
      <c r="F8" s="14"/>
      <c r="G8" s="14"/>
      <c r="H8" s="14"/>
      <c r="I8" s="14"/>
      <c r="J8" s="14"/>
      <c r="K8" s="14"/>
      <c r="L8" s="14"/>
      <c r="M8" s="14"/>
      <c r="N8" s="14"/>
      <c r="O8" s="14"/>
      <c r="P8" s="14"/>
      <c r="Q8" s="14"/>
      <c r="R8" s="14"/>
      <c r="S8" s="217"/>
      <c r="T8" s="2"/>
    </row>
    <row r="9" spans="1:20" ht="17.399999999999999" x14ac:dyDescent="0.3">
      <c r="A9" s="12"/>
      <c r="B9" s="18" t="s">
        <v>127</v>
      </c>
      <c r="C9" s="14"/>
      <c r="D9" s="14"/>
      <c r="E9" s="19"/>
      <c r="F9" s="14"/>
      <c r="G9" s="14"/>
      <c r="H9" s="19"/>
      <c r="I9" s="14"/>
      <c r="J9" s="19"/>
      <c r="K9" s="19" t="s">
        <v>128</v>
      </c>
      <c r="L9" s="19"/>
      <c r="M9" s="14"/>
      <c r="N9" s="14"/>
      <c r="O9" s="14"/>
      <c r="P9" s="14"/>
      <c r="Q9" s="14"/>
      <c r="R9" s="14"/>
      <c r="S9" s="217"/>
      <c r="T9" s="2"/>
    </row>
    <row r="10" spans="1:20" ht="15.6" x14ac:dyDescent="0.3">
      <c r="A10" s="12"/>
      <c r="B10" s="17"/>
      <c r="C10" s="20"/>
      <c r="D10" s="14"/>
      <c r="E10" s="14"/>
      <c r="F10" s="14"/>
      <c r="G10" s="14"/>
      <c r="H10" s="14"/>
      <c r="I10" s="14"/>
      <c r="J10" s="14"/>
      <c r="K10" s="14"/>
      <c r="L10" s="14"/>
      <c r="M10" s="14"/>
      <c r="N10" s="14"/>
      <c r="O10" s="14"/>
      <c r="P10" s="14"/>
      <c r="Q10" s="14"/>
      <c r="R10" s="14"/>
      <c r="S10" s="217"/>
      <c r="T10" s="2"/>
    </row>
    <row r="11" spans="1:20" ht="15.6" x14ac:dyDescent="0.3">
      <c r="A11" s="12"/>
      <c r="B11" s="88" t="s">
        <v>0</v>
      </c>
      <c r="C11" s="14"/>
      <c r="D11" s="14"/>
      <c r="E11" s="14"/>
      <c r="F11" s="14"/>
      <c r="G11" s="14"/>
      <c r="H11" s="14"/>
      <c r="I11" s="14"/>
      <c r="J11" s="14"/>
      <c r="K11" s="14"/>
      <c r="L11" s="14"/>
      <c r="M11" s="14"/>
      <c r="N11" s="14"/>
      <c r="O11" s="14"/>
      <c r="P11" s="14"/>
      <c r="Q11" s="14"/>
      <c r="R11" s="14"/>
      <c r="S11" s="217"/>
      <c r="T11" s="2"/>
    </row>
    <row r="12" spans="1:20" ht="16.2" thickBot="1" x14ac:dyDescent="0.35">
      <c r="A12" s="12"/>
      <c r="B12" s="20"/>
      <c r="C12" s="14"/>
      <c r="D12" s="14"/>
      <c r="E12" s="14"/>
      <c r="F12" s="14"/>
      <c r="G12" s="14"/>
      <c r="H12" s="14"/>
      <c r="I12" s="14"/>
      <c r="J12" s="14"/>
      <c r="K12" s="14"/>
      <c r="L12" s="14"/>
      <c r="M12" s="14"/>
      <c r="N12" s="14"/>
      <c r="O12" s="14"/>
      <c r="P12" s="14"/>
      <c r="Q12" s="14"/>
      <c r="R12" s="14"/>
      <c r="S12" s="217"/>
      <c r="T12" s="2"/>
    </row>
    <row r="13" spans="1:20" ht="15.6" x14ac:dyDescent="0.3">
      <c r="A13" s="10"/>
      <c r="B13" s="11"/>
      <c r="C13" s="11"/>
      <c r="D13" s="11"/>
      <c r="E13" s="11"/>
      <c r="F13" s="11"/>
      <c r="G13" s="11"/>
      <c r="H13" s="11"/>
      <c r="I13" s="11"/>
      <c r="J13" s="11"/>
      <c r="K13" s="11"/>
      <c r="L13" s="11"/>
      <c r="M13" s="11"/>
      <c r="N13" s="11"/>
      <c r="O13" s="11"/>
      <c r="P13" s="11"/>
      <c r="Q13" s="11"/>
      <c r="R13" s="11"/>
      <c r="S13" s="216"/>
      <c r="T13" s="2"/>
    </row>
    <row r="14" spans="1:20" ht="15.6" x14ac:dyDescent="0.3">
      <c r="A14" s="12"/>
      <c r="B14" s="88" t="s">
        <v>1</v>
      </c>
      <c r="C14" s="84"/>
      <c r="D14" s="84"/>
      <c r="E14" s="84"/>
      <c r="F14" s="84"/>
      <c r="G14" s="84"/>
      <c r="H14" s="84"/>
      <c r="I14" s="84"/>
      <c r="J14" s="84"/>
      <c r="K14" s="84"/>
      <c r="L14" s="84"/>
      <c r="M14" s="84"/>
      <c r="N14" s="84"/>
      <c r="O14" s="84"/>
      <c r="P14" s="84"/>
      <c r="Q14" s="84"/>
      <c r="R14" s="103" t="s">
        <v>223</v>
      </c>
      <c r="S14" s="218"/>
      <c r="T14" s="2"/>
    </row>
    <row r="15" spans="1:20" ht="15.6" x14ac:dyDescent="0.3">
      <c r="A15" s="12"/>
      <c r="B15" s="88" t="s">
        <v>2</v>
      </c>
      <c r="C15" s="84"/>
      <c r="D15" s="104"/>
      <c r="E15" s="104"/>
      <c r="F15" s="104"/>
      <c r="G15" s="104"/>
      <c r="H15" s="104"/>
      <c r="I15" s="104"/>
      <c r="J15" s="104"/>
      <c r="K15" s="104"/>
      <c r="L15" s="104"/>
      <c r="M15" s="104"/>
      <c r="N15" s="105"/>
      <c r="O15" s="105"/>
      <c r="P15" s="105" t="s">
        <v>154</v>
      </c>
      <c r="Q15" s="105">
        <v>1</v>
      </c>
      <c r="R15" s="103"/>
      <c r="S15" s="218"/>
      <c r="T15" s="2"/>
    </row>
    <row r="16" spans="1:20" ht="15.6" x14ac:dyDescent="0.3">
      <c r="A16" s="12"/>
      <c r="B16" s="88" t="s">
        <v>3</v>
      </c>
      <c r="C16" s="84"/>
      <c r="D16" s="104"/>
      <c r="E16" s="104"/>
      <c r="F16" s="104"/>
      <c r="G16" s="104"/>
      <c r="H16" s="104"/>
      <c r="I16" s="104"/>
      <c r="J16" s="104"/>
      <c r="K16" s="104"/>
      <c r="L16" s="104"/>
      <c r="M16" s="104"/>
      <c r="N16" s="105"/>
      <c r="O16" s="230"/>
      <c r="P16" s="105" t="s">
        <v>154</v>
      </c>
      <c r="Q16" s="230">
        <v>1</v>
      </c>
      <c r="R16" s="103"/>
      <c r="S16" s="218"/>
      <c r="T16" s="2"/>
    </row>
    <row r="17" spans="1:23" ht="15.6" x14ac:dyDescent="0.3">
      <c r="A17" s="12"/>
      <c r="B17" s="88" t="s">
        <v>4</v>
      </c>
      <c r="C17" s="84"/>
      <c r="D17" s="84"/>
      <c r="E17" s="84"/>
      <c r="F17" s="84"/>
      <c r="G17" s="84"/>
      <c r="H17" s="84"/>
      <c r="I17" s="84"/>
      <c r="J17" s="84"/>
      <c r="K17" s="84"/>
      <c r="L17" s="84"/>
      <c r="M17" s="84"/>
      <c r="N17" s="84"/>
      <c r="O17" s="84"/>
      <c r="P17" s="84"/>
      <c r="Q17" s="84"/>
      <c r="R17" s="106">
        <v>42088</v>
      </c>
      <c r="S17" s="218"/>
      <c r="T17" s="2"/>
    </row>
    <row r="18" spans="1:23" ht="15.6" x14ac:dyDescent="0.3">
      <c r="A18" s="12"/>
      <c r="B18" s="88" t="s">
        <v>5</v>
      </c>
      <c r="C18" s="84"/>
      <c r="D18" s="84"/>
      <c r="E18" s="84"/>
      <c r="F18" s="84"/>
      <c r="G18" s="84"/>
      <c r="H18" s="84"/>
      <c r="I18" s="84"/>
      <c r="J18" s="84"/>
      <c r="K18" s="84"/>
      <c r="L18" s="84"/>
      <c r="M18" s="84"/>
      <c r="N18" s="84"/>
      <c r="O18" s="84"/>
      <c r="P18" s="84"/>
      <c r="Q18" s="84"/>
      <c r="R18" s="215">
        <v>42177</v>
      </c>
      <c r="S18" s="218"/>
      <c r="T18" s="2"/>
    </row>
    <row r="19" spans="1:23" ht="15.6" x14ac:dyDescent="0.3">
      <c r="A19" s="12"/>
      <c r="B19" s="14"/>
      <c r="C19" s="14"/>
      <c r="D19" s="14"/>
      <c r="E19" s="14"/>
      <c r="F19" s="14"/>
      <c r="G19" s="14"/>
      <c r="H19" s="14"/>
      <c r="I19" s="14"/>
      <c r="J19" s="14"/>
      <c r="K19" s="14"/>
      <c r="L19" s="14"/>
      <c r="M19" s="14"/>
      <c r="N19" s="14"/>
      <c r="O19" s="14"/>
      <c r="P19" s="14"/>
      <c r="Q19" s="14"/>
      <c r="R19" s="21"/>
      <c r="S19" s="217"/>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7"/>
      <c r="T20" s="2"/>
    </row>
    <row r="21" spans="1:23" ht="15.6" x14ac:dyDescent="0.3">
      <c r="A21" s="12"/>
      <c r="B21" s="14"/>
      <c r="C21" s="14"/>
      <c r="D21" s="14"/>
      <c r="E21" s="14"/>
      <c r="F21" s="14"/>
      <c r="G21" s="14"/>
      <c r="H21" s="14"/>
      <c r="I21" s="14"/>
      <c r="J21" s="14"/>
      <c r="K21" s="14"/>
      <c r="L21" s="14"/>
      <c r="M21" s="14"/>
      <c r="N21" s="14"/>
      <c r="O21" s="14"/>
      <c r="P21" s="14"/>
      <c r="Q21" s="14"/>
      <c r="R21" s="23"/>
      <c r="S21" s="217"/>
      <c r="T21" s="2"/>
    </row>
    <row r="22" spans="1:23" ht="15.6" x14ac:dyDescent="0.3">
      <c r="A22" s="53"/>
      <c r="B22" s="54"/>
      <c r="C22" s="55"/>
      <c r="D22" s="55" t="s">
        <v>232</v>
      </c>
      <c r="E22" s="55"/>
      <c r="F22" s="55" t="s">
        <v>233</v>
      </c>
      <c r="G22" s="55"/>
      <c r="H22" s="55" t="s">
        <v>179</v>
      </c>
      <c r="I22" s="55"/>
      <c r="J22" s="55" t="s">
        <v>180</v>
      </c>
      <c r="K22" s="55"/>
      <c r="L22" s="55" t="s">
        <v>234</v>
      </c>
      <c r="M22" s="55"/>
      <c r="N22" s="55"/>
      <c r="O22" s="56"/>
      <c r="P22" s="57"/>
      <c r="Q22" s="58"/>
      <c r="R22" s="58"/>
      <c r="S22" s="219"/>
      <c r="T22" s="2"/>
    </row>
    <row r="23" spans="1:23" ht="15.6" x14ac:dyDescent="0.3">
      <c r="A23" s="24"/>
      <c r="B23" s="79" t="s">
        <v>226</v>
      </c>
      <c r="C23" s="109"/>
      <c r="D23" s="109" t="s">
        <v>112</v>
      </c>
      <c r="E23" s="109"/>
      <c r="F23" s="109" t="s">
        <v>112</v>
      </c>
      <c r="G23" s="109"/>
      <c r="H23" s="109" t="s">
        <v>178</v>
      </c>
      <c r="I23" s="109"/>
      <c r="J23" s="109" t="s">
        <v>249</v>
      </c>
      <c r="K23" s="109"/>
      <c r="L23" s="109" t="s">
        <v>153</v>
      </c>
      <c r="M23" s="109"/>
      <c r="N23" s="109"/>
      <c r="O23" s="109"/>
      <c r="P23" s="109"/>
      <c r="Q23" s="100"/>
      <c r="R23" s="100"/>
      <c r="S23" s="220"/>
      <c r="T23" s="2"/>
    </row>
    <row r="24" spans="1:23" ht="15.6" x14ac:dyDescent="0.3">
      <c r="A24" s="117"/>
      <c r="B24" s="113" t="s">
        <v>197</v>
      </c>
      <c r="C24" s="119"/>
      <c r="D24" s="114" t="s">
        <v>199</v>
      </c>
      <c r="E24" s="114"/>
      <c r="F24" s="114" t="s">
        <v>199</v>
      </c>
      <c r="G24" s="114"/>
      <c r="H24" s="114" t="s">
        <v>200</v>
      </c>
      <c r="I24" s="114"/>
      <c r="J24" s="114" t="s">
        <v>201</v>
      </c>
      <c r="K24" s="114"/>
      <c r="L24" s="114" t="s">
        <v>153</v>
      </c>
      <c r="M24" s="114"/>
      <c r="N24" s="114"/>
      <c r="O24" s="119"/>
      <c r="P24" s="114"/>
      <c r="Q24" s="115"/>
      <c r="R24" s="115"/>
      <c r="S24" s="116"/>
      <c r="T24" s="2"/>
    </row>
    <row r="25" spans="1:23" ht="15.6" x14ac:dyDescent="0.3">
      <c r="A25" s="120"/>
      <c r="B25" s="124" t="s">
        <v>227</v>
      </c>
      <c r="C25" s="119"/>
      <c r="D25" s="119" t="s">
        <v>112</v>
      </c>
      <c r="E25" s="119"/>
      <c r="F25" s="119" t="s">
        <v>112</v>
      </c>
      <c r="G25" s="119"/>
      <c r="H25" s="119" t="s">
        <v>178</v>
      </c>
      <c r="I25" s="119"/>
      <c r="J25" s="119" t="s">
        <v>249</v>
      </c>
      <c r="K25" s="119"/>
      <c r="L25" s="119" t="s">
        <v>153</v>
      </c>
      <c r="M25" s="119"/>
      <c r="N25" s="119"/>
      <c r="O25" s="119"/>
      <c r="P25" s="114"/>
      <c r="Q25" s="115"/>
      <c r="R25" s="115"/>
      <c r="S25" s="116"/>
      <c r="T25" s="2"/>
      <c r="U25" s="211"/>
      <c r="W25" s="212"/>
    </row>
    <row r="26" spans="1:23" ht="15.6" x14ac:dyDescent="0.3">
      <c r="A26" s="122"/>
      <c r="B26" s="124" t="s">
        <v>198</v>
      </c>
      <c r="C26" s="114"/>
      <c r="D26" s="119" t="s">
        <v>199</v>
      </c>
      <c r="E26" s="119"/>
      <c r="F26" s="119" t="s">
        <v>199</v>
      </c>
      <c r="G26" s="119"/>
      <c r="H26" s="119" t="s">
        <v>200</v>
      </c>
      <c r="I26" s="119"/>
      <c r="J26" s="119" t="s">
        <v>201</v>
      </c>
      <c r="K26" s="119"/>
      <c r="L26" s="119" t="s">
        <v>153</v>
      </c>
      <c r="M26" s="119"/>
      <c r="N26" s="119"/>
      <c r="O26" s="114"/>
      <c r="P26" s="123"/>
      <c r="Q26" s="115"/>
      <c r="R26" s="115"/>
      <c r="S26" s="116"/>
      <c r="T26" s="2"/>
      <c r="U26" s="211"/>
      <c r="W26" s="212"/>
    </row>
    <row r="27" spans="1:23" ht="15.6" x14ac:dyDescent="0.3">
      <c r="A27" s="122"/>
      <c r="B27" s="113" t="s">
        <v>7</v>
      </c>
      <c r="C27" s="125"/>
      <c r="D27" s="114" t="s">
        <v>228</v>
      </c>
      <c r="E27" s="114"/>
      <c r="F27" s="114" t="s">
        <v>242</v>
      </c>
      <c r="G27" s="114"/>
      <c r="H27" s="114" t="s">
        <v>243</v>
      </c>
      <c r="I27" s="114"/>
      <c r="J27" s="114" t="s">
        <v>244</v>
      </c>
      <c r="K27" s="114"/>
      <c r="L27" s="114" t="s">
        <v>245</v>
      </c>
      <c r="M27" s="114"/>
      <c r="N27" s="114"/>
      <c r="O27" s="126"/>
      <c r="P27" s="126"/>
      <c r="Q27" s="127"/>
      <c r="R27" s="126"/>
      <c r="S27" s="128"/>
      <c r="T27" s="2"/>
      <c r="U27" s="211"/>
      <c r="W27" s="212"/>
    </row>
    <row r="28" spans="1:23" ht="15.6" x14ac:dyDescent="0.3">
      <c r="A28" s="120"/>
      <c r="B28" s="113" t="s">
        <v>106</v>
      </c>
      <c r="C28" s="129"/>
      <c r="D28" s="235">
        <v>164000</v>
      </c>
      <c r="E28" s="130"/>
      <c r="F28" s="201">
        <v>151700</v>
      </c>
      <c r="G28" s="198"/>
      <c r="H28" s="201">
        <v>12000</v>
      </c>
      <c r="I28" s="198"/>
      <c r="J28" s="201">
        <v>12000</v>
      </c>
      <c r="K28" s="126"/>
      <c r="L28" s="201">
        <v>7500</v>
      </c>
      <c r="M28" s="126"/>
      <c r="N28" s="130"/>
      <c r="O28" s="131"/>
      <c r="P28" s="131"/>
      <c r="Q28" s="132"/>
      <c r="R28" s="126"/>
      <c r="S28" s="128"/>
      <c r="T28" s="2"/>
    </row>
    <row r="29" spans="1:23" ht="15.6" x14ac:dyDescent="0.3">
      <c r="A29" s="122"/>
      <c r="B29" s="113" t="s">
        <v>105</v>
      </c>
      <c r="C29" s="125"/>
      <c r="D29" s="235">
        <v>0</v>
      </c>
      <c r="E29" s="130"/>
      <c r="F29" s="201">
        <v>0</v>
      </c>
      <c r="G29" s="201"/>
      <c r="H29" s="201">
        <v>0</v>
      </c>
      <c r="I29" s="201"/>
      <c r="J29" s="201">
        <v>0</v>
      </c>
      <c r="K29" s="126"/>
      <c r="L29" s="201">
        <v>0</v>
      </c>
      <c r="M29" s="126"/>
      <c r="N29" s="130"/>
      <c r="O29" s="126"/>
      <c r="P29" s="126"/>
      <c r="Q29" s="127"/>
      <c r="R29" s="126"/>
      <c r="S29" s="128"/>
      <c r="T29" s="2"/>
    </row>
    <row r="30" spans="1:23" ht="15.6" x14ac:dyDescent="0.3">
      <c r="A30" s="122"/>
      <c r="B30" s="121" t="s">
        <v>107</v>
      </c>
      <c r="C30" s="125"/>
      <c r="D30" s="236">
        <f>D28*D34</f>
        <v>163588.3272</v>
      </c>
      <c r="E30" s="202"/>
      <c r="F30" s="202">
        <f t="shared" ref="F30" si="0">F28*F34</f>
        <v>151319.20266000001</v>
      </c>
      <c r="G30" s="202"/>
      <c r="H30" s="202">
        <f t="shared" ref="H30" si="1">H28*H34</f>
        <v>12000</v>
      </c>
      <c r="I30" s="202"/>
      <c r="J30" s="202">
        <f t="shared" ref="J30" si="2">J28*J34</f>
        <v>12000</v>
      </c>
      <c r="K30" s="202"/>
      <c r="L30" s="202">
        <f t="shared" ref="L30" si="3">L28*L34</f>
        <v>7500</v>
      </c>
      <c r="M30" s="131"/>
      <c r="N30" s="133"/>
      <c r="O30" s="126"/>
      <c r="P30" s="126"/>
      <c r="Q30" s="127"/>
      <c r="R30" s="203"/>
      <c r="S30" s="128"/>
      <c r="T30" s="2"/>
    </row>
    <row r="31" spans="1:23" ht="15.6" x14ac:dyDescent="0.3">
      <c r="A31" s="122"/>
      <c r="B31" s="113" t="s">
        <v>229</v>
      </c>
      <c r="C31" s="125"/>
      <c r="D31" s="201">
        <v>116809</v>
      </c>
      <c r="E31" s="201"/>
      <c r="F31" s="201">
        <v>151700</v>
      </c>
      <c r="G31" s="201"/>
      <c r="H31" s="201">
        <v>12000</v>
      </c>
      <c r="I31" s="201"/>
      <c r="J31" s="201">
        <v>12000</v>
      </c>
      <c r="K31" s="201"/>
      <c r="L31" s="201">
        <v>7500</v>
      </c>
      <c r="M31" s="126"/>
      <c r="N31" s="133"/>
      <c r="O31" s="126"/>
      <c r="P31" s="126"/>
      <c r="Q31" s="127"/>
      <c r="R31" s="126">
        <f>SUM(D31:L31)</f>
        <v>300009</v>
      </c>
      <c r="S31" s="128"/>
      <c r="T31" s="2"/>
    </row>
    <row r="32" spans="1:23" ht="15.6" x14ac:dyDescent="0.3">
      <c r="A32" s="122"/>
      <c r="B32" s="113" t="s">
        <v>230</v>
      </c>
      <c r="C32" s="125"/>
      <c r="D32" s="201">
        <v>0</v>
      </c>
      <c r="E32" s="201"/>
      <c r="F32" s="201">
        <v>0</v>
      </c>
      <c r="G32" s="201"/>
      <c r="H32" s="201">
        <v>0</v>
      </c>
      <c r="I32" s="201"/>
      <c r="J32" s="201">
        <v>0</v>
      </c>
      <c r="K32" s="201"/>
      <c r="L32" s="201">
        <v>0</v>
      </c>
      <c r="M32" s="126"/>
      <c r="N32" s="133"/>
      <c r="O32" s="126"/>
      <c r="P32" s="126"/>
      <c r="Q32" s="127"/>
      <c r="R32" s="126">
        <f>SUM(D32:L32)</f>
        <v>0</v>
      </c>
      <c r="S32" s="128"/>
      <c r="T32" s="2"/>
    </row>
    <row r="33" spans="1:20" ht="15.6" x14ac:dyDescent="0.3">
      <c r="A33" s="122"/>
      <c r="B33" s="124" t="s">
        <v>231</v>
      </c>
      <c r="C33" s="125"/>
      <c r="D33" s="237">
        <f>D31*D34</f>
        <v>116515.7860482</v>
      </c>
      <c r="E33" s="237"/>
      <c r="F33" s="237">
        <f t="shared" ref="F33:L33" si="4">F31*F34</f>
        <v>151319.20266000001</v>
      </c>
      <c r="G33" s="237"/>
      <c r="H33" s="237">
        <f t="shared" si="4"/>
        <v>12000</v>
      </c>
      <c r="I33" s="237"/>
      <c r="J33" s="237">
        <f t="shared" si="4"/>
        <v>12000</v>
      </c>
      <c r="K33" s="237"/>
      <c r="L33" s="237">
        <f t="shared" si="4"/>
        <v>7500</v>
      </c>
      <c r="M33" s="131"/>
      <c r="N33" s="133"/>
      <c r="O33" s="126"/>
      <c r="P33" s="126"/>
      <c r="Q33" s="127"/>
      <c r="R33" s="203">
        <f>SUM(D33:L33)</f>
        <v>299334.98870819999</v>
      </c>
      <c r="S33" s="128"/>
      <c r="T33" s="2"/>
    </row>
    <row r="34" spans="1:20" ht="15.6" x14ac:dyDescent="0.3">
      <c r="A34" s="112"/>
      <c r="B34" s="134" t="s">
        <v>103</v>
      </c>
      <c r="C34" s="135"/>
      <c r="D34" s="136">
        <v>0.99748979999999998</v>
      </c>
      <c r="E34" s="136"/>
      <c r="F34" s="136">
        <v>0.99748979999999998</v>
      </c>
      <c r="G34" s="136"/>
      <c r="H34" s="136">
        <v>1</v>
      </c>
      <c r="I34" s="136"/>
      <c r="J34" s="136">
        <v>1</v>
      </c>
      <c r="K34" s="136"/>
      <c r="L34" s="136">
        <v>1</v>
      </c>
      <c r="M34" s="136"/>
      <c r="N34" s="136"/>
      <c r="O34" s="137"/>
      <c r="P34" s="137"/>
      <c r="Q34" s="138"/>
      <c r="R34" s="204"/>
      <c r="S34" s="139"/>
      <c r="T34" s="2"/>
    </row>
    <row r="35" spans="1:20" ht="15.6" x14ac:dyDescent="0.3">
      <c r="A35" s="112"/>
      <c r="B35" s="134" t="s">
        <v>104</v>
      </c>
      <c r="C35" s="135"/>
      <c r="D35" s="136">
        <v>1</v>
      </c>
      <c r="E35" s="136"/>
      <c r="F35" s="136">
        <v>1</v>
      </c>
      <c r="G35" s="136"/>
      <c r="H35" s="136">
        <v>1</v>
      </c>
      <c r="I35" s="136"/>
      <c r="J35" s="136">
        <v>1</v>
      </c>
      <c r="K35" s="136"/>
      <c r="L35" s="136">
        <v>1</v>
      </c>
      <c r="M35" s="136"/>
      <c r="N35" s="136"/>
      <c r="O35" s="140"/>
      <c r="P35" s="141"/>
      <c r="Q35" s="138"/>
      <c r="R35" s="140"/>
      <c r="S35" s="139"/>
      <c r="T35" s="2"/>
    </row>
    <row r="36" spans="1:20" ht="15.6" x14ac:dyDescent="0.3">
      <c r="A36" s="112"/>
      <c r="B36" s="113" t="s">
        <v>8</v>
      </c>
      <c r="C36" s="113"/>
      <c r="D36" s="123" t="s">
        <v>240</v>
      </c>
      <c r="E36" s="123"/>
      <c r="F36" s="123" t="s">
        <v>220</v>
      </c>
      <c r="G36" s="123"/>
      <c r="H36" s="123" t="s">
        <v>247</v>
      </c>
      <c r="I36" s="123"/>
      <c r="J36" s="123" t="s">
        <v>250</v>
      </c>
      <c r="K36" s="123"/>
      <c r="L36" s="123" t="s">
        <v>252</v>
      </c>
      <c r="M36" s="123"/>
      <c r="N36" s="123"/>
      <c r="O36" s="142"/>
      <c r="P36" s="143"/>
      <c r="Q36" s="115"/>
      <c r="R36" s="115"/>
      <c r="S36" s="116"/>
      <c r="T36" s="2"/>
    </row>
    <row r="37" spans="1:20" ht="15.6" x14ac:dyDescent="0.3">
      <c r="A37" s="112"/>
      <c r="B37" s="113" t="s">
        <v>9</v>
      </c>
      <c r="C37" s="144"/>
      <c r="D37" s="143">
        <v>5.1700000000000001E-3</v>
      </c>
      <c r="E37" s="143"/>
      <c r="F37" s="143">
        <v>1.3546300000000001E-2</v>
      </c>
      <c r="G37" s="143"/>
      <c r="H37" s="143">
        <v>1.9046299999999999E-2</v>
      </c>
      <c r="I37" s="143"/>
      <c r="J37" s="143">
        <v>2.2046300000000001E-2</v>
      </c>
      <c r="K37" s="143"/>
      <c r="L37" s="143">
        <v>2.5546300000000001E-2</v>
      </c>
      <c r="M37" s="142"/>
      <c r="N37" s="143"/>
      <c r="O37" s="123"/>
      <c r="P37" s="123"/>
      <c r="Q37" s="115"/>
      <c r="R37" s="142"/>
      <c r="S37" s="116"/>
      <c r="T37" s="2"/>
    </row>
    <row r="38" spans="1:20" ht="15.6" x14ac:dyDescent="0.3">
      <c r="A38" s="112"/>
      <c r="B38" s="113" t="s">
        <v>10</v>
      </c>
      <c r="C38" s="144"/>
      <c r="D38" s="143">
        <v>0</v>
      </c>
      <c r="E38" s="143"/>
      <c r="F38" s="143">
        <v>0</v>
      </c>
      <c r="G38" s="143"/>
      <c r="H38" s="143">
        <v>0</v>
      </c>
      <c r="I38" s="143"/>
      <c r="J38" s="143">
        <v>0</v>
      </c>
      <c r="K38" s="143"/>
      <c r="L38" s="143">
        <v>0</v>
      </c>
      <c r="M38" s="142"/>
      <c r="N38" s="143"/>
      <c r="O38" s="123"/>
      <c r="P38" s="123"/>
      <c r="Q38" s="115"/>
      <c r="R38" s="115"/>
      <c r="S38" s="116"/>
      <c r="T38" s="2"/>
    </row>
    <row r="39" spans="1:20" ht="15.6" x14ac:dyDescent="0.3">
      <c r="A39" s="112"/>
      <c r="B39" s="113" t="s">
        <v>235</v>
      </c>
      <c r="C39" s="144"/>
      <c r="D39" s="240" t="s">
        <v>260</v>
      </c>
      <c r="E39" s="143"/>
      <c r="F39" s="143" t="s">
        <v>220</v>
      </c>
      <c r="G39" s="143"/>
      <c r="H39" s="143" t="s">
        <v>247</v>
      </c>
      <c r="I39" s="143"/>
      <c r="J39" s="123" t="s">
        <v>250</v>
      </c>
      <c r="K39" s="143"/>
      <c r="L39" s="143" t="s">
        <v>252</v>
      </c>
      <c r="M39" s="142"/>
      <c r="N39" s="143"/>
      <c r="O39" s="123"/>
      <c r="P39" s="123"/>
      <c r="Q39" s="115"/>
      <c r="R39" s="115"/>
      <c r="S39" s="116"/>
      <c r="T39" s="2"/>
    </row>
    <row r="40" spans="1:20" ht="15.6" x14ac:dyDescent="0.3">
      <c r="A40" s="112"/>
      <c r="B40" s="113" t="s">
        <v>236</v>
      </c>
      <c r="C40" s="144"/>
      <c r="D40" s="143">
        <v>1.59463E-2</v>
      </c>
      <c r="E40" s="143"/>
      <c r="F40" s="143">
        <f>+F37</f>
        <v>1.3546300000000001E-2</v>
      </c>
      <c r="G40" s="143"/>
      <c r="H40" s="143">
        <f>+H37</f>
        <v>1.9046299999999999E-2</v>
      </c>
      <c r="I40" s="143"/>
      <c r="J40" s="143">
        <f>+J37</f>
        <v>2.2046300000000001E-2</v>
      </c>
      <c r="K40" s="143"/>
      <c r="L40" s="143">
        <f>+L37</f>
        <v>2.5546300000000001E-2</v>
      </c>
      <c r="M40" s="142"/>
      <c r="N40" s="143"/>
      <c r="O40" s="123"/>
      <c r="P40" s="123"/>
      <c r="Q40" s="115"/>
      <c r="R40" s="142">
        <f>SUMPRODUCT(D40:L40,D31:L31)/R31</f>
        <v>1.5340718167454973E-2</v>
      </c>
      <c r="S40" s="116"/>
      <c r="T40" s="2"/>
    </row>
    <row r="41" spans="1:20" ht="15.6" x14ac:dyDescent="0.3">
      <c r="A41" s="112"/>
      <c r="B41" s="113" t="s">
        <v>237</v>
      </c>
      <c r="C41" s="144"/>
      <c r="D41" s="143">
        <v>0</v>
      </c>
      <c r="E41" s="143"/>
      <c r="F41" s="143">
        <v>0</v>
      </c>
      <c r="G41" s="143"/>
      <c r="H41" s="143">
        <v>0</v>
      </c>
      <c r="I41" s="143"/>
      <c r="J41" s="143">
        <v>0</v>
      </c>
      <c r="K41" s="143"/>
      <c r="L41" s="143">
        <v>0</v>
      </c>
      <c r="M41" s="142"/>
      <c r="N41" s="143"/>
      <c r="O41" s="123"/>
      <c r="P41" s="123"/>
      <c r="Q41" s="115"/>
      <c r="R41" s="115"/>
      <c r="S41" s="116"/>
      <c r="T41" s="2"/>
    </row>
    <row r="42" spans="1:20" ht="15.6" x14ac:dyDescent="0.3">
      <c r="A42" s="112"/>
      <c r="B42" s="113" t="s">
        <v>238</v>
      </c>
      <c r="C42" s="113"/>
      <c r="D42" s="144">
        <v>43631</v>
      </c>
      <c r="E42" s="144"/>
      <c r="F42" s="144">
        <v>43631</v>
      </c>
      <c r="G42" s="144"/>
      <c r="H42" s="144">
        <v>43631</v>
      </c>
      <c r="I42" s="144"/>
      <c r="J42" s="144">
        <v>43631</v>
      </c>
      <c r="K42" s="144"/>
      <c r="L42" s="144">
        <v>43631</v>
      </c>
      <c r="M42" s="144"/>
      <c r="N42" s="144"/>
      <c r="O42" s="123"/>
      <c r="P42" s="123"/>
      <c r="Q42" s="115"/>
      <c r="R42" s="115"/>
      <c r="S42" s="116"/>
      <c r="T42" s="2"/>
    </row>
    <row r="43" spans="1:20" ht="15.6" x14ac:dyDescent="0.3">
      <c r="A43" s="112"/>
      <c r="B43" s="113" t="s">
        <v>11</v>
      </c>
      <c r="C43" s="113"/>
      <c r="D43" s="144">
        <v>43631</v>
      </c>
      <c r="E43" s="144"/>
      <c r="F43" s="144">
        <v>43631</v>
      </c>
      <c r="G43" s="123"/>
      <c r="H43" s="144">
        <v>43631</v>
      </c>
      <c r="I43" s="123"/>
      <c r="J43" s="144">
        <v>43631</v>
      </c>
      <c r="K43" s="123"/>
      <c r="L43" s="144" t="s">
        <v>97</v>
      </c>
      <c r="M43" s="123"/>
      <c r="N43" s="144"/>
      <c r="O43" s="123"/>
      <c r="P43" s="123"/>
      <c r="Q43" s="115"/>
      <c r="R43" s="115"/>
      <c r="S43" s="116"/>
      <c r="T43" s="2"/>
    </row>
    <row r="44" spans="1:20" ht="15.6" x14ac:dyDescent="0.3">
      <c r="A44" s="112"/>
      <c r="B44" s="113" t="s">
        <v>98</v>
      </c>
      <c r="C44" s="113"/>
      <c r="D44" s="123" t="s">
        <v>241</v>
      </c>
      <c r="E44" s="123"/>
      <c r="F44" s="123" t="s">
        <v>246</v>
      </c>
      <c r="G44" s="123"/>
      <c r="H44" s="123" t="s">
        <v>248</v>
      </c>
      <c r="I44" s="123"/>
      <c r="J44" s="123" t="s">
        <v>251</v>
      </c>
      <c r="K44" s="123"/>
      <c r="L44" s="123" t="s">
        <v>97</v>
      </c>
      <c r="M44" s="123"/>
      <c r="N44" s="123"/>
      <c r="O44" s="145"/>
      <c r="P44" s="145"/>
      <c r="Q44" s="145"/>
      <c r="R44" s="145"/>
      <c r="S44" s="116"/>
      <c r="T44" s="2"/>
    </row>
    <row r="45" spans="1:20" ht="15.6" x14ac:dyDescent="0.3">
      <c r="A45" s="112"/>
      <c r="B45" s="113" t="s">
        <v>239</v>
      </c>
      <c r="C45" s="113"/>
      <c r="D45" s="123" t="s">
        <v>273</v>
      </c>
      <c r="E45" s="123"/>
      <c r="F45" s="123" t="s">
        <v>246</v>
      </c>
      <c r="G45" s="123"/>
      <c r="H45" s="123" t="s">
        <v>248</v>
      </c>
      <c r="I45" s="123"/>
      <c r="J45" s="123" t="s">
        <v>251</v>
      </c>
      <c r="K45" s="123"/>
      <c r="L45" s="123" t="s">
        <v>97</v>
      </c>
      <c r="M45" s="123"/>
      <c r="N45" s="123"/>
      <c r="O45" s="145"/>
      <c r="P45" s="145"/>
      <c r="Q45" s="145"/>
      <c r="R45" s="145"/>
      <c r="S45" s="116"/>
      <c r="T45" s="2"/>
    </row>
    <row r="46" spans="1:20" ht="15.6" x14ac:dyDescent="0.3">
      <c r="A46" s="112"/>
      <c r="B46" s="113"/>
      <c r="C46" s="113"/>
      <c r="D46" s="123"/>
      <c r="E46" s="123"/>
      <c r="F46" s="123"/>
      <c r="G46" s="123"/>
      <c r="H46" s="123"/>
      <c r="I46" s="123"/>
      <c r="J46" s="123"/>
      <c r="K46" s="123"/>
      <c r="L46" s="123"/>
      <c r="M46" s="123"/>
      <c r="N46" s="123"/>
      <c r="O46" s="113"/>
      <c r="P46" s="113"/>
      <c r="Q46" s="113"/>
      <c r="R46" s="142" t="s">
        <v>130</v>
      </c>
      <c r="S46" s="116"/>
      <c r="T46" s="2"/>
    </row>
    <row r="47" spans="1:20" ht="15.6" x14ac:dyDescent="0.3">
      <c r="A47" s="112"/>
      <c r="B47" s="113" t="s">
        <v>253</v>
      </c>
      <c r="C47" s="113"/>
      <c r="D47" s="123"/>
      <c r="E47" s="123"/>
      <c r="F47" s="123"/>
      <c r="G47" s="123"/>
      <c r="H47" s="123"/>
      <c r="I47" s="123"/>
      <c r="J47" s="123"/>
      <c r="K47" s="123"/>
      <c r="L47" s="123"/>
      <c r="M47" s="123"/>
      <c r="N47" s="123"/>
      <c r="O47" s="113"/>
      <c r="P47" s="113"/>
      <c r="Q47" s="113"/>
      <c r="R47" s="238">
        <f>SUM(H31:L31)/(D31+F31)</f>
        <v>0.11731450342446621</v>
      </c>
      <c r="S47" s="116"/>
      <c r="T47" s="2"/>
    </row>
    <row r="48" spans="1:20" ht="15.6" x14ac:dyDescent="0.3">
      <c r="A48" s="112"/>
      <c r="B48" s="113" t="s">
        <v>254</v>
      </c>
      <c r="C48" s="113"/>
      <c r="D48" s="113"/>
      <c r="E48" s="113"/>
      <c r="F48" s="113"/>
      <c r="G48" s="113"/>
      <c r="H48" s="113"/>
      <c r="I48" s="113"/>
      <c r="J48" s="113"/>
      <c r="K48" s="113"/>
      <c r="L48" s="113"/>
      <c r="M48" s="113"/>
      <c r="N48" s="113"/>
      <c r="O48" s="113"/>
      <c r="P48" s="113"/>
      <c r="Q48" s="113"/>
      <c r="R48" s="238">
        <f>SUM(H33:L33)/(D33+F33)</f>
        <v>0.11760972736209055</v>
      </c>
      <c r="S48" s="116"/>
      <c r="T48" s="2"/>
    </row>
    <row r="49" spans="1:21" ht="15.6" x14ac:dyDescent="0.3">
      <c r="A49" s="112"/>
      <c r="B49" s="113" t="s">
        <v>255</v>
      </c>
      <c r="C49" s="113"/>
      <c r="D49" s="113"/>
      <c r="E49" s="113"/>
      <c r="F49" s="113"/>
      <c r="G49" s="113"/>
      <c r="H49" s="113"/>
      <c r="I49" s="113"/>
      <c r="J49" s="113"/>
      <c r="K49" s="113"/>
      <c r="L49" s="113"/>
      <c r="M49" s="113"/>
      <c r="N49" s="113"/>
      <c r="O49" s="113"/>
      <c r="P49" s="123"/>
      <c r="Q49" s="123"/>
      <c r="R49" s="126" t="s">
        <v>149</v>
      </c>
      <c r="S49" s="116"/>
      <c r="T49" s="2"/>
    </row>
    <row r="50" spans="1:21" ht="15.6" x14ac:dyDescent="0.3">
      <c r="A50" s="112"/>
      <c r="B50" s="113"/>
      <c r="C50" s="113"/>
      <c r="D50" s="113"/>
      <c r="E50" s="113"/>
      <c r="F50" s="113"/>
      <c r="G50" s="113"/>
      <c r="H50" s="113"/>
      <c r="I50" s="113"/>
      <c r="J50" s="113"/>
      <c r="K50" s="113"/>
      <c r="L50" s="113"/>
      <c r="M50" s="113"/>
      <c r="N50" s="113"/>
      <c r="O50" s="113"/>
      <c r="P50" s="113"/>
      <c r="Q50" s="113"/>
      <c r="R50" s="146"/>
      <c r="S50" s="116"/>
      <c r="T50" s="2"/>
    </row>
    <row r="51" spans="1:21" ht="15.6" x14ac:dyDescent="0.3">
      <c r="A51" s="112"/>
      <c r="B51" s="113" t="s">
        <v>225</v>
      </c>
      <c r="C51" s="113"/>
      <c r="D51" s="113"/>
      <c r="E51" s="113"/>
      <c r="F51" s="113"/>
      <c r="G51" s="113"/>
      <c r="H51" s="113"/>
      <c r="I51" s="113"/>
      <c r="J51" s="113"/>
      <c r="K51" s="113"/>
      <c r="L51" s="113"/>
      <c r="M51" s="113"/>
      <c r="N51" s="113"/>
      <c r="O51" s="113"/>
      <c r="P51" s="113"/>
      <c r="Q51" s="113"/>
      <c r="R51" s="147" t="s">
        <v>91</v>
      </c>
      <c r="S51" s="116"/>
      <c r="T51" s="2"/>
    </row>
    <row r="52" spans="1:21" ht="15.6" x14ac:dyDescent="0.3">
      <c r="A52" s="112"/>
      <c r="B52" s="121" t="s">
        <v>131</v>
      </c>
      <c r="C52" s="121"/>
      <c r="D52" s="121"/>
      <c r="E52" s="121"/>
      <c r="F52" s="121"/>
      <c r="G52" s="121"/>
      <c r="H52" s="121"/>
      <c r="I52" s="121"/>
      <c r="J52" s="121"/>
      <c r="K52" s="121"/>
      <c r="L52" s="121"/>
      <c r="M52" s="121"/>
      <c r="N52" s="121"/>
      <c r="O52" s="121"/>
      <c r="P52" s="148"/>
      <c r="Q52" s="148"/>
      <c r="R52" s="149">
        <v>42170</v>
      </c>
      <c r="S52" s="116"/>
      <c r="T52" s="2"/>
    </row>
    <row r="53" spans="1:21" ht="15.6" x14ac:dyDescent="0.3">
      <c r="A53" s="112"/>
      <c r="B53" s="113" t="s">
        <v>99</v>
      </c>
      <c r="C53" s="113"/>
      <c r="D53" s="150"/>
      <c r="E53" s="150"/>
      <c r="F53" s="150"/>
      <c r="G53" s="150"/>
      <c r="H53" s="150"/>
      <c r="I53" s="150"/>
      <c r="J53" s="150"/>
      <c r="K53" s="150"/>
      <c r="L53" s="150"/>
      <c r="M53" s="150"/>
      <c r="N53" s="113"/>
      <c r="O53" s="150"/>
      <c r="P53" s="151"/>
      <c r="Q53" s="152"/>
      <c r="R53" s="151"/>
      <c r="S53" s="116"/>
      <c r="T53" s="2"/>
    </row>
    <row r="54" spans="1:21" ht="15.6" x14ac:dyDescent="0.3">
      <c r="A54" s="112"/>
      <c r="B54" s="113" t="s">
        <v>100</v>
      </c>
      <c r="C54" s="113"/>
      <c r="D54" s="113"/>
      <c r="E54" s="113"/>
      <c r="F54" s="113"/>
      <c r="G54" s="113"/>
      <c r="H54" s="113"/>
      <c r="I54" s="113"/>
      <c r="J54" s="113"/>
      <c r="K54" s="113"/>
      <c r="L54" s="113"/>
      <c r="M54" s="113"/>
      <c r="N54" s="113">
        <f>+R54-P54+1</f>
        <v>82</v>
      </c>
      <c r="O54" s="113"/>
      <c r="P54" s="151">
        <v>42088</v>
      </c>
      <c r="Q54" s="152"/>
      <c r="R54" s="151">
        <v>42169</v>
      </c>
      <c r="S54" s="116"/>
      <c r="T54" s="2"/>
    </row>
    <row r="55" spans="1:21" ht="15.6" x14ac:dyDescent="0.3">
      <c r="A55" s="112"/>
      <c r="B55" s="113" t="s">
        <v>261</v>
      </c>
      <c r="C55" s="113"/>
      <c r="D55" s="113"/>
      <c r="E55" s="113"/>
      <c r="F55" s="113"/>
      <c r="G55" s="113"/>
      <c r="H55" s="113"/>
      <c r="I55" s="113"/>
      <c r="J55" s="113"/>
      <c r="K55" s="113"/>
      <c r="L55" s="113"/>
      <c r="M55" s="113"/>
      <c r="N55" s="113"/>
      <c r="O55" s="113"/>
      <c r="P55" s="151"/>
      <c r="Q55" s="152"/>
      <c r="R55" s="151" t="s">
        <v>263</v>
      </c>
      <c r="S55" s="116"/>
      <c r="T55" s="2"/>
    </row>
    <row r="56" spans="1:21" ht="15.6" x14ac:dyDescent="0.3">
      <c r="A56" s="112"/>
      <c r="B56" s="113" t="s">
        <v>262</v>
      </c>
      <c r="C56" s="113"/>
      <c r="D56" s="113"/>
      <c r="E56" s="113"/>
      <c r="F56" s="113"/>
      <c r="G56" s="113"/>
      <c r="H56" s="113"/>
      <c r="I56" s="113"/>
      <c r="J56" s="113"/>
      <c r="K56" s="113"/>
      <c r="L56" s="113"/>
      <c r="M56" s="113"/>
      <c r="N56" s="113"/>
      <c r="O56" s="113"/>
      <c r="P56" s="151"/>
      <c r="Q56" s="152"/>
      <c r="R56" s="151" t="s">
        <v>118</v>
      </c>
      <c r="S56" s="116"/>
      <c r="T56" s="2"/>
      <c r="U56" s="5"/>
    </row>
    <row r="57" spans="1:21" ht="15.6" x14ac:dyDescent="0.3">
      <c r="A57" s="112"/>
      <c r="B57" s="113" t="s">
        <v>12</v>
      </c>
      <c r="C57" s="113"/>
      <c r="D57" s="113"/>
      <c r="E57" s="113"/>
      <c r="F57" s="113"/>
      <c r="G57" s="113"/>
      <c r="H57" s="113"/>
      <c r="I57" s="113"/>
      <c r="J57" s="113"/>
      <c r="K57" s="113"/>
      <c r="L57" s="113"/>
      <c r="M57" s="113"/>
      <c r="N57" s="113"/>
      <c r="O57" s="113"/>
      <c r="P57" s="151"/>
      <c r="Q57" s="152"/>
      <c r="R57" s="239">
        <v>42156</v>
      </c>
      <c r="S57" s="116"/>
      <c r="T57" s="2"/>
    </row>
    <row r="58" spans="1:21" ht="15.6" x14ac:dyDescent="0.3">
      <c r="A58" s="12"/>
      <c r="B58" s="43"/>
      <c r="C58" s="43"/>
      <c r="D58" s="43"/>
      <c r="E58" s="43"/>
      <c r="F58" s="43"/>
      <c r="G58" s="43"/>
      <c r="H58" s="43"/>
      <c r="I58" s="43"/>
      <c r="J58" s="43"/>
      <c r="K58" s="43"/>
      <c r="L58" s="43"/>
      <c r="M58" s="43"/>
      <c r="N58" s="43"/>
      <c r="O58" s="43"/>
      <c r="P58" s="110"/>
      <c r="Q58" s="111"/>
      <c r="R58" s="110"/>
      <c r="S58" s="217"/>
      <c r="T58" s="2"/>
    </row>
    <row r="59" spans="1:21" ht="15.6" x14ac:dyDescent="0.3">
      <c r="A59" s="12"/>
      <c r="B59" s="14"/>
      <c r="C59" s="14"/>
      <c r="D59" s="14"/>
      <c r="E59" s="14"/>
      <c r="F59" s="14"/>
      <c r="G59" s="14"/>
      <c r="H59" s="14"/>
      <c r="I59" s="14"/>
      <c r="J59" s="14"/>
      <c r="K59" s="14"/>
      <c r="L59" s="14"/>
      <c r="M59" s="14"/>
      <c r="N59" s="14"/>
      <c r="O59" s="14"/>
      <c r="P59" s="26"/>
      <c r="Q59" s="27"/>
      <c r="R59" s="26"/>
      <c r="S59" s="217"/>
      <c r="T59" s="2"/>
    </row>
    <row r="60" spans="1:21" ht="18" thickBot="1" x14ac:dyDescent="0.35">
      <c r="A60" s="28"/>
      <c r="B60" s="97" t="s">
        <v>224</v>
      </c>
      <c r="C60" s="29"/>
      <c r="D60" s="29"/>
      <c r="E60" s="29"/>
      <c r="F60" s="29"/>
      <c r="G60" s="29"/>
      <c r="H60" s="29"/>
      <c r="I60" s="29"/>
      <c r="J60" s="29"/>
      <c r="K60" s="29"/>
      <c r="L60" s="29"/>
      <c r="M60" s="29"/>
      <c r="N60" s="29"/>
      <c r="O60" s="29"/>
      <c r="P60" s="29"/>
      <c r="Q60" s="29"/>
      <c r="R60" s="30"/>
      <c r="S60" s="31"/>
      <c r="T60" s="2"/>
    </row>
    <row r="61" spans="1:21" ht="15.6" x14ac:dyDescent="0.3">
      <c r="A61" s="53"/>
      <c r="B61" s="59" t="s">
        <v>13</v>
      </c>
      <c r="C61" s="54"/>
      <c r="D61" s="54"/>
      <c r="E61" s="54"/>
      <c r="F61" s="54"/>
      <c r="G61" s="54"/>
      <c r="H61" s="54"/>
      <c r="I61" s="54"/>
      <c r="J61" s="54"/>
      <c r="K61" s="54"/>
      <c r="L61" s="54"/>
      <c r="M61" s="54"/>
      <c r="N61" s="54"/>
      <c r="O61" s="54"/>
      <c r="P61" s="54"/>
      <c r="Q61" s="54"/>
      <c r="R61" s="60"/>
      <c r="S61" s="54"/>
      <c r="T61" s="2"/>
    </row>
    <row r="62" spans="1:21" ht="15.6" x14ac:dyDescent="0.3">
      <c r="A62" s="12"/>
      <c r="B62" s="20"/>
      <c r="C62" s="14"/>
      <c r="D62" s="14"/>
      <c r="E62" s="14"/>
      <c r="F62" s="14"/>
      <c r="G62" s="14"/>
      <c r="H62" s="14"/>
      <c r="I62" s="14"/>
      <c r="J62" s="14"/>
      <c r="K62" s="14"/>
      <c r="L62" s="14"/>
      <c r="M62" s="14"/>
      <c r="N62" s="14"/>
      <c r="O62" s="14"/>
      <c r="P62" s="14"/>
      <c r="Q62" s="14"/>
      <c r="R62" s="33"/>
      <c r="S62" s="217"/>
      <c r="T62" s="2"/>
    </row>
    <row r="63" spans="1:21" ht="46.8" x14ac:dyDescent="0.3">
      <c r="A63" s="12"/>
      <c r="B63" s="34" t="s">
        <v>14</v>
      </c>
      <c r="C63" s="35"/>
      <c r="D63" s="35"/>
      <c r="E63" s="35"/>
      <c r="F63" s="35" t="s">
        <v>76</v>
      </c>
      <c r="G63" s="35"/>
      <c r="H63" s="35" t="s">
        <v>78</v>
      </c>
      <c r="I63" s="35"/>
      <c r="J63" s="35" t="s">
        <v>162</v>
      </c>
      <c r="K63" s="35"/>
      <c r="L63" s="35" t="s">
        <v>163</v>
      </c>
      <c r="M63" s="35"/>
      <c r="N63" s="35" t="s">
        <v>81</v>
      </c>
      <c r="O63" s="35"/>
      <c r="P63" s="35" t="s">
        <v>86</v>
      </c>
      <c r="Q63" s="35"/>
      <c r="R63" s="36" t="s">
        <v>92</v>
      </c>
      <c r="S63" s="221"/>
      <c r="T63" s="2"/>
    </row>
    <row r="64" spans="1:21" ht="15.6" x14ac:dyDescent="0.3">
      <c r="A64" s="112"/>
      <c r="B64" s="113" t="s">
        <v>15</v>
      </c>
      <c r="C64" s="155"/>
      <c r="D64" s="155"/>
      <c r="E64" s="155"/>
      <c r="F64" s="155">
        <v>244234</v>
      </c>
      <c r="G64" s="155"/>
      <c r="H64" s="156">
        <v>244234</v>
      </c>
      <c r="I64" s="155"/>
      <c r="J64" s="156">
        <v>164</v>
      </c>
      <c r="K64" s="155"/>
      <c r="L64" s="155">
        <f>600+227-164</f>
        <v>663</v>
      </c>
      <c r="M64" s="155"/>
      <c r="N64" s="155">
        <f>217+53101</f>
        <v>53318</v>
      </c>
      <c r="O64" s="155"/>
      <c r="P64" s="155">
        <v>0</v>
      </c>
      <c r="Q64" s="155"/>
      <c r="R64" s="156">
        <f>F64-J64-L64+N64-P64</f>
        <v>296725</v>
      </c>
      <c r="S64" s="116"/>
      <c r="T64" s="2"/>
    </row>
    <row r="65" spans="1:20" ht="15.6" x14ac:dyDescent="0.3">
      <c r="A65" s="112"/>
      <c r="B65" s="113" t="s">
        <v>16</v>
      </c>
      <c r="C65" s="155"/>
      <c r="D65" s="155"/>
      <c r="E65" s="155"/>
      <c r="F65" s="155">
        <v>0</v>
      </c>
      <c r="G65" s="155"/>
      <c r="H65" s="156">
        <v>0</v>
      </c>
      <c r="I65" s="155"/>
      <c r="J65" s="156">
        <v>0</v>
      </c>
      <c r="K65" s="155"/>
      <c r="L65" s="155">
        <v>0</v>
      </c>
      <c r="M65" s="155"/>
      <c r="N65" s="155">
        <v>0</v>
      </c>
      <c r="O65" s="155"/>
      <c r="P65" s="155">
        <v>0</v>
      </c>
      <c r="Q65" s="155"/>
      <c r="R65" s="156">
        <f>F65-J65-L65</f>
        <v>0</v>
      </c>
      <c r="S65" s="116"/>
      <c r="T65" s="2"/>
    </row>
    <row r="66" spans="1:20" ht="15.6" x14ac:dyDescent="0.3">
      <c r="A66" s="112"/>
      <c r="B66" s="113"/>
      <c r="C66" s="155"/>
      <c r="D66" s="155"/>
      <c r="E66" s="155"/>
      <c r="F66" s="155"/>
      <c r="G66" s="155"/>
      <c r="H66" s="156"/>
      <c r="I66" s="155"/>
      <c r="J66" s="156"/>
      <c r="K66" s="155"/>
      <c r="L66" s="155"/>
      <c r="M66" s="155"/>
      <c r="N66" s="155"/>
      <c r="O66" s="155"/>
      <c r="P66" s="155"/>
      <c r="Q66" s="155"/>
      <c r="R66" s="156"/>
      <c r="S66" s="116"/>
      <c r="T66" s="2"/>
    </row>
    <row r="67" spans="1:20" ht="15.6" x14ac:dyDescent="0.3">
      <c r="A67" s="112"/>
      <c r="B67" s="113" t="s">
        <v>17</v>
      </c>
      <c r="C67" s="155"/>
      <c r="D67" s="155"/>
      <c r="E67" s="155"/>
      <c r="F67" s="155">
        <f>SUM(F64:F66)</f>
        <v>244234</v>
      </c>
      <c r="G67" s="155"/>
      <c r="H67" s="155">
        <f>H64+H65</f>
        <v>244234</v>
      </c>
      <c r="I67" s="155"/>
      <c r="J67" s="155">
        <f>J64+J65</f>
        <v>164</v>
      </c>
      <c r="K67" s="155"/>
      <c r="L67" s="155">
        <f>SUM(L64:L66)</f>
        <v>663</v>
      </c>
      <c r="M67" s="155"/>
      <c r="N67" s="155">
        <f>SUM(N64:N66)</f>
        <v>53318</v>
      </c>
      <c r="O67" s="155"/>
      <c r="P67" s="155">
        <f>SUM(P64:P66)</f>
        <v>0</v>
      </c>
      <c r="Q67" s="155"/>
      <c r="R67" s="155">
        <f>SUM(R64:R66)</f>
        <v>296725</v>
      </c>
      <c r="S67" s="116"/>
      <c r="T67" s="2"/>
    </row>
    <row r="68" spans="1:20" ht="15.6" x14ac:dyDescent="0.3">
      <c r="A68" s="12"/>
      <c r="B68" s="43"/>
      <c r="C68" s="153"/>
      <c r="D68" s="153"/>
      <c r="E68" s="153"/>
      <c r="F68" s="153"/>
      <c r="G68" s="153"/>
      <c r="H68" s="153"/>
      <c r="I68" s="153"/>
      <c r="J68" s="153"/>
      <c r="K68" s="153"/>
      <c r="L68" s="153"/>
      <c r="M68" s="153"/>
      <c r="N68" s="153"/>
      <c r="O68" s="153"/>
      <c r="P68" s="153"/>
      <c r="Q68" s="153"/>
      <c r="R68" s="154"/>
      <c r="S68" s="217"/>
      <c r="T68" s="2"/>
    </row>
    <row r="69" spans="1:20" ht="15.6" x14ac:dyDescent="0.3">
      <c r="A69" s="12"/>
      <c r="B69" s="16" t="s">
        <v>18</v>
      </c>
      <c r="C69" s="38"/>
      <c r="D69" s="38"/>
      <c r="E69" s="38"/>
      <c r="F69" s="38"/>
      <c r="G69" s="38"/>
      <c r="H69" s="38"/>
      <c r="I69" s="38"/>
      <c r="J69" s="38"/>
      <c r="K69" s="38"/>
      <c r="L69" s="38"/>
      <c r="M69" s="38"/>
      <c r="N69" s="38"/>
      <c r="O69" s="38"/>
      <c r="P69" s="38"/>
      <c r="Q69" s="38"/>
      <c r="R69" s="39"/>
      <c r="S69" s="217"/>
      <c r="T69" s="2"/>
    </row>
    <row r="70" spans="1:20" ht="15.6" x14ac:dyDescent="0.3">
      <c r="A70" s="12"/>
      <c r="B70" s="14"/>
      <c r="C70" s="38"/>
      <c r="D70" s="38"/>
      <c r="E70" s="38"/>
      <c r="F70" s="38"/>
      <c r="G70" s="38"/>
      <c r="H70" s="38"/>
      <c r="I70" s="38"/>
      <c r="J70" s="38"/>
      <c r="K70" s="38"/>
      <c r="L70" s="38"/>
      <c r="M70" s="38"/>
      <c r="N70" s="38"/>
      <c r="O70" s="38"/>
      <c r="P70" s="38"/>
      <c r="Q70" s="38"/>
      <c r="R70" s="39"/>
      <c r="S70" s="217"/>
      <c r="T70" s="2"/>
    </row>
    <row r="71" spans="1:20" ht="15.6" x14ac:dyDescent="0.3">
      <c r="A71" s="112"/>
      <c r="B71" s="113" t="s">
        <v>15</v>
      </c>
      <c r="C71" s="155"/>
      <c r="D71" s="155"/>
      <c r="E71" s="155"/>
      <c r="F71" s="155"/>
      <c r="G71" s="155"/>
      <c r="H71" s="155"/>
      <c r="I71" s="155"/>
      <c r="J71" s="155"/>
      <c r="K71" s="155"/>
      <c r="L71" s="155"/>
      <c r="M71" s="155"/>
      <c r="N71" s="155"/>
      <c r="O71" s="155"/>
      <c r="P71" s="155"/>
      <c r="Q71" s="155"/>
      <c r="R71" s="155"/>
      <c r="S71" s="116"/>
      <c r="T71" s="2"/>
    </row>
    <row r="72" spans="1:20" ht="15.6" x14ac:dyDescent="0.3">
      <c r="A72" s="112"/>
      <c r="B72" s="113" t="s">
        <v>16</v>
      </c>
      <c r="C72" s="155"/>
      <c r="D72" s="155"/>
      <c r="E72" s="155"/>
      <c r="F72" s="155"/>
      <c r="G72" s="155"/>
      <c r="H72" s="155"/>
      <c r="I72" s="155"/>
      <c r="J72" s="155"/>
      <c r="K72" s="155"/>
      <c r="L72" s="155"/>
      <c r="M72" s="155"/>
      <c r="N72" s="155"/>
      <c r="O72" s="155"/>
      <c r="P72" s="155"/>
      <c r="Q72" s="155"/>
      <c r="R72" s="155"/>
      <c r="S72" s="116"/>
      <c r="T72" s="2"/>
    </row>
    <row r="73" spans="1:20" ht="15.6" x14ac:dyDescent="0.3">
      <c r="A73" s="112"/>
      <c r="B73" s="113"/>
      <c r="C73" s="155"/>
      <c r="D73" s="155"/>
      <c r="E73" s="155"/>
      <c r="F73" s="155"/>
      <c r="G73" s="155"/>
      <c r="H73" s="155"/>
      <c r="I73" s="155"/>
      <c r="J73" s="155"/>
      <c r="K73" s="155"/>
      <c r="L73" s="155"/>
      <c r="M73" s="155"/>
      <c r="N73" s="155"/>
      <c r="O73" s="155"/>
      <c r="P73" s="155"/>
      <c r="Q73" s="155"/>
      <c r="R73" s="155"/>
      <c r="S73" s="116"/>
      <c r="T73" s="2"/>
    </row>
    <row r="74" spans="1:20" ht="15.6" x14ac:dyDescent="0.3">
      <c r="A74" s="112"/>
      <c r="B74" s="113" t="s">
        <v>17</v>
      </c>
      <c r="C74" s="155"/>
      <c r="D74" s="155"/>
      <c r="E74" s="155"/>
      <c r="F74" s="155"/>
      <c r="G74" s="155"/>
      <c r="H74" s="155"/>
      <c r="I74" s="155"/>
      <c r="J74" s="155"/>
      <c r="K74" s="155"/>
      <c r="L74" s="155"/>
      <c r="M74" s="155"/>
      <c r="N74" s="155"/>
      <c r="O74" s="155"/>
      <c r="P74" s="155"/>
      <c r="Q74" s="155"/>
      <c r="R74" s="155"/>
      <c r="S74" s="116"/>
      <c r="T74" s="2"/>
    </row>
    <row r="75" spans="1:20" ht="15.6" x14ac:dyDescent="0.3">
      <c r="A75" s="112"/>
      <c r="B75" s="113"/>
      <c r="C75" s="155"/>
      <c r="D75" s="155"/>
      <c r="E75" s="155"/>
      <c r="F75" s="155"/>
      <c r="G75" s="155"/>
      <c r="H75" s="155"/>
      <c r="I75" s="155"/>
      <c r="J75" s="155"/>
      <c r="K75" s="155"/>
      <c r="L75" s="155"/>
      <c r="M75" s="155"/>
      <c r="N75" s="155"/>
      <c r="O75" s="155"/>
      <c r="P75" s="155"/>
      <c r="Q75" s="155"/>
      <c r="R75" s="155"/>
      <c r="S75" s="116"/>
      <c r="T75" s="2"/>
    </row>
    <row r="76" spans="1:20" ht="15.6" x14ac:dyDescent="0.3">
      <c r="A76" s="112"/>
      <c r="B76" s="113" t="s">
        <v>19</v>
      </c>
      <c r="C76" s="155"/>
      <c r="D76" s="155"/>
      <c r="E76" s="155"/>
      <c r="F76" s="155">
        <v>0</v>
      </c>
      <c r="G76" s="155"/>
      <c r="H76" s="155">
        <v>0</v>
      </c>
      <c r="I76" s="155"/>
      <c r="J76" s="155"/>
      <c r="K76" s="155"/>
      <c r="L76" s="155"/>
      <c r="M76" s="155"/>
      <c r="N76" s="155"/>
      <c r="O76" s="155"/>
      <c r="P76" s="155"/>
      <c r="Q76" s="155"/>
      <c r="R76" s="156">
        <v>0</v>
      </c>
      <c r="S76" s="116"/>
      <c r="T76" s="2"/>
    </row>
    <row r="77" spans="1:20" ht="15.6" x14ac:dyDescent="0.3">
      <c r="A77" s="112"/>
      <c r="B77" s="113" t="s">
        <v>196</v>
      </c>
      <c r="C77" s="155"/>
      <c r="D77" s="155"/>
      <c r="E77" s="155"/>
      <c r="F77" s="155">
        <v>53165</v>
      </c>
      <c r="G77" s="155"/>
      <c r="H77" s="155">
        <v>53165</v>
      </c>
      <c r="I77" s="155"/>
      <c r="J77" s="155">
        <v>-53101</v>
      </c>
      <c r="K77" s="155"/>
      <c r="L77" s="155">
        <v>64</v>
      </c>
      <c r="M77" s="155"/>
      <c r="N77" s="155"/>
      <c r="O77" s="155"/>
      <c r="P77" s="155"/>
      <c r="Q77" s="155"/>
      <c r="R77" s="155">
        <v>0</v>
      </c>
      <c r="S77" s="116"/>
      <c r="T77" s="2"/>
    </row>
    <row r="78" spans="1:20" ht="15.6" x14ac:dyDescent="0.3">
      <c r="A78" s="112"/>
      <c r="B78" s="113" t="s">
        <v>206</v>
      </c>
      <c r="C78" s="155"/>
      <c r="D78" s="155"/>
      <c r="E78" s="155"/>
      <c r="F78" s="155">
        <v>2610</v>
      </c>
      <c r="G78" s="155"/>
      <c r="H78" s="155">
        <v>2610</v>
      </c>
      <c r="I78" s="155"/>
      <c r="J78" s="155"/>
      <c r="K78" s="155"/>
      <c r="L78" s="155"/>
      <c r="M78" s="155"/>
      <c r="N78" s="155"/>
      <c r="O78" s="155"/>
      <c r="P78" s="155"/>
      <c r="Q78" s="155"/>
      <c r="R78" s="155">
        <f>+H78-N78</f>
        <v>2610</v>
      </c>
      <c r="S78" s="116"/>
      <c r="T78" s="2"/>
    </row>
    <row r="79" spans="1:20" ht="15.6" x14ac:dyDescent="0.3">
      <c r="A79" s="112"/>
      <c r="B79" s="113" t="s">
        <v>20</v>
      </c>
      <c r="C79" s="155"/>
      <c r="D79" s="155"/>
      <c r="E79" s="155"/>
      <c r="F79" s="155">
        <v>0</v>
      </c>
      <c r="G79" s="155"/>
      <c r="H79" s="155">
        <v>0</v>
      </c>
      <c r="I79" s="155"/>
      <c r="J79" s="155"/>
      <c r="K79" s="155"/>
      <c r="L79" s="155"/>
      <c r="M79" s="155"/>
      <c r="N79" s="155"/>
      <c r="O79" s="155"/>
      <c r="P79" s="155"/>
      <c r="Q79" s="155"/>
      <c r="R79" s="155">
        <v>0</v>
      </c>
      <c r="S79" s="116"/>
      <c r="T79" s="2"/>
    </row>
    <row r="80" spans="1:20" ht="15.6" x14ac:dyDescent="0.3">
      <c r="A80" s="112"/>
      <c r="B80" s="113" t="s">
        <v>21</v>
      </c>
      <c r="C80" s="155"/>
      <c r="D80" s="155"/>
      <c r="E80" s="155"/>
      <c r="F80" s="155">
        <f>SUM(F67:F79)</f>
        <v>300009</v>
      </c>
      <c r="G80" s="155"/>
      <c r="H80" s="155">
        <f>SUM(H67:H79)</f>
        <v>300009</v>
      </c>
      <c r="I80" s="155"/>
      <c r="J80" s="155"/>
      <c r="K80" s="155"/>
      <c r="L80" s="155"/>
      <c r="M80" s="155"/>
      <c r="N80" s="155"/>
      <c r="O80" s="155"/>
      <c r="P80" s="155"/>
      <c r="Q80" s="155"/>
      <c r="R80" s="155">
        <f>SUM(R67:R79)</f>
        <v>299335</v>
      </c>
      <c r="S80" s="116"/>
      <c r="T80" s="2"/>
    </row>
    <row r="81" spans="1:20" ht="15.6" x14ac:dyDescent="0.3">
      <c r="A81" s="12"/>
      <c r="B81" s="43"/>
      <c r="C81" s="153"/>
      <c r="D81" s="153"/>
      <c r="E81" s="153"/>
      <c r="F81" s="153"/>
      <c r="G81" s="153"/>
      <c r="H81" s="153"/>
      <c r="I81" s="153"/>
      <c r="J81" s="153"/>
      <c r="K81" s="153"/>
      <c r="L81" s="153"/>
      <c r="M81" s="153"/>
      <c r="N81" s="153"/>
      <c r="O81" s="153"/>
      <c r="P81" s="153"/>
      <c r="Q81" s="153"/>
      <c r="R81" s="154"/>
      <c r="S81" s="217"/>
      <c r="T81" s="2"/>
    </row>
    <row r="82" spans="1:20" ht="15.6" x14ac:dyDescent="0.3">
      <c r="A82" s="12"/>
      <c r="B82" s="14"/>
      <c r="C82" s="14"/>
      <c r="D82" s="14"/>
      <c r="E82" s="14"/>
      <c r="F82" s="14"/>
      <c r="G82" s="14"/>
      <c r="H82" s="14"/>
      <c r="I82" s="14"/>
      <c r="J82" s="14"/>
      <c r="K82" s="14"/>
      <c r="L82" s="14"/>
      <c r="M82" s="14"/>
      <c r="N82" s="14"/>
      <c r="O82" s="14"/>
      <c r="P82" s="14"/>
      <c r="Q82" s="14"/>
      <c r="R82" s="14"/>
      <c r="S82" s="217"/>
      <c r="T82" s="2"/>
    </row>
    <row r="83" spans="1:20" ht="15.6" x14ac:dyDescent="0.3">
      <c r="A83" s="53"/>
      <c r="B83" s="61" t="s">
        <v>22</v>
      </c>
      <c r="C83" s="61"/>
      <c r="D83" s="62"/>
      <c r="E83" s="62"/>
      <c r="F83" s="62"/>
      <c r="G83" s="62"/>
      <c r="H83" s="63" t="s">
        <v>77</v>
      </c>
      <c r="I83" s="62"/>
      <c r="J83" s="64">
        <f>+P206</f>
        <v>42153</v>
      </c>
      <c r="K83" s="62"/>
      <c r="L83" s="62"/>
      <c r="M83" s="62"/>
      <c r="N83" s="62"/>
      <c r="O83" s="62"/>
      <c r="P83" s="62" t="s">
        <v>87</v>
      </c>
      <c r="Q83" s="62"/>
      <c r="R83" s="62" t="s">
        <v>93</v>
      </c>
      <c r="S83" s="219"/>
      <c r="T83" s="2"/>
    </row>
    <row r="84" spans="1:20" ht="15.6" x14ac:dyDescent="0.3">
      <c r="A84" s="77"/>
      <c r="B84" s="79" t="s">
        <v>23</v>
      </c>
      <c r="C84" s="25"/>
      <c r="D84" s="25"/>
      <c r="E84" s="25"/>
      <c r="F84" s="25"/>
      <c r="G84" s="25"/>
      <c r="H84" s="25"/>
      <c r="I84" s="25"/>
      <c r="J84" s="25"/>
      <c r="K84" s="25"/>
      <c r="L84" s="25"/>
      <c r="M84" s="25"/>
      <c r="N84" s="25"/>
      <c r="O84" s="25"/>
      <c r="P84" s="78">
        <v>0</v>
      </c>
      <c r="Q84" s="79"/>
      <c r="R84" s="82">
        <v>0</v>
      </c>
      <c r="S84" s="222"/>
      <c r="T84" s="2"/>
    </row>
    <row r="85" spans="1:20" ht="15.6" x14ac:dyDescent="0.3">
      <c r="A85" s="122"/>
      <c r="B85" s="113" t="s">
        <v>171</v>
      </c>
      <c r="C85" s="135"/>
      <c r="D85" s="157"/>
      <c r="E85" s="157"/>
      <c r="F85" s="157"/>
      <c r="G85" s="158"/>
      <c r="H85" s="157"/>
      <c r="I85" s="135"/>
      <c r="J85" s="159"/>
      <c r="K85" s="135"/>
      <c r="L85" s="135"/>
      <c r="M85" s="135"/>
      <c r="N85" s="135"/>
      <c r="O85" s="135"/>
      <c r="P85" s="155">
        <f>+L77</f>
        <v>64</v>
      </c>
      <c r="Q85" s="113"/>
      <c r="R85" s="156"/>
      <c r="S85" s="139"/>
      <c r="T85" s="2"/>
    </row>
    <row r="86" spans="1:20" ht="15.6" x14ac:dyDescent="0.3">
      <c r="A86" s="122"/>
      <c r="B86" s="113" t="s">
        <v>218</v>
      </c>
      <c r="C86" s="135"/>
      <c r="D86" s="157"/>
      <c r="E86" s="157"/>
      <c r="F86" s="157"/>
      <c r="G86" s="158"/>
      <c r="H86" s="157"/>
      <c r="I86" s="135"/>
      <c r="J86" s="159"/>
      <c r="K86" s="135"/>
      <c r="L86" s="135"/>
      <c r="M86" s="135"/>
      <c r="N86" s="135"/>
      <c r="O86" s="135"/>
      <c r="P86" s="155">
        <f>-N78</f>
        <v>0</v>
      </c>
      <c r="Q86" s="113"/>
      <c r="R86" s="156"/>
      <c r="S86" s="139"/>
      <c r="T86" s="2"/>
    </row>
    <row r="87" spans="1:20" ht="15.6" x14ac:dyDescent="0.3">
      <c r="A87" s="122"/>
      <c r="B87" s="113" t="s">
        <v>219</v>
      </c>
      <c r="C87" s="135"/>
      <c r="D87" s="157"/>
      <c r="E87" s="157"/>
      <c r="F87" s="157"/>
      <c r="G87" s="158"/>
      <c r="H87" s="157"/>
      <c r="I87" s="135"/>
      <c r="J87" s="159"/>
      <c r="K87" s="135"/>
      <c r="L87" s="135"/>
      <c r="M87" s="135"/>
      <c r="N87" s="135"/>
      <c r="O87" s="135"/>
      <c r="P87" s="155">
        <f>-P86</f>
        <v>0</v>
      </c>
      <c r="Q87" s="113"/>
      <c r="R87" s="156"/>
      <c r="S87" s="139"/>
      <c r="T87" s="2"/>
    </row>
    <row r="88" spans="1:20" ht="15.6" x14ac:dyDescent="0.3">
      <c r="A88" s="122"/>
      <c r="B88" s="113" t="s">
        <v>24</v>
      </c>
      <c r="C88" s="135"/>
      <c r="D88" s="157"/>
      <c r="E88" s="157"/>
      <c r="F88" s="157"/>
      <c r="G88" s="158"/>
      <c r="H88" s="157"/>
      <c r="I88" s="135"/>
      <c r="J88" s="159"/>
      <c r="K88" s="135"/>
      <c r="L88" s="135"/>
      <c r="M88" s="135"/>
      <c r="N88" s="135"/>
      <c r="O88" s="135"/>
      <c r="P88" s="155">
        <f>+J64+L64</f>
        <v>827</v>
      </c>
      <c r="Q88" s="113"/>
      <c r="R88" s="156"/>
      <c r="S88" s="139"/>
      <c r="T88" s="2"/>
    </row>
    <row r="89" spans="1:20" ht="15.6" x14ac:dyDescent="0.3">
      <c r="A89" s="122"/>
      <c r="B89" s="113" t="s">
        <v>135</v>
      </c>
      <c r="C89" s="135"/>
      <c r="D89" s="157"/>
      <c r="E89" s="157"/>
      <c r="F89" s="157"/>
      <c r="G89" s="158"/>
      <c r="H89" s="157"/>
      <c r="I89" s="135"/>
      <c r="J89" s="159"/>
      <c r="K89" s="135"/>
      <c r="L89" s="135"/>
      <c r="M89" s="135"/>
      <c r="N89" s="135"/>
      <c r="O89" s="135"/>
      <c r="P89" s="155"/>
      <c r="Q89" s="113"/>
      <c r="R89" s="156">
        <f>2847-227</f>
        <v>2620</v>
      </c>
      <c r="S89" s="139"/>
      <c r="T89" s="2"/>
    </row>
    <row r="90" spans="1:20" ht="15.6" x14ac:dyDescent="0.3">
      <c r="A90" s="122"/>
      <c r="B90" s="113" t="s">
        <v>133</v>
      </c>
      <c r="C90" s="135"/>
      <c r="D90" s="157"/>
      <c r="E90" s="157"/>
      <c r="F90" s="157"/>
      <c r="G90" s="158"/>
      <c r="H90" s="157"/>
      <c r="I90" s="135"/>
      <c r="J90" s="159"/>
      <c r="K90" s="135"/>
      <c r="L90" s="135"/>
      <c r="M90" s="135"/>
      <c r="N90" s="135"/>
      <c r="O90" s="135"/>
      <c r="P90" s="155"/>
      <c r="Q90" s="113"/>
      <c r="R90" s="156">
        <v>6</v>
      </c>
      <c r="S90" s="139"/>
      <c r="T90" s="2"/>
    </row>
    <row r="91" spans="1:20" ht="15.6" x14ac:dyDescent="0.3">
      <c r="A91" s="122"/>
      <c r="B91" s="113" t="s">
        <v>134</v>
      </c>
      <c r="C91" s="135"/>
      <c r="D91" s="157"/>
      <c r="E91" s="157"/>
      <c r="F91" s="157"/>
      <c r="G91" s="158"/>
      <c r="H91" s="157"/>
      <c r="I91" s="135"/>
      <c r="J91" s="159"/>
      <c r="K91" s="135"/>
      <c r="L91" s="135"/>
      <c r="M91" s="135"/>
      <c r="N91" s="135"/>
      <c r="O91" s="135"/>
      <c r="P91" s="155"/>
      <c r="Q91" s="113"/>
      <c r="R91" s="156">
        <v>53</v>
      </c>
      <c r="S91" s="139"/>
      <c r="T91" s="2"/>
    </row>
    <row r="92" spans="1:20" ht="15.6" x14ac:dyDescent="0.3">
      <c r="A92" s="122"/>
      <c r="B92" s="113" t="s">
        <v>143</v>
      </c>
      <c r="C92" s="135"/>
      <c r="D92" s="157"/>
      <c r="E92" s="157"/>
      <c r="F92" s="157"/>
      <c r="G92" s="158"/>
      <c r="H92" s="157"/>
      <c r="I92" s="135"/>
      <c r="J92" s="159"/>
      <c r="K92" s="135"/>
      <c r="L92" s="135"/>
      <c r="M92" s="135"/>
      <c r="N92" s="135"/>
      <c r="O92" s="135"/>
      <c r="P92" s="155"/>
      <c r="Q92" s="113"/>
      <c r="R92" s="156">
        <v>0</v>
      </c>
      <c r="S92" s="139"/>
      <c r="T92" s="2"/>
    </row>
    <row r="93" spans="1:20" ht="15.6" x14ac:dyDescent="0.3">
      <c r="A93" s="122"/>
      <c r="B93" s="113" t="s">
        <v>145</v>
      </c>
      <c r="C93" s="135"/>
      <c r="D93" s="157"/>
      <c r="E93" s="157"/>
      <c r="F93" s="157"/>
      <c r="G93" s="158"/>
      <c r="H93" s="157"/>
      <c r="I93" s="135"/>
      <c r="J93" s="159"/>
      <c r="K93" s="135"/>
      <c r="L93" s="135"/>
      <c r="M93" s="135"/>
      <c r="N93" s="135"/>
      <c r="O93" s="135"/>
      <c r="P93" s="155"/>
      <c r="Q93" s="113"/>
      <c r="R93" s="156">
        <v>709</v>
      </c>
      <c r="S93" s="139"/>
      <c r="T93" s="2"/>
    </row>
    <row r="94" spans="1:20" ht="15.6" x14ac:dyDescent="0.3">
      <c r="A94" s="122"/>
      <c r="B94" s="113" t="s">
        <v>164</v>
      </c>
      <c r="C94" s="135"/>
      <c r="D94" s="157"/>
      <c r="E94" s="157"/>
      <c r="F94" s="157"/>
      <c r="G94" s="158"/>
      <c r="H94" s="157"/>
      <c r="I94" s="135"/>
      <c r="J94" s="159"/>
      <c r="K94" s="135"/>
      <c r="L94" s="135"/>
      <c r="M94" s="135"/>
      <c r="N94" s="135"/>
      <c r="O94" s="135"/>
      <c r="P94" s="155"/>
      <c r="Q94" s="113"/>
      <c r="R94" s="156">
        <v>0</v>
      </c>
      <c r="S94" s="139"/>
      <c r="T94" s="2"/>
    </row>
    <row r="95" spans="1:20" ht="15.6" x14ac:dyDescent="0.3">
      <c r="A95" s="122"/>
      <c r="B95" s="113" t="s">
        <v>165</v>
      </c>
      <c r="C95" s="135"/>
      <c r="D95" s="157"/>
      <c r="E95" s="157"/>
      <c r="F95" s="157"/>
      <c r="G95" s="158"/>
      <c r="H95" s="157"/>
      <c r="I95" s="135"/>
      <c r="J95" s="159"/>
      <c r="K95" s="135"/>
      <c r="L95" s="135"/>
      <c r="M95" s="135"/>
      <c r="N95" s="135"/>
      <c r="O95" s="135"/>
      <c r="P95" s="155"/>
      <c r="Q95" s="113"/>
      <c r="R95" s="156">
        <v>0</v>
      </c>
      <c r="S95" s="139"/>
      <c r="T95" s="2"/>
    </row>
    <row r="96" spans="1:20" ht="15.6" x14ac:dyDescent="0.3">
      <c r="A96" s="122"/>
      <c r="B96" s="113" t="s">
        <v>166</v>
      </c>
      <c r="C96" s="135"/>
      <c r="D96" s="135"/>
      <c r="E96" s="135"/>
      <c r="F96" s="135"/>
      <c r="G96" s="135"/>
      <c r="H96" s="135"/>
      <c r="I96" s="135"/>
      <c r="J96" s="135"/>
      <c r="K96" s="135"/>
      <c r="L96" s="135"/>
      <c r="M96" s="135"/>
      <c r="N96" s="135"/>
      <c r="O96" s="135"/>
      <c r="P96" s="155"/>
      <c r="Q96" s="113"/>
      <c r="R96" s="156">
        <v>0</v>
      </c>
      <c r="S96" s="139"/>
      <c r="T96" s="2"/>
    </row>
    <row r="97" spans="1:21" ht="15.6" x14ac:dyDescent="0.3">
      <c r="A97" s="122"/>
      <c r="B97" s="113" t="s">
        <v>264</v>
      </c>
      <c r="C97" s="135"/>
      <c r="D97" s="135"/>
      <c r="E97" s="135"/>
      <c r="F97" s="135"/>
      <c r="G97" s="135"/>
      <c r="H97" s="135"/>
      <c r="I97" s="135"/>
      <c r="J97" s="135"/>
      <c r="K97" s="135"/>
      <c r="L97" s="135"/>
      <c r="M97" s="135"/>
      <c r="N97" s="135"/>
      <c r="O97" s="135"/>
      <c r="P97" s="155"/>
      <c r="Q97" s="113"/>
      <c r="R97" s="156">
        <v>0</v>
      </c>
      <c r="S97" s="139"/>
      <c r="T97" s="2"/>
    </row>
    <row r="98" spans="1:21" ht="15.6" x14ac:dyDescent="0.3">
      <c r="A98" s="122"/>
      <c r="B98" s="113" t="s">
        <v>25</v>
      </c>
      <c r="C98" s="135"/>
      <c r="D98" s="135"/>
      <c r="E98" s="135"/>
      <c r="F98" s="135"/>
      <c r="G98" s="135"/>
      <c r="H98" s="135"/>
      <c r="I98" s="135"/>
      <c r="J98" s="135"/>
      <c r="K98" s="135"/>
      <c r="L98" s="135"/>
      <c r="M98" s="135"/>
      <c r="N98" s="135"/>
      <c r="O98" s="135"/>
      <c r="P98" s="155">
        <f>SUM(P84:P97)</f>
        <v>891</v>
      </c>
      <c r="Q98" s="113"/>
      <c r="R98" s="155">
        <f>SUM(R84:R97)</f>
        <v>3388</v>
      </c>
      <c r="S98" s="139"/>
      <c r="T98" s="2"/>
    </row>
    <row r="99" spans="1:21" ht="15.6" x14ac:dyDescent="0.3">
      <c r="A99" s="122"/>
      <c r="B99" s="113" t="s">
        <v>26</v>
      </c>
      <c r="C99" s="135"/>
      <c r="D99" s="135"/>
      <c r="E99" s="135"/>
      <c r="F99" s="135"/>
      <c r="G99" s="135"/>
      <c r="H99" s="135"/>
      <c r="I99" s="135"/>
      <c r="J99" s="135"/>
      <c r="K99" s="135"/>
      <c r="L99" s="135"/>
      <c r="M99" s="135"/>
      <c r="N99" s="135"/>
      <c r="O99" s="135"/>
      <c r="P99" s="155">
        <f>-R99</f>
        <v>0</v>
      </c>
      <c r="Q99" s="113"/>
      <c r="R99" s="156">
        <v>0</v>
      </c>
      <c r="S99" s="139"/>
      <c r="T99" s="2"/>
    </row>
    <row r="100" spans="1:21" ht="15.6" x14ac:dyDescent="0.3">
      <c r="A100" s="122"/>
      <c r="B100" s="113" t="s">
        <v>150</v>
      </c>
      <c r="C100" s="135"/>
      <c r="D100" s="135"/>
      <c r="E100" s="135"/>
      <c r="F100" s="135"/>
      <c r="G100" s="135"/>
      <c r="H100" s="135"/>
      <c r="I100" s="135"/>
      <c r="J100" s="135"/>
      <c r="K100" s="135"/>
      <c r="L100" s="135"/>
      <c r="M100" s="135"/>
      <c r="N100" s="135"/>
      <c r="O100" s="135"/>
      <c r="P100" s="155"/>
      <c r="Q100" s="113"/>
      <c r="R100" s="156">
        <v>0</v>
      </c>
      <c r="S100" s="139"/>
      <c r="T100" s="2"/>
    </row>
    <row r="101" spans="1:21" ht="15.6" x14ac:dyDescent="0.3">
      <c r="A101" s="122"/>
      <c r="B101" s="113" t="s">
        <v>27</v>
      </c>
      <c r="C101" s="135"/>
      <c r="D101" s="135"/>
      <c r="E101" s="135"/>
      <c r="F101" s="135"/>
      <c r="G101" s="135"/>
      <c r="H101" s="135"/>
      <c r="I101" s="135"/>
      <c r="J101" s="135"/>
      <c r="K101" s="135"/>
      <c r="L101" s="135"/>
      <c r="M101" s="135"/>
      <c r="N101" s="135"/>
      <c r="O101" s="135"/>
      <c r="P101" s="155">
        <f>P98+P99</f>
        <v>891</v>
      </c>
      <c r="Q101" s="113"/>
      <c r="R101" s="155">
        <f>R98+R99+R100</f>
        <v>3388</v>
      </c>
      <c r="S101" s="139"/>
      <c r="T101" s="2"/>
    </row>
    <row r="102" spans="1:21" ht="15.6" x14ac:dyDescent="0.3">
      <c r="A102" s="112"/>
      <c r="B102" s="160" t="s">
        <v>28</v>
      </c>
      <c r="C102" s="135"/>
      <c r="D102" s="135"/>
      <c r="E102" s="135"/>
      <c r="F102" s="135"/>
      <c r="G102" s="135"/>
      <c r="H102" s="135"/>
      <c r="I102" s="135"/>
      <c r="J102" s="135"/>
      <c r="K102" s="135"/>
      <c r="L102" s="135"/>
      <c r="M102" s="135"/>
      <c r="N102" s="135"/>
      <c r="O102" s="135"/>
      <c r="P102" s="155"/>
      <c r="Q102" s="113"/>
      <c r="R102" s="156"/>
      <c r="S102" s="139"/>
      <c r="T102" s="2"/>
    </row>
    <row r="103" spans="1:21" ht="15.6" x14ac:dyDescent="0.3">
      <c r="A103" s="122">
        <v>1</v>
      </c>
      <c r="B103" s="113" t="s">
        <v>175</v>
      </c>
      <c r="C103" s="135"/>
      <c r="D103" s="135"/>
      <c r="E103" s="135"/>
      <c r="F103" s="135"/>
      <c r="G103" s="135"/>
      <c r="H103" s="135"/>
      <c r="I103" s="135"/>
      <c r="J103" s="135"/>
      <c r="K103" s="135"/>
      <c r="L103" s="135"/>
      <c r="M103" s="135"/>
      <c r="N103" s="135"/>
      <c r="O103" s="135"/>
      <c r="P103" s="155"/>
      <c r="Q103" s="113"/>
      <c r="R103" s="156">
        <v>-727</v>
      </c>
      <c r="S103" s="139"/>
      <c r="T103" s="2"/>
    </row>
    <row r="104" spans="1:21" ht="15.6" x14ac:dyDescent="0.3">
      <c r="A104" s="122">
        <v>2</v>
      </c>
      <c r="B104" s="113" t="s">
        <v>195</v>
      </c>
      <c r="C104" s="113"/>
      <c r="D104" s="135"/>
      <c r="E104" s="135"/>
      <c r="F104" s="135"/>
      <c r="G104" s="135"/>
      <c r="H104" s="135"/>
      <c r="I104" s="135"/>
      <c r="J104" s="135"/>
      <c r="K104" s="135"/>
      <c r="L104" s="135"/>
      <c r="M104" s="135"/>
      <c r="N104" s="135"/>
      <c r="O104" s="135"/>
      <c r="P104" s="113"/>
      <c r="Q104" s="113"/>
      <c r="R104" s="156">
        <v>-3</v>
      </c>
      <c r="S104" s="139"/>
      <c r="T104" s="2"/>
    </row>
    <row r="105" spans="1:21" ht="15.6" x14ac:dyDescent="0.3">
      <c r="A105" s="122">
        <v>3</v>
      </c>
      <c r="B105" s="113" t="s">
        <v>265</v>
      </c>
      <c r="C105" s="113"/>
      <c r="D105" s="135"/>
      <c r="E105" s="135"/>
      <c r="F105" s="135"/>
      <c r="G105" s="135"/>
      <c r="H105" s="135"/>
      <c r="I105" s="135"/>
      <c r="J105" s="135"/>
      <c r="K105" s="135"/>
      <c r="L105" s="135"/>
      <c r="M105" s="135"/>
      <c r="N105" s="135"/>
      <c r="O105" s="135"/>
      <c r="P105" s="113"/>
      <c r="Q105" s="113"/>
      <c r="R105" s="156">
        <f>-68-4</f>
        <v>-72</v>
      </c>
      <c r="S105" s="139"/>
      <c r="T105" s="2"/>
    </row>
    <row r="106" spans="1:21" ht="15.6" x14ac:dyDescent="0.3">
      <c r="A106" s="122">
        <v>4</v>
      </c>
      <c r="B106" s="113" t="s">
        <v>96</v>
      </c>
      <c r="C106" s="113"/>
      <c r="D106" s="135"/>
      <c r="E106" s="135"/>
      <c r="F106" s="135"/>
      <c r="G106" s="135"/>
      <c r="H106" s="135"/>
      <c r="I106" s="135"/>
      <c r="J106" s="135"/>
      <c r="K106" s="135"/>
      <c r="L106" s="135"/>
      <c r="M106" s="135"/>
      <c r="N106" s="135"/>
      <c r="O106" s="135"/>
      <c r="P106" s="113"/>
      <c r="Q106" s="113"/>
      <c r="R106" s="156">
        <v>-247</v>
      </c>
      <c r="S106" s="139"/>
      <c r="T106" s="2"/>
    </row>
    <row r="107" spans="1:21" ht="15.6" x14ac:dyDescent="0.3">
      <c r="A107" s="122" t="s">
        <v>274</v>
      </c>
      <c r="B107" s="113" t="s">
        <v>272</v>
      </c>
      <c r="C107" s="113"/>
      <c r="D107" s="135"/>
      <c r="E107" s="135"/>
      <c r="F107" s="135"/>
      <c r="G107" s="135"/>
      <c r="H107" s="135"/>
      <c r="I107" s="135"/>
      <c r="J107" s="135"/>
      <c r="K107" s="135"/>
      <c r="L107" s="135"/>
      <c r="M107" s="135"/>
      <c r="N107" s="135"/>
      <c r="O107" s="135"/>
      <c r="P107" s="113"/>
      <c r="Q107" s="113"/>
      <c r="R107" s="156">
        <v>-418</v>
      </c>
      <c r="S107" s="139"/>
      <c r="T107" s="2"/>
      <c r="U107" s="4"/>
    </row>
    <row r="108" spans="1:21" ht="15.6" x14ac:dyDescent="0.3">
      <c r="A108" s="122" t="s">
        <v>275</v>
      </c>
      <c r="B108" s="113" t="s">
        <v>266</v>
      </c>
      <c r="C108" s="113"/>
      <c r="D108" s="135"/>
      <c r="E108" s="135"/>
      <c r="F108" s="135"/>
      <c r="G108" s="135"/>
      <c r="H108" s="135"/>
      <c r="I108" s="135"/>
      <c r="J108" s="135"/>
      <c r="K108" s="135"/>
      <c r="L108" s="135"/>
      <c r="M108" s="135"/>
      <c r="N108" s="135"/>
      <c r="O108" s="135"/>
      <c r="P108" s="113"/>
      <c r="Q108" s="113"/>
      <c r="R108" s="156">
        <v>-462</v>
      </c>
      <c r="S108" s="139"/>
      <c r="T108" s="2"/>
      <c r="U108" s="4"/>
    </row>
    <row r="109" spans="1:21" ht="15.6" x14ac:dyDescent="0.3">
      <c r="A109" s="122">
        <v>6</v>
      </c>
      <c r="B109" s="113" t="s">
        <v>189</v>
      </c>
      <c r="C109" s="113"/>
      <c r="D109" s="135"/>
      <c r="E109" s="135"/>
      <c r="F109" s="135"/>
      <c r="G109" s="135"/>
      <c r="H109" s="135"/>
      <c r="I109" s="135"/>
      <c r="J109" s="135"/>
      <c r="K109" s="135"/>
      <c r="L109" s="135"/>
      <c r="M109" s="135"/>
      <c r="N109" s="135"/>
      <c r="O109" s="135"/>
      <c r="P109" s="113"/>
      <c r="Q109" s="113"/>
      <c r="R109" s="156">
        <v>-51</v>
      </c>
      <c r="S109" s="139"/>
      <c r="T109" s="2"/>
      <c r="U109" s="4"/>
    </row>
    <row r="110" spans="1:21" ht="15.6" x14ac:dyDescent="0.3">
      <c r="A110" s="122">
        <v>7</v>
      </c>
      <c r="B110" s="113" t="s">
        <v>190</v>
      </c>
      <c r="C110" s="113"/>
      <c r="D110" s="135"/>
      <c r="E110" s="135"/>
      <c r="F110" s="135"/>
      <c r="G110" s="135"/>
      <c r="H110" s="135"/>
      <c r="I110" s="135"/>
      <c r="J110" s="135"/>
      <c r="K110" s="135"/>
      <c r="L110" s="135"/>
      <c r="M110" s="135"/>
      <c r="N110" s="135"/>
      <c r="O110" s="135"/>
      <c r="P110" s="113"/>
      <c r="Q110" s="113"/>
      <c r="R110" s="156">
        <v>-59</v>
      </c>
      <c r="S110" s="139"/>
      <c r="T110" s="2"/>
      <c r="U110" s="4"/>
    </row>
    <row r="111" spans="1:21" ht="15.6" x14ac:dyDescent="0.3">
      <c r="A111" s="122">
        <v>8</v>
      </c>
      <c r="B111" s="113" t="s">
        <v>156</v>
      </c>
      <c r="C111" s="113"/>
      <c r="D111" s="135"/>
      <c r="E111" s="135"/>
      <c r="F111" s="135"/>
      <c r="G111" s="135"/>
      <c r="H111" s="135"/>
      <c r="I111" s="135"/>
      <c r="J111" s="135"/>
      <c r="K111" s="135"/>
      <c r="L111" s="135"/>
      <c r="M111" s="135"/>
      <c r="N111" s="135"/>
      <c r="O111" s="135"/>
      <c r="P111" s="113"/>
      <c r="Q111" s="113"/>
      <c r="R111" s="156">
        <v>-1</v>
      </c>
      <c r="S111" s="139"/>
      <c r="T111" s="2"/>
      <c r="U111" s="4"/>
    </row>
    <row r="112" spans="1:21" ht="15.6" x14ac:dyDescent="0.3">
      <c r="A112" s="122">
        <v>9</v>
      </c>
      <c r="B112" s="113" t="s">
        <v>37</v>
      </c>
      <c r="C112" s="113"/>
      <c r="D112" s="135"/>
      <c r="E112" s="135"/>
      <c r="F112" s="135"/>
      <c r="G112" s="135"/>
      <c r="H112" s="135"/>
      <c r="I112" s="135"/>
      <c r="J112" s="135"/>
      <c r="K112" s="135"/>
      <c r="L112" s="135"/>
      <c r="M112" s="135"/>
      <c r="N112" s="135"/>
      <c r="O112" s="135"/>
      <c r="P112" s="155">
        <f>-R112</f>
        <v>0</v>
      </c>
      <c r="Q112" s="113"/>
      <c r="R112" s="156">
        <v>0</v>
      </c>
      <c r="S112" s="139"/>
      <c r="T112" s="2"/>
    </row>
    <row r="113" spans="1:20" ht="15.6" x14ac:dyDescent="0.3">
      <c r="A113" s="122">
        <v>10</v>
      </c>
      <c r="B113" s="113" t="s">
        <v>101</v>
      </c>
      <c r="C113" s="113"/>
      <c r="D113" s="135"/>
      <c r="E113" s="135"/>
      <c r="F113" s="135"/>
      <c r="G113" s="135"/>
      <c r="H113" s="135"/>
      <c r="I113" s="135"/>
      <c r="J113" s="135"/>
      <c r="K113" s="135"/>
      <c r="L113" s="135"/>
      <c r="M113" s="135"/>
      <c r="N113" s="135"/>
      <c r="O113" s="135"/>
      <c r="P113" s="113"/>
      <c r="Q113" s="113"/>
      <c r="R113" s="156">
        <v>0</v>
      </c>
      <c r="S113" s="139"/>
      <c r="T113" s="2"/>
    </row>
    <row r="114" spans="1:20" ht="15.6" x14ac:dyDescent="0.3">
      <c r="A114" s="122">
        <v>11</v>
      </c>
      <c r="B114" s="113" t="s">
        <v>29</v>
      </c>
      <c r="C114" s="113"/>
      <c r="D114" s="135"/>
      <c r="E114" s="135"/>
      <c r="F114" s="135"/>
      <c r="G114" s="135"/>
      <c r="H114" s="135"/>
      <c r="I114" s="135"/>
      <c r="J114" s="135"/>
      <c r="K114" s="135"/>
      <c r="L114" s="135"/>
      <c r="M114" s="135"/>
      <c r="N114" s="135"/>
      <c r="O114" s="135"/>
      <c r="P114" s="113"/>
      <c r="Q114" s="113"/>
      <c r="R114" s="156">
        <v>-20</v>
      </c>
      <c r="S114" s="139"/>
      <c r="T114" s="2"/>
    </row>
    <row r="115" spans="1:20" ht="15.6" x14ac:dyDescent="0.3">
      <c r="A115" s="122">
        <v>12</v>
      </c>
      <c r="B115" s="113" t="s">
        <v>138</v>
      </c>
      <c r="C115" s="113"/>
      <c r="D115" s="135"/>
      <c r="E115" s="135"/>
      <c r="F115" s="135"/>
      <c r="G115" s="135"/>
      <c r="H115" s="135"/>
      <c r="I115" s="135"/>
      <c r="J115" s="135"/>
      <c r="K115" s="135"/>
      <c r="L115" s="135"/>
      <c r="M115" s="135"/>
      <c r="N115" s="135"/>
      <c r="O115" s="135"/>
      <c r="P115" s="113"/>
      <c r="Q115" s="113"/>
      <c r="R115" s="156">
        <v>0</v>
      </c>
      <c r="S115" s="139"/>
      <c r="T115" s="2"/>
    </row>
    <row r="116" spans="1:20" ht="15.6" x14ac:dyDescent="0.3">
      <c r="A116" s="122">
        <v>13</v>
      </c>
      <c r="B116" s="113" t="s">
        <v>267</v>
      </c>
      <c r="C116" s="113"/>
      <c r="D116" s="135"/>
      <c r="E116" s="135"/>
      <c r="F116" s="135"/>
      <c r="G116" s="135"/>
      <c r="H116" s="135"/>
      <c r="I116" s="135"/>
      <c r="J116" s="135"/>
      <c r="K116" s="135"/>
      <c r="L116" s="135"/>
      <c r="M116" s="135"/>
      <c r="N116" s="135"/>
      <c r="O116" s="135"/>
      <c r="P116" s="113"/>
      <c r="Q116" s="113"/>
      <c r="R116" s="156">
        <v>-43</v>
      </c>
      <c r="S116" s="139"/>
      <c r="T116" s="2"/>
    </row>
    <row r="117" spans="1:20" ht="15.6" x14ac:dyDescent="0.3">
      <c r="A117" s="122">
        <v>14</v>
      </c>
      <c r="B117" s="113" t="s">
        <v>157</v>
      </c>
      <c r="C117" s="113"/>
      <c r="D117" s="135"/>
      <c r="E117" s="135"/>
      <c r="F117" s="135"/>
      <c r="G117" s="135"/>
      <c r="H117" s="135"/>
      <c r="I117" s="135"/>
      <c r="J117" s="135"/>
      <c r="K117" s="135"/>
      <c r="L117" s="135"/>
      <c r="M117" s="135"/>
      <c r="N117" s="135"/>
      <c r="O117" s="135"/>
      <c r="P117" s="113"/>
      <c r="Q117" s="113"/>
      <c r="R117" s="156">
        <v>0</v>
      </c>
      <c r="S117" s="139"/>
      <c r="T117" s="2"/>
    </row>
    <row r="118" spans="1:20" ht="15.6" x14ac:dyDescent="0.3">
      <c r="A118" s="122">
        <v>15</v>
      </c>
      <c r="B118" s="113" t="s">
        <v>207</v>
      </c>
      <c r="C118" s="113"/>
      <c r="D118" s="135"/>
      <c r="E118" s="135"/>
      <c r="F118" s="135"/>
      <c r="G118" s="135"/>
      <c r="H118" s="135"/>
      <c r="I118" s="135"/>
      <c r="J118" s="135"/>
      <c r="K118" s="135"/>
      <c r="L118" s="135"/>
      <c r="M118" s="135"/>
      <c r="N118" s="135"/>
      <c r="O118" s="135"/>
      <c r="P118" s="113"/>
      <c r="Q118" s="113"/>
      <c r="R118" s="156">
        <v>-68</v>
      </c>
      <c r="S118" s="139"/>
      <c r="T118" s="2"/>
    </row>
    <row r="119" spans="1:20" ht="15.6" x14ac:dyDescent="0.3">
      <c r="A119" s="122">
        <v>16</v>
      </c>
      <c r="B119" s="113" t="s">
        <v>167</v>
      </c>
      <c r="C119" s="113"/>
      <c r="D119" s="135"/>
      <c r="E119" s="135"/>
      <c r="F119" s="135"/>
      <c r="G119" s="135"/>
      <c r="H119" s="135"/>
      <c r="I119" s="135"/>
      <c r="J119" s="135"/>
      <c r="K119" s="135"/>
      <c r="L119" s="135"/>
      <c r="M119" s="135"/>
      <c r="N119" s="135"/>
      <c r="O119" s="135"/>
      <c r="P119" s="113"/>
      <c r="Q119" s="113"/>
      <c r="R119" s="156">
        <f>-31-118</f>
        <v>-149</v>
      </c>
      <c r="S119" s="139"/>
      <c r="T119" s="2"/>
    </row>
    <row r="120" spans="1:20" ht="15.6" x14ac:dyDescent="0.3">
      <c r="A120" s="122">
        <v>17</v>
      </c>
      <c r="B120" s="113" t="s">
        <v>268</v>
      </c>
      <c r="C120" s="113"/>
      <c r="D120" s="135"/>
      <c r="E120" s="135"/>
      <c r="F120" s="135"/>
      <c r="G120" s="135"/>
      <c r="H120" s="135"/>
      <c r="I120" s="135"/>
      <c r="J120" s="135"/>
      <c r="K120" s="135"/>
      <c r="L120" s="135"/>
      <c r="M120" s="135"/>
      <c r="N120" s="135"/>
      <c r="O120" s="135"/>
      <c r="P120" s="113"/>
      <c r="Q120" s="113"/>
      <c r="R120" s="156">
        <f>-R101-SUM(R103:R119)</f>
        <v>-1068</v>
      </c>
      <c r="S120" s="139"/>
      <c r="T120" s="2"/>
    </row>
    <row r="121" spans="1:20" ht="15.6" x14ac:dyDescent="0.3">
      <c r="A121" s="112"/>
      <c r="B121" s="160" t="s">
        <v>30</v>
      </c>
      <c r="C121" s="135"/>
      <c r="D121" s="135"/>
      <c r="E121" s="135"/>
      <c r="F121" s="135"/>
      <c r="G121" s="135"/>
      <c r="H121" s="135"/>
      <c r="I121" s="135"/>
      <c r="J121" s="135"/>
      <c r="K121" s="135"/>
      <c r="L121" s="135"/>
      <c r="M121" s="135"/>
      <c r="N121" s="135"/>
      <c r="O121" s="135"/>
      <c r="P121" s="113"/>
      <c r="Q121" s="113"/>
      <c r="R121" s="161"/>
      <c r="S121" s="139"/>
      <c r="T121" s="2"/>
    </row>
    <row r="122" spans="1:20" ht="15.6" x14ac:dyDescent="0.3">
      <c r="A122" s="112"/>
      <c r="B122" s="113" t="s">
        <v>208</v>
      </c>
      <c r="C122" s="135"/>
      <c r="D122" s="135"/>
      <c r="E122" s="135"/>
      <c r="F122" s="135"/>
      <c r="G122" s="135"/>
      <c r="H122" s="135"/>
      <c r="I122" s="135"/>
      <c r="J122" s="135"/>
      <c r="K122" s="135"/>
      <c r="L122" s="135"/>
      <c r="M122" s="135"/>
      <c r="N122" s="135"/>
      <c r="O122" s="135"/>
      <c r="P122" s="155">
        <f>-P188</f>
        <v>-217</v>
      </c>
      <c r="Q122" s="155"/>
      <c r="R122" s="156"/>
      <c r="S122" s="139"/>
      <c r="T122" s="2"/>
    </row>
    <row r="123" spans="1:20" ht="15.6" x14ac:dyDescent="0.3">
      <c r="A123" s="112"/>
      <c r="B123" s="113" t="s">
        <v>209</v>
      </c>
      <c r="C123" s="135"/>
      <c r="D123" s="135"/>
      <c r="E123" s="135"/>
      <c r="F123" s="135"/>
      <c r="G123" s="135"/>
      <c r="H123" s="135"/>
      <c r="I123" s="135"/>
      <c r="J123" s="135"/>
      <c r="K123" s="135"/>
      <c r="L123" s="135"/>
      <c r="M123" s="135"/>
      <c r="N123" s="135"/>
      <c r="O123" s="135"/>
      <c r="P123" s="155">
        <f>-O188</f>
        <v>0</v>
      </c>
      <c r="Q123" s="155"/>
      <c r="R123" s="156"/>
      <c r="S123" s="139"/>
      <c r="T123" s="2"/>
    </row>
    <row r="124" spans="1:20" ht="15.6" x14ac:dyDescent="0.3">
      <c r="A124" s="112"/>
      <c r="B124" s="113" t="s">
        <v>270</v>
      </c>
      <c r="C124" s="135"/>
      <c r="D124" s="135"/>
      <c r="E124" s="135"/>
      <c r="F124" s="135"/>
      <c r="G124" s="135"/>
      <c r="H124" s="135"/>
      <c r="I124" s="135"/>
      <c r="J124" s="135"/>
      <c r="K124" s="135"/>
      <c r="L124" s="135"/>
      <c r="M124" s="135"/>
      <c r="N124" s="135"/>
      <c r="O124" s="135"/>
      <c r="P124" s="155">
        <v>-293</v>
      </c>
      <c r="Q124" s="155"/>
      <c r="R124" s="156"/>
      <c r="S124" s="139"/>
      <c r="T124" s="2"/>
    </row>
    <row r="125" spans="1:20" ht="15.6" x14ac:dyDescent="0.3">
      <c r="A125" s="112"/>
      <c r="B125" s="113" t="s">
        <v>269</v>
      </c>
      <c r="C125" s="135"/>
      <c r="D125" s="135"/>
      <c r="E125" s="135"/>
      <c r="F125" s="135"/>
      <c r="G125" s="135"/>
      <c r="H125" s="135"/>
      <c r="I125" s="135"/>
      <c r="J125" s="135"/>
      <c r="K125" s="135"/>
      <c r="L125" s="135"/>
      <c r="M125" s="135"/>
      <c r="N125" s="135"/>
      <c r="O125" s="135"/>
      <c r="P125" s="155">
        <v>-381</v>
      </c>
      <c r="Q125" s="155"/>
      <c r="R125" s="156"/>
      <c r="S125" s="139"/>
      <c r="T125" s="2"/>
    </row>
    <row r="126" spans="1:20" ht="15.6" x14ac:dyDescent="0.3">
      <c r="A126" s="112"/>
      <c r="B126" s="113" t="s">
        <v>181</v>
      </c>
      <c r="C126" s="135"/>
      <c r="D126" s="135"/>
      <c r="E126" s="135"/>
      <c r="F126" s="135"/>
      <c r="G126" s="135"/>
      <c r="H126" s="135"/>
      <c r="I126" s="135"/>
      <c r="J126" s="135"/>
      <c r="K126" s="135"/>
      <c r="L126" s="135"/>
      <c r="M126" s="135"/>
      <c r="N126" s="135"/>
      <c r="O126" s="135"/>
      <c r="P126" s="155">
        <v>0</v>
      </c>
      <c r="Q126" s="155"/>
      <c r="R126" s="156"/>
      <c r="S126" s="139"/>
      <c r="T126" s="2"/>
    </row>
    <row r="127" spans="1:20" ht="15.6" x14ac:dyDescent="0.3">
      <c r="A127" s="112"/>
      <c r="B127" s="113" t="s">
        <v>182</v>
      </c>
      <c r="C127" s="135"/>
      <c r="D127" s="135"/>
      <c r="E127" s="135"/>
      <c r="F127" s="135"/>
      <c r="G127" s="135"/>
      <c r="H127" s="135"/>
      <c r="I127" s="135"/>
      <c r="J127" s="135"/>
      <c r="K127" s="135"/>
      <c r="L127" s="135"/>
      <c r="M127" s="135"/>
      <c r="N127" s="135"/>
      <c r="O127" s="135"/>
      <c r="P127" s="155">
        <v>0</v>
      </c>
      <c r="Q127" s="155"/>
      <c r="R127" s="156"/>
      <c r="S127" s="139"/>
      <c r="T127" s="2"/>
    </row>
    <row r="128" spans="1:20" ht="15.6" x14ac:dyDescent="0.3">
      <c r="A128" s="112"/>
      <c r="B128" s="113" t="s">
        <v>271</v>
      </c>
      <c r="C128" s="135"/>
      <c r="D128" s="135"/>
      <c r="E128" s="135"/>
      <c r="F128" s="135"/>
      <c r="G128" s="135"/>
      <c r="H128" s="135"/>
      <c r="I128" s="135"/>
      <c r="J128" s="135"/>
      <c r="K128" s="135"/>
      <c r="L128" s="135"/>
      <c r="M128" s="135"/>
      <c r="N128" s="135"/>
      <c r="O128" s="135"/>
      <c r="P128" s="155">
        <v>0</v>
      </c>
      <c r="Q128" s="155"/>
      <c r="R128" s="156"/>
      <c r="S128" s="139"/>
      <c r="T128" s="2"/>
    </row>
    <row r="129" spans="1:20" ht="15.6" x14ac:dyDescent="0.3">
      <c r="A129" s="112"/>
      <c r="B129" s="113" t="s">
        <v>31</v>
      </c>
      <c r="C129" s="135"/>
      <c r="D129" s="135"/>
      <c r="E129" s="135"/>
      <c r="F129" s="135"/>
      <c r="G129" s="135"/>
      <c r="H129" s="135"/>
      <c r="I129" s="135"/>
      <c r="J129" s="135"/>
      <c r="K129" s="135"/>
      <c r="L129" s="135"/>
      <c r="M129" s="135"/>
      <c r="N129" s="135"/>
      <c r="O129" s="135"/>
      <c r="P129" s="155">
        <f>SUM(P122:P128)</f>
        <v>-891</v>
      </c>
      <c r="Q129" s="155"/>
      <c r="R129" s="155">
        <f>SUM(R102:R128)</f>
        <v>-3388</v>
      </c>
      <c r="S129" s="139"/>
      <c r="T129" s="2"/>
    </row>
    <row r="130" spans="1:20" ht="15.6" x14ac:dyDescent="0.3">
      <c r="A130" s="112"/>
      <c r="B130" s="113" t="s">
        <v>32</v>
      </c>
      <c r="C130" s="135"/>
      <c r="D130" s="135"/>
      <c r="E130" s="135"/>
      <c r="F130" s="135"/>
      <c r="G130" s="135"/>
      <c r="H130" s="135"/>
      <c r="I130" s="135"/>
      <c r="J130" s="135"/>
      <c r="K130" s="135"/>
      <c r="L130" s="135"/>
      <c r="M130" s="135"/>
      <c r="N130" s="135"/>
      <c r="O130" s="135"/>
      <c r="P130" s="155">
        <f>P101+P129+P112</f>
        <v>0</v>
      </c>
      <c r="Q130" s="155"/>
      <c r="R130" s="155">
        <f>R101+R129</f>
        <v>0</v>
      </c>
      <c r="S130" s="139"/>
      <c r="T130" s="2"/>
    </row>
    <row r="131" spans="1:20" ht="15.6" x14ac:dyDescent="0.3">
      <c r="A131" s="12"/>
      <c r="B131" s="43"/>
      <c r="C131" s="43"/>
      <c r="D131" s="43"/>
      <c r="E131" s="43"/>
      <c r="F131" s="43"/>
      <c r="G131" s="43"/>
      <c r="H131" s="43"/>
      <c r="I131" s="43"/>
      <c r="J131" s="43"/>
      <c r="K131" s="43"/>
      <c r="L131" s="43"/>
      <c r="M131" s="43"/>
      <c r="N131" s="43"/>
      <c r="O131" s="43"/>
      <c r="P131" s="153"/>
      <c r="Q131" s="153"/>
      <c r="R131" s="153"/>
      <c r="S131" s="217"/>
      <c r="T131" s="2"/>
    </row>
    <row r="132" spans="1:20" ht="15.6" x14ac:dyDescent="0.3">
      <c r="A132" s="12"/>
      <c r="B132" s="14"/>
      <c r="C132" s="14"/>
      <c r="D132" s="14"/>
      <c r="E132" s="14"/>
      <c r="F132" s="14"/>
      <c r="G132" s="14"/>
      <c r="H132" s="14"/>
      <c r="I132" s="14"/>
      <c r="J132" s="14"/>
      <c r="K132" s="14"/>
      <c r="L132" s="14"/>
      <c r="M132" s="14"/>
      <c r="N132" s="14"/>
      <c r="O132" s="14"/>
      <c r="P132" s="14"/>
      <c r="Q132" s="14"/>
      <c r="R132" s="33"/>
      <c r="S132" s="217"/>
      <c r="T132" s="2"/>
    </row>
    <row r="133" spans="1:20" ht="18" thickBot="1" x14ac:dyDescent="0.35">
      <c r="A133" s="28"/>
      <c r="B133" s="97" t="str">
        <f>B60</f>
        <v>PM22 INVESTOR REPORT QUARTER ENDING MAY 2015</v>
      </c>
      <c r="C133" s="29"/>
      <c r="D133" s="29"/>
      <c r="E133" s="29"/>
      <c r="F133" s="29"/>
      <c r="G133" s="29"/>
      <c r="H133" s="29"/>
      <c r="I133" s="29"/>
      <c r="J133" s="29"/>
      <c r="K133" s="29"/>
      <c r="L133" s="29"/>
      <c r="M133" s="29"/>
      <c r="N133" s="29"/>
      <c r="O133" s="29"/>
      <c r="P133" s="29"/>
      <c r="Q133" s="29"/>
      <c r="R133" s="40"/>
      <c r="S133" s="31"/>
      <c r="T133" s="2"/>
    </row>
    <row r="134" spans="1:20" ht="15.6" x14ac:dyDescent="0.3">
      <c r="A134" s="65"/>
      <c r="B134" s="66" t="s">
        <v>33</v>
      </c>
      <c r="C134" s="67"/>
      <c r="D134" s="67"/>
      <c r="E134" s="67"/>
      <c r="F134" s="67"/>
      <c r="G134" s="67"/>
      <c r="H134" s="67"/>
      <c r="I134" s="67"/>
      <c r="J134" s="67"/>
      <c r="K134" s="67"/>
      <c r="L134" s="67"/>
      <c r="M134" s="67"/>
      <c r="N134" s="67"/>
      <c r="O134" s="67"/>
      <c r="P134" s="67"/>
      <c r="Q134" s="67"/>
      <c r="R134" s="68"/>
      <c r="S134" s="223"/>
      <c r="T134" s="2"/>
    </row>
    <row r="135" spans="1:20" ht="15.6" x14ac:dyDescent="0.3">
      <c r="A135" s="12"/>
      <c r="B135" s="22"/>
      <c r="C135" s="14"/>
      <c r="D135" s="14"/>
      <c r="E135" s="14"/>
      <c r="F135" s="14"/>
      <c r="G135" s="14"/>
      <c r="H135" s="14"/>
      <c r="I135" s="14"/>
      <c r="J135" s="14"/>
      <c r="K135" s="14"/>
      <c r="L135" s="14"/>
      <c r="M135" s="14"/>
      <c r="N135" s="14"/>
      <c r="O135" s="14"/>
      <c r="P135" s="14"/>
      <c r="Q135" s="14"/>
      <c r="R135" s="33"/>
      <c r="S135" s="217"/>
      <c r="T135" s="2"/>
    </row>
    <row r="136" spans="1:20" ht="15.6" x14ac:dyDescent="0.3">
      <c r="A136" s="12"/>
      <c r="B136" s="41" t="s">
        <v>34</v>
      </c>
      <c r="C136" s="14"/>
      <c r="D136" s="14"/>
      <c r="E136" s="14"/>
      <c r="F136" s="14"/>
      <c r="G136" s="14"/>
      <c r="H136" s="14"/>
      <c r="I136" s="14"/>
      <c r="J136" s="14"/>
      <c r="K136" s="14"/>
      <c r="L136" s="14"/>
      <c r="M136" s="14"/>
      <c r="N136" s="14"/>
      <c r="O136" s="14"/>
      <c r="P136" s="14"/>
      <c r="Q136" s="14"/>
      <c r="R136" s="33"/>
      <c r="S136" s="217"/>
      <c r="T136" s="2"/>
    </row>
    <row r="137" spans="1:20" ht="15.6" x14ac:dyDescent="0.3">
      <c r="A137" s="112"/>
      <c r="B137" s="113" t="s">
        <v>35</v>
      </c>
      <c r="C137" s="113"/>
      <c r="D137" s="113"/>
      <c r="E137" s="113"/>
      <c r="F137" s="113"/>
      <c r="G137" s="113"/>
      <c r="H137" s="113"/>
      <c r="I137" s="113"/>
      <c r="J137" s="113"/>
      <c r="K137" s="113"/>
      <c r="L137" s="113"/>
      <c r="M137" s="113"/>
      <c r="N137" s="113"/>
      <c r="O137" s="113"/>
      <c r="P137" s="113"/>
      <c r="Q137" s="113"/>
      <c r="R137" s="156">
        <v>7502</v>
      </c>
      <c r="S137" s="116"/>
      <c r="T137" s="2"/>
    </row>
    <row r="138" spans="1:20" ht="15.6" x14ac:dyDescent="0.3">
      <c r="A138" s="112"/>
      <c r="B138" s="113" t="s">
        <v>36</v>
      </c>
      <c r="C138" s="113"/>
      <c r="D138" s="113"/>
      <c r="E138" s="113"/>
      <c r="F138" s="113"/>
      <c r="G138" s="113"/>
      <c r="H138" s="113"/>
      <c r="I138" s="113"/>
      <c r="J138" s="113"/>
      <c r="K138" s="113"/>
      <c r="L138" s="113"/>
      <c r="M138" s="113"/>
      <c r="N138" s="113"/>
      <c r="O138" s="113"/>
      <c r="P138" s="113"/>
      <c r="Q138" s="113"/>
      <c r="R138" s="156">
        <v>0</v>
      </c>
      <c r="S138" s="116"/>
      <c r="T138" s="2"/>
    </row>
    <row r="139" spans="1:20" ht="15.6" x14ac:dyDescent="0.3">
      <c r="A139" s="112"/>
      <c r="B139" s="113" t="s">
        <v>169</v>
      </c>
      <c r="C139" s="113"/>
      <c r="D139" s="113"/>
      <c r="E139" s="113"/>
      <c r="F139" s="113"/>
      <c r="G139" s="113"/>
      <c r="H139" s="113"/>
      <c r="I139" s="113"/>
      <c r="J139" s="113"/>
      <c r="K139" s="113"/>
      <c r="L139" s="113"/>
      <c r="M139" s="113"/>
      <c r="N139" s="113"/>
      <c r="O139" s="113"/>
      <c r="P139" s="113"/>
      <c r="Q139" s="113"/>
      <c r="R139" s="156">
        <f>R137-R140</f>
        <v>206.12528229500003</v>
      </c>
      <c r="S139" s="116"/>
      <c r="T139" s="2"/>
    </row>
    <row r="140" spans="1:20" ht="15.6" x14ac:dyDescent="0.3">
      <c r="A140" s="112"/>
      <c r="B140" s="113" t="s">
        <v>210</v>
      </c>
      <c r="C140" s="113"/>
      <c r="D140" s="113"/>
      <c r="E140" s="113"/>
      <c r="F140" s="113"/>
      <c r="G140" s="113"/>
      <c r="H140" s="113"/>
      <c r="I140" s="113"/>
      <c r="J140" s="113"/>
      <c r="K140" s="113"/>
      <c r="L140" s="113"/>
      <c r="M140" s="113"/>
      <c r="N140" s="113"/>
      <c r="O140" s="113"/>
      <c r="P140" s="113"/>
      <c r="Q140" s="113"/>
      <c r="R140" s="156">
        <f>SUM(D33:J33)*0.025</f>
        <v>7295.874717705</v>
      </c>
      <c r="S140" s="116"/>
      <c r="T140" s="2"/>
    </row>
    <row r="141" spans="1:20" ht="15.6" x14ac:dyDescent="0.3">
      <c r="A141" s="112"/>
      <c r="B141" s="113" t="s">
        <v>108</v>
      </c>
      <c r="C141" s="113"/>
      <c r="D141" s="113"/>
      <c r="E141" s="113"/>
      <c r="F141" s="113"/>
      <c r="G141" s="113"/>
      <c r="H141" s="113"/>
      <c r="I141" s="113"/>
      <c r="J141" s="113"/>
      <c r="K141" s="113"/>
      <c r="L141" s="113"/>
      <c r="M141" s="113"/>
      <c r="N141" s="113"/>
      <c r="O141" s="113"/>
      <c r="P141" s="113"/>
      <c r="Q141" s="113"/>
      <c r="R141" s="156"/>
      <c r="S141" s="116"/>
      <c r="T141" s="2"/>
    </row>
    <row r="142" spans="1:20" ht="15.6" x14ac:dyDescent="0.3">
      <c r="A142" s="112"/>
      <c r="B142" s="113" t="s">
        <v>155</v>
      </c>
      <c r="C142" s="113"/>
      <c r="D142" s="113"/>
      <c r="E142" s="113"/>
      <c r="F142" s="113"/>
      <c r="G142" s="113"/>
      <c r="H142" s="113"/>
      <c r="I142" s="113"/>
      <c r="J142" s="113"/>
      <c r="K142" s="113"/>
      <c r="L142" s="113"/>
      <c r="M142" s="113"/>
      <c r="N142" s="113"/>
      <c r="O142" s="113"/>
      <c r="P142" s="113"/>
      <c r="Q142" s="113"/>
      <c r="R142" s="156">
        <v>0</v>
      </c>
      <c r="S142" s="116"/>
      <c r="T142" s="2"/>
    </row>
    <row r="143" spans="1:20" ht="15.6" x14ac:dyDescent="0.3">
      <c r="A143" s="112"/>
      <c r="B143" s="113" t="s">
        <v>189</v>
      </c>
      <c r="C143" s="113"/>
      <c r="D143" s="113"/>
      <c r="E143" s="113"/>
      <c r="F143" s="113"/>
      <c r="G143" s="113"/>
      <c r="H143" s="113"/>
      <c r="I143" s="113"/>
      <c r="J143" s="113"/>
      <c r="K143" s="113"/>
      <c r="L143" s="113"/>
      <c r="M143" s="113"/>
      <c r="N143" s="113"/>
      <c r="O143" s="113"/>
      <c r="P143" s="113"/>
      <c r="Q143" s="113"/>
      <c r="R143" s="156">
        <v>0</v>
      </c>
      <c r="S143" s="116"/>
      <c r="T143" s="2"/>
    </row>
    <row r="144" spans="1:20" ht="15.6" x14ac:dyDescent="0.3">
      <c r="A144" s="112"/>
      <c r="B144" s="113" t="s">
        <v>190</v>
      </c>
      <c r="C144" s="113"/>
      <c r="D144" s="113"/>
      <c r="E144" s="113"/>
      <c r="F144" s="113"/>
      <c r="G144" s="113"/>
      <c r="H144" s="113"/>
      <c r="I144" s="113"/>
      <c r="J144" s="113"/>
      <c r="K144" s="113"/>
      <c r="L144" s="113"/>
      <c r="M144" s="113"/>
      <c r="N144" s="113"/>
      <c r="O144" s="113"/>
      <c r="P144" s="113"/>
      <c r="Q144" s="113"/>
      <c r="R144" s="156">
        <v>0</v>
      </c>
      <c r="S144" s="116"/>
      <c r="T144" s="2"/>
    </row>
    <row r="145" spans="1:21" ht="15.6" x14ac:dyDescent="0.3">
      <c r="A145" s="112"/>
      <c r="B145" s="113" t="s">
        <v>37</v>
      </c>
      <c r="C145" s="113"/>
      <c r="D145" s="113"/>
      <c r="E145" s="113"/>
      <c r="F145" s="113"/>
      <c r="G145" s="113"/>
      <c r="H145" s="113"/>
      <c r="I145" s="113"/>
      <c r="J145" s="113"/>
      <c r="K145" s="113"/>
      <c r="L145" s="113"/>
      <c r="M145" s="113"/>
      <c r="N145" s="113"/>
      <c r="O145" s="113"/>
      <c r="P145" s="113"/>
      <c r="Q145" s="113"/>
      <c r="R145" s="156">
        <v>0</v>
      </c>
      <c r="S145" s="116"/>
      <c r="T145" s="2"/>
    </row>
    <row r="146" spans="1:21" ht="15.6" x14ac:dyDescent="0.3">
      <c r="A146" s="112"/>
      <c r="B146" s="113" t="s">
        <v>102</v>
      </c>
      <c r="C146" s="113"/>
      <c r="D146" s="113"/>
      <c r="E146" s="113"/>
      <c r="F146" s="113"/>
      <c r="G146" s="113"/>
      <c r="H146" s="113"/>
      <c r="I146" s="113"/>
      <c r="J146" s="113"/>
      <c r="K146" s="113"/>
      <c r="L146" s="113"/>
      <c r="M146" s="113"/>
      <c r="N146" s="113"/>
      <c r="O146" s="113"/>
      <c r="P146" s="113"/>
      <c r="Q146" s="113"/>
      <c r="R146" s="156">
        <v>0</v>
      </c>
      <c r="S146" s="116"/>
      <c r="T146" s="2"/>
    </row>
    <row r="147" spans="1:21" ht="15.6" x14ac:dyDescent="0.3">
      <c r="A147" s="112"/>
      <c r="B147" s="113" t="s">
        <v>256</v>
      </c>
      <c r="C147" s="113"/>
      <c r="D147" s="113"/>
      <c r="E147" s="113"/>
      <c r="F147" s="113"/>
      <c r="G147" s="113"/>
      <c r="H147" s="113"/>
      <c r="I147" s="113"/>
      <c r="J147" s="113"/>
      <c r="K147" s="113"/>
      <c r="L147" s="113"/>
      <c r="M147" s="113"/>
      <c r="N147" s="113"/>
      <c r="O147" s="113"/>
      <c r="P147" s="113"/>
      <c r="Q147" s="113"/>
      <c r="R147" s="156">
        <v>0</v>
      </c>
      <c r="S147" s="116"/>
      <c r="T147" s="2"/>
      <c r="U147" s="4"/>
    </row>
    <row r="148" spans="1:21" ht="15.6" x14ac:dyDescent="0.3">
      <c r="A148" s="112"/>
      <c r="B148" s="113" t="s">
        <v>38</v>
      </c>
      <c r="C148" s="113"/>
      <c r="D148" s="113"/>
      <c r="E148" s="113"/>
      <c r="F148" s="113"/>
      <c r="G148" s="113"/>
      <c r="H148" s="113"/>
      <c r="I148" s="113"/>
      <c r="J148" s="113"/>
      <c r="K148" s="113"/>
      <c r="L148" s="113"/>
      <c r="M148" s="113"/>
      <c r="N148" s="113"/>
      <c r="O148" s="113"/>
      <c r="P148" s="113"/>
      <c r="Q148" s="113"/>
      <c r="R148" s="156">
        <f>SUM(R138:R147)</f>
        <v>7502</v>
      </c>
      <c r="S148" s="116"/>
      <c r="T148" s="2"/>
    </row>
    <row r="149" spans="1:21" ht="15.6" x14ac:dyDescent="0.3">
      <c r="A149" s="12"/>
      <c r="B149" s="43"/>
      <c r="C149" s="43"/>
      <c r="D149" s="43"/>
      <c r="E149" s="43"/>
      <c r="F149" s="43"/>
      <c r="G149" s="43"/>
      <c r="H149" s="43"/>
      <c r="I149" s="43"/>
      <c r="J149" s="43"/>
      <c r="K149" s="43"/>
      <c r="L149" s="43"/>
      <c r="M149" s="43"/>
      <c r="N149" s="43"/>
      <c r="O149" s="43"/>
      <c r="P149" s="43"/>
      <c r="Q149" s="43"/>
      <c r="R149" s="162"/>
      <c r="S149" s="217"/>
      <c r="T149" s="2"/>
    </row>
    <row r="150" spans="1:21" ht="15.6" x14ac:dyDescent="0.3">
      <c r="A150" s="12"/>
      <c r="B150" s="41" t="s">
        <v>203</v>
      </c>
      <c r="C150" s="14"/>
      <c r="D150" s="14"/>
      <c r="E150" s="14"/>
      <c r="F150" s="14"/>
      <c r="G150" s="14"/>
      <c r="H150" s="14"/>
      <c r="I150" s="14"/>
      <c r="J150" s="14"/>
      <c r="K150" s="14"/>
      <c r="L150" s="14"/>
      <c r="M150" s="14"/>
      <c r="N150" s="14"/>
      <c r="O150" s="14"/>
      <c r="P150" s="14"/>
      <c r="Q150" s="14"/>
      <c r="R150" s="33"/>
      <c r="S150" s="217"/>
      <c r="T150" s="2"/>
    </row>
    <row r="151" spans="1:21" ht="15.6" x14ac:dyDescent="0.3">
      <c r="A151" s="112"/>
      <c r="B151" s="113" t="s">
        <v>168</v>
      </c>
      <c r="C151" s="113"/>
      <c r="D151" s="113"/>
      <c r="E151" s="113"/>
      <c r="F151" s="113"/>
      <c r="G151" s="113"/>
      <c r="H151" s="113"/>
      <c r="I151" s="113"/>
      <c r="J151" s="113"/>
      <c r="K151" s="113"/>
      <c r="L151" s="113"/>
      <c r="M151" s="113"/>
      <c r="N151" s="113"/>
      <c r="O151" s="113"/>
      <c r="P151" s="113"/>
      <c r="Q151" s="113"/>
      <c r="R151" s="156">
        <f>+F77</f>
        <v>53165</v>
      </c>
      <c r="S151" s="139"/>
      <c r="T151" s="2"/>
    </row>
    <row r="152" spans="1:21" ht="15.6" x14ac:dyDescent="0.3">
      <c r="A152" s="112"/>
      <c r="B152" s="113" t="s">
        <v>191</v>
      </c>
      <c r="C152" s="115"/>
      <c r="D152" s="115"/>
      <c r="E152" s="115"/>
      <c r="F152" s="115"/>
      <c r="G152" s="115"/>
      <c r="H152" s="115"/>
      <c r="I152" s="115"/>
      <c r="J152" s="115"/>
      <c r="K152" s="115"/>
      <c r="L152" s="115"/>
      <c r="M152" s="115"/>
      <c r="N152" s="115"/>
      <c r="O152" s="115"/>
      <c r="P152" s="115"/>
      <c r="Q152" s="115"/>
      <c r="R152" s="156">
        <f>+J77</f>
        <v>-53101</v>
      </c>
      <c r="S152" s="139"/>
      <c r="T152" s="2"/>
    </row>
    <row r="153" spans="1:21" ht="15.6" x14ac:dyDescent="0.3">
      <c r="A153" s="112"/>
      <c r="B153" s="113" t="s">
        <v>205</v>
      </c>
      <c r="C153" s="113"/>
      <c r="D153" s="113"/>
      <c r="E153" s="113"/>
      <c r="F153" s="113"/>
      <c r="G153" s="113"/>
      <c r="H153" s="113"/>
      <c r="I153" s="113"/>
      <c r="J153" s="113"/>
      <c r="K153" s="113"/>
      <c r="L153" s="113"/>
      <c r="M153" s="113"/>
      <c r="N153" s="113"/>
      <c r="O153" s="113"/>
      <c r="P153" s="113"/>
      <c r="Q153" s="113"/>
      <c r="R153" s="156">
        <f>R151+R152</f>
        <v>64</v>
      </c>
      <c r="S153" s="139"/>
      <c r="T153" s="2"/>
    </row>
    <row r="154" spans="1:21" ht="15.6" x14ac:dyDescent="0.3">
      <c r="A154" s="12"/>
      <c r="B154" s="163"/>
      <c r="C154" s="163"/>
      <c r="D154" s="163"/>
      <c r="E154" s="163"/>
      <c r="F154" s="163"/>
      <c r="G154" s="163"/>
      <c r="H154" s="163"/>
      <c r="I154" s="163"/>
      <c r="J154" s="163"/>
      <c r="K154" s="163"/>
      <c r="L154" s="163"/>
      <c r="M154" s="163"/>
      <c r="N154" s="163"/>
      <c r="O154" s="163"/>
      <c r="P154" s="163"/>
      <c r="Q154" s="163"/>
      <c r="R154" s="195"/>
      <c r="S154" s="217"/>
      <c r="T154" s="2"/>
    </row>
    <row r="155" spans="1:21" ht="15.6" x14ac:dyDescent="0.3">
      <c r="A155" s="12"/>
      <c r="B155" s="41" t="s">
        <v>211</v>
      </c>
      <c r="C155" s="163"/>
      <c r="D155" s="163"/>
      <c r="E155" s="163"/>
      <c r="F155" s="163"/>
      <c r="G155" s="163"/>
      <c r="H155" s="163"/>
      <c r="I155" s="163"/>
      <c r="J155" s="163"/>
      <c r="K155" s="163"/>
      <c r="L155" s="163"/>
      <c r="M155" s="163"/>
      <c r="N155" s="163"/>
      <c r="O155" s="163"/>
      <c r="P155" s="163"/>
      <c r="Q155" s="163"/>
      <c r="R155" s="195"/>
      <c r="S155" s="217"/>
      <c r="T155" s="2"/>
    </row>
    <row r="156" spans="1:21" ht="15.6" x14ac:dyDescent="0.3">
      <c r="A156" s="231"/>
      <c r="B156" s="232" t="s">
        <v>212</v>
      </c>
      <c r="C156" s="232"/>
      <c r="D156" s="232"/>
      <c r="E156" s="232"/>
      <c r="F156" s="232"/>
      <c r="G156" s="232"/>
      <c r="H156" s="232"/>
      <c r="I156" s="232"/>
      <c r="J156" s="232"/>
      <c r="K156" s="232"/>
      <c r="L156" s="232"/>
      <c r="M156" s="232"/>
      <c r="N156" s="232"/>
      <c r="O156" s="232"/>
      <c r="P156" s="232"/>
      <c r="Q156" s="232"/>
      <c r="R156" s="233">
        <v>2610</v>
      </c>
      <c r="S156" s="234"/>
      <c r="T156" s="2"/>
    </row>
    <row r="157" spans="1:21" ht="15.6" x14ac:dyDescent="0.3">
      <c r="A157" s="231"/>
      <c r="B157" s="232" t="s">
        <v>213</v>
      </c>
      <c r="C157" s="232"/>
      <c r="D157" s="232"/>
      <c r="E157" s="232"/>
      <c r="F157" s="232"/>
      <c r="G157" s="232"/>
      <c r="H157" s="232"/>
      <c r="I157" s="232"/>
      <c r="J157" s="232"/>
      <c r="K157" s="232"/>
      <c r="L157" s="232"/>
      <c r="M157" s="232"/>
      <c r="N157" s="232"/>
      <c r="O157" s="232"/>
      <c r="P157" s="232"/>
      <c r="Q157" s="232"/>
      <c r="R157" s="233">
        <v>0</v>
      </c>
      <c r="S157" s="234"/>
      <c r="T157" s="2"/>
    </row>
    <row r="158" spans="1:21" ht="15.6" x14ac:dyDescent="0.3">
      <c r="A158" s="231"/>
      <c r="B158" s="232" t="s">
        <v>214</v>
      </c>
      <c r="C158" s="232"/>
      <c r="D158" s="232"/>
      <c r="E158" s="232"/>
      <c r="F158" s="232"/>
      <c r="G158" s="232"/>
      <c r="H158" s="232"/>
      <c r="I158" s="232"/>
      <c r="J158" s="232"/>
      <c r="K158" s="232"/>
      <c r="L158" s="232"/>
      <c r="M158" s="232"/>
      <c r="N158" s="232"/>
      <c r="O158" s="232"/>
      <c r="P158" s="232"/>
      <c r="Q158" s="232"/>
      <c r="R158" s="233">
        <v>0</v>
      </c>
      <c r="S158" s="234"/>
      <c r="T158" s="2"/>
    </row>
    <row r="159" spans="1:21" ht="15.6" x14ac:dyDescent="0.3">
      <c r="A159" s="231"/>
      <c r="B159" s="232" t="s">
        <v>215</v>
      </c>
      <c r="C159" s="232"/>
      <c r="D159" s="232"/>
      <c r="E159" s="232"/>
      <c r="F159" s="232"/>
      <c r="G159" s="232"/>
      <c r="H159" s="232"/>
      <c r="I159" s="232"/>
      <c r="J159" s="232"/>
      <c r="K159" s="232"/>
      <c r="L159" s="232"/>
      <c r="M159" s="232"/>
      <c r="N159" s="232"/>
      <c r="O159" s="232"/>
      <c r="P159" s="232"/>
      <c r="Q159" s="232"/>
      <c r="R159" s="233">
        <f>R156+R157+-R158</f>
        <v>2610</v>
      </c>
      <c r="S159" s="234"/>
      <c r="T159" s="2"/>
    </row>
    <row r="160" spans="1:21" ht="15.6" x14ac:dyDescent="0.3">
      <c r="A160" s="12"/>
      <c r="B160" s="43"/>
      <c r="C160" s="43"/>
      <c r="D160" s="43"/>
      <c r="E160" s="43"/>
      <c r="F160" s="43"/>
      <c r="G160" s="43"/>
      <c r="H160" s="43"/>
      <c r="I160" s="43"/>
      <c r="J160" s="43"/>
      <c r="K160" s="43"/>
      <c r="L160" s="43"/>
      <c r="M160" s="43"/>
      <c r="N160" s="43"/>
      <c r="O160" s="43"/>
      <c r="P160" s="43"/>
      <c r="Q160" s="43"/>
      <c r="R160" s="162"/>
      <c r="S160" s="217"/>
      <c r="T160" s="2"/>
    </row>
    <row r="161" spans="1:252" ht="15.6" x14ac:dyDescent="0.3">
      <c r="A161" s="12"/>
      <c r="B161" s="41" t="s">
        <v>39</v>
      </c>
      <c r="C161" s="14"/>
      <c r="D161" s="14"/>
      <c r="E161" s="14"/>
      <c r="F161" s="14"/>
      <c r="G161" s="14"/>
      <c r="H161" s="14"/>
      <c r="I161" s="14"/>
      <c r="J161" s="14"/>
      <c r="K161" s="14"/>
      <c r="L161" s="14"/>
      <c r="M161" s="14"/>
      <c r="N161" s="14"/>
      <c r="O161" s="14"/>
      <c r="P161" s="14"/>
      <c r="Q161" s="14"/>
      <c r="R161" s="42"/>
      <c r="S161" s="217"/>
      <c r="T161" s="2"/>
    </row>
    <row r="162" spans="1:252" ht="15.6" x14ac:dyDescent="0.3">
      <c r="A162" s="112"/>
      <c r="B162" s="113" t="s">
        <v>40</v>
      </c>
      <c r="C162" s="113"/>
      <c r="D162" s="113"/>
      <c r="E162" s="113"/>
      <c r="F162" s="113"/>
      <c r="G162" s="113"/>
      <c r="H162" s="113"/>
      <c r="I162" s="113"/>
      <c r="J162" s="113"/>
      <c r="K162" s="113"/>
      <c r="L162" s="113"/>
      <c r="M162" s="113"/>
      <c r="N162" s="113"/>
      <c r="O162" s="113"/>
      <c r="P162" s="113"/>
      <c r="Q162" s="113"/>
      <c r="R162" s="156">
        <v>0</v>
      </c>
      <c r="S162" s="116"/>
      <c r="T162" s="2"/>
    </row>
    <row r="163" spans="1:252" ht="15.6" x14ac:dyDescent="0.3">
      <c r="A163" s="112"/>
      <c r="B163" s="113" t="s">
        <v>41</v>
      </c>
      <c r="C163" s="113"/>
      <c r="D163" s="113"/>
      <c r="E163" s="113"/>
      <c r="F163" s="113"/>
      <c r="G163" s="113"/>
      <c r="H163" s="113"/>
      <c r="I163" s="113"/>
      <c r="J163" s="113"/>
      <c r="K163" s="113"/>
      <c r="L163" s="113"/>
      <c r="M163" s="113"/>
      <c r="N163" s="113"/>
      <c r="O163" s="113"/>
      <c r="P163" s="113"/>
      <c r="Q163" s="113"/>
      <c r="R163" s="156">
        <v>0</v>
      </c>
      <c r="S163" s="116"/>
      <c r="T163" s="2"/>
    </row>
    <row r="164" spans="1:252" ht="15.6" x14ac:dyDescent="0.3">
      <c r="A164" s="112"/>
      <c r="B164" s="113" t="s">
        <v>42</v>
      </c>
      <c r="C164" s="113"/>
      <c r="D164" s="113"/>
      <c r="E164" s="113"/>
      <c r="F164" s="113"/>
      <c r="G164" s="113"/>
      <c r="H164" s="113"/>
      <c r="I164" s="113"/>
      <c r="J164" s="113"/>
      <c r="K164" s="113"/>
      <c r="L164" s="113"/>
      <c r="M164" s="113"/>
      <c r="N164" s="113"/>
      <c r="O164" s="113"/>
      <c r="P164" s="113"/>
      <c r="Q164" s="113"/>
      <c r="R164" s="156">
        <f>R163+R162</f>
        <v>0</v>
      </c>
      <c r="S164" s="116"/>
      <c r="T164" s="2"/>
    </row>
    <row r="165" spans="1:252" ht="15.6" x14ac:dyDescent="0.3">
      <c r="A165" s="112"/>
      <c r="B165" s="113" t="s">
        <v>174</v>
      </c>
      <c r="C165" s="113"/>
      <c r="D165" s="113"/>
      <c r="E165" s="113"/>
      <c r="F165" s="113"/>
      <c r="G165" s="113"/>
      <c r="H165" s="113"/>
      <c r="I165" s="113"/>
      <c r="J165" s="113"/>
      <c r="K165" s="113"/>
      <c r="L165" s="113"/>
      <c r="M165" s="113"/>
      <c r="N165" s="113"/>
      <c r="O165" s="113"/>
      <c r="P165" s="113"/>
      <c r="Q165" s="113"/>
      <c r="R165" s="156">
        <f>R112</f>
        <v>0</v>
      </c>
      <c r="S165" s="116"/>
      <c r="T165" s="2"/>
    </row>
    <row r="166" spans="1:252" ht="15.6" x14ac:dyDescent="0.3">
      <c r="A166" s="112"/>
      <c r="B166" s="113" t="s">
        <v>43</v>
      </c>
      <c r="C166" s="113"/>
      <c r="D166" s="113"/>
      <c r="E166" s="113"/>
      <c r="F166" s="113"/>
      <c r="G166" s="113"/>
      <c r="H166" s="113"/>
      <c r="I166" s="113"/>
      <c r="J166" s="113"/>
      <c r="K166" s="113"/>
      <c r="L166" s="113"/>
      <c r="M166" s="113"/>
      <c r="N166" s="113"/>
      <c r="O166" s="113"/>
      <c r="P166" s="113"/>
      <c r="Q166" s="113"/>
      <c r="R166" s="156">
        <f>R164+R165</f>
        <v>0</v>
      </c>
      <c r="S166" s="116"/>
      <c r="T166" s="2"/>
    </row>
    <row r="167" spans="1:252" ht="15.6" x14ac:dyDescent="0.3">
      <c r="A167" s="112"/>
      <c r="B167" s="113" t="s">
        <v>150</v>
      </c>
      <c r="C167" s="113"/>
      <c r="D167" s="113"/>
      <c r="E167" s="113"/>
      <c r="F167" s="113"/>
      <c r="G167" s="113"/>
      <c r="H167" s="113"/>
      <c r="I167" s="113"/>
      <c r="J167" s="113"/>
      <c r="K167" s="113"/>
      <c r="L167" s="113"/>
      <c r="M167" s="113"/>
      <c r="N167" s="113"/>
      <c r="O167" s="113"/>
      <c r="P167" s="113"/>
      <c r="Q167" s="113"/>
      <c r="R167" s="156">
        <f>-R100</f>
        <v>0</v>
      </c>
      <c r="S167" s="116"/>
      <c r="T167" s="2"/>
    </row>
    <row r="168" spans="1:252" ht="16.2" thickBot="1" x14ac:dyDescent="0.35">
      <c r="A168" s="12"/>
      <c r="B168" s="43"/>
      <c r="C168" s="43"/>
      <c r="D168" s="43"/>
      <c r="E168" s="43"/>
      <c r="F168" s="43"/>
      <c r="G168" s="43"/>
      <c r="H168" s="43"/>
      <c r="I168" s="43"/>
      <c r="J168" s="43"/>
      <c r="K168" s="43"/>
      <c r="L168" s="43"/>
      <c r="M168" s="43"/>
      <c r="N168" s="43"/>
      <c r="O168" s="43"/>
      <c r="P168" s="43"/>
      <c r="Q168" s="43"/>
      <c r="R168" s="162"/>
      <c r="S168" s="217"/>
      <c r="T168" s="2"/>
    </row>
    <row r="169" spans="1:252" ht="15.6" x14ac:dyDescent="0.3">
      <c r="A169" s="10"/>
      <c r="B169" s="11"/>
      <c r="C169" s="11"/>
      <c r="D169" s="11"/>
      <c r="E169" s="11"/>
      <c r="F169" s="11"/>
      <c r="G169" s="11"/>
      <c r="H169" s="11"/>
      <c r="I169" s="11"/>
      <c r="J169" s="11"/>
      <c r="K169" s="11"/>
      <c r="L169" s="11"/>
      <c r="M169" s="11"/>
      <c r="N169" s="11"/>
      <c r="O169" s="11"/>
      <c r="P169" s="11"/>
      <c r="Q169" s="11"/>
      <c r="R169" s="32"/>
      <c r="S169" s="216"/>
      <c r="T169" s="2"/>
    </row>
    <row r="170" spans="1:252" s="6" customFormat="1" ht="15.6" x14ac:dyDescent="0.3">
      <c r="A170" s="12"/>
      <c r="B170" s="41" t="s">
        <v>204</v>
      </c>
      <c r="C170" s="43"/>
      <c r="D170" s="43"/>
      <c r="E170" s="43"/>
      <c r="F170" s="43"/>
      <c r="G170" s="43"/>
      <c r="H170" s="43"/>
      <c r="I170" s="43"/>
      <c r="J170" s="43"/>
      <c r="K170" s="43"/>
      <c r="L170" s="43"/>
      <c r="M170" s="43"/>
      <c r="N170" s="43"/>
      <c r="O170" s="43"/>
      <c r="P170" s="43"/>
      <c r="Q170" s="43"/>
      <c r="R170" s="44"/>
      <c r="S170" s="217"/>
      <c r="T170" s="2"/>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row>
    <row r="171" spans="1:252" s="7" customFormat="1" ht="15.6" x14ac:dyDescent="0.3">
      <c r="A171" s="112"/>
      <c r="B171" s="113" t="s">
        <v>141</v>
      </c>
      <c r="C171" s="113"/>
      <c r="D171" s="113"/>
      <c r="E171" s="113"/>
      <c r="F171" s="113"/>
      <c r="G171" s="113"/>
      <c r="H171" s="113"/>
      <c r="I171" s="113"/>
      <c r="J171" s="113"/>
      <c r="K171" s="113"/>
      <c r="L171" s="113"/>
      <c r="M171" s="113"/>
      <c r="N171" s="113"/>
      <c r="O171" s="113"/>
      <c r="P171" s="113"/>
      <c r="Q171" s="113"/>
      <c r="R171" s="156">
        <f>1081+96</f>
        <v>1177</v>
      </c>
      <c r="S171" s="116"/>
      <c r="T171" s="2"/>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1:252" s="7" customFormat="1" ht="15.6" x14ac:dyDescent="0.3">
      <c r="A172" s="112"/>
      <c r="B172" s="113" t="s">
        <v>144</v>
      </c>
      <c r="C172" s="113"/>
      <c r="D172" s="113"/>
      <c r="E172" s="113"/>
      <c r="F172" s="113"/>
      <c r="G172" s="113"/>
      <c r="H172" s="113"/>
      <c r="I172" s="113"/>
      <c r="J172" s="113"/>
      <c r="K172" s="113"/>
      <c r="L172" s="113"/>
      <c r="M172" s="113"/>
      <c r="N172" s="113"/>
      <c r="O172" s="113"/>
      <c r="P172" s="113"/>
      <c r="Q172" s="113"/>
      <c r="R172" s="156">
        <f>+R93</f>
        <v>709</v>
      </c>
      <c r="S172" s="116"/>
      <c r="T172" s="2"/>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1:252" s="7" customFormat="1" ht="15.6" x14ac:dyDescent="0.3">
      <c r="A173" s="112"/>
      <c r="B173" s="113" t="s">
        <v>142</v>
      </c>
      <c r="C173" s="113"/>
      <c r="D173" s="113"/>
      <c r="E173" s="113"/>
      <c r="F173" s="113"/>
      <c r="G173" s="113"/>
      <c r="H173" s="113"/>
      <c r="I173" s="113"/>
      <c r="J173" s="113"/>
      <c r="K173" s="113"/>
      <c r="L173" s="113"/>
      <c r="M173" s="113"/>
      <c r="N173" s="113"/>
      <c r="O173" s="113"/>
      <c r="P173" s="113"/>
      <c r="Q173" s="113"/>
      <c r="R173" s="156">
        <f>+R171-R172</f>
        <v>468</v>
      </c>
      <c r="S173" s="116"/>
      <c r="T173" s="2"/>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1:252" s="8" customFormat="1" ht="16.2" thickBot="1" x14ac:dyDescent="0.35">
      <c r="A174" s="28"/>
      <c r="B174" s="43"/>
      <c r="C174" s="43"/>
      <c r="D174" s="43"/>
      <c r="E174" s="43"/>
      <c r="F174" s="43"/>
      <c r="G174" s="43"/>
      <c r="H174" s="43"/>
      <c r="I174" s="43"/>
      <c r="J174" s="43"/>
      <c r="K174" s="43"/>
      <c r="L174" s="43"/>
      <c r="M174" s="43"/>
      <c r="N174" s="43"/>
      <c r="O174" s="43"/>
      <c r="P174" s="43"/>
      <c r="Q174" s="43"/>
      <c r="R174" s="162"/>
      <c r="S174" s="217"/>
      <c r="T174" s="2"/>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1:252" s="9" customFormat="1" ht="15.6" x14ac:dyDescent="0.3">
      <c r="A175" s="10"/>
      <c r="B175" s="11"/>
      <c r="C175" s="11"/>
      <c r="D175" s="11"/>
      <c r="E175" s="11"/>
      <c r="F175" s="11"/>
      <c r="G175" s="11"/>
      <c r="H175" s="11"/>
      <c r="I175" s="11"/>
      <c r="J175" s="11"/>
      <c r="K175" s="11"/>
      <c r="L175" s="11"/>
      <c r="M175" s="11"/>
      <c r="N175" s="11"/>
      <c r="O175" s="11"/>
      <c r="P175" s="11"/>
      <c r="Q175" s="11"/>
      <c r="R175" s="32"/>
      <c r="S175" s="216"/>
      <c r="T175" s="2"/>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row>
    <row r="176" spans="1:252" ht="15.6" x14ac:dyDescent="0.3">
      <c r="A176" s="12"/>
      <c r="B176" s="41" t="s">
        <v>44</v>
      </c>
      <c r="C176" s="14"/>
      <c r="D176" s="14"/>
      <c r="E176" s="14"/>
      <c r="F176" s="14"/>
      <c r="G176" s="14"/>
      <c r="H176" s="14"/>
      <c r="I176" s="14"/>
      <c r="J176" s="14"/>
      <c r="K176" s="14"/>
      <c r="L176" s="14"/>
      <c r="M176" s="14"/>
      <c r="N176" s="14"/>
      <c r="O176" s="14"/>
      <c r="P176" s="14"/>
      <c r="Q176" s="14"/>
      <c r="R176" s="33"/>
      <c r="S176" s="217"/>
      <c r="T176" s="2"/>
    </row>
    <row r="177" spans="1:20" ht="15.6" x14ac:dyDescent="0.3">
      <c r="A177" s="12"/>
      <c r="B177" s="22"/>
      <c r="C177" s="14"/>
      <c r="D177" s="14"/>
      <c r="E177" s="14"/>
      <c r="F177" s="14"/>
      <c r="G177" s="14"/>
      <c r="H177" s="14"/>
      <c r="I177" s="14"/>
      <c r="J177" s="14"/>
      <c r="K177" s="14"/>
      <c r="L177" s="14"/>
      <c r="M177" s="14"/>
      <c r="N177" s="14"/>
      <c r="O177" s="14"/>
      <c r="P177" s="14"/>
      <c r="Q177" s="14"/>
      <c r="R177" s="33"/>
      <c r="S177" s="217"/>
      <c r="T177" s="2"/>
    </row>
    <row r="178" spans="1:20" ht="15.6" x14ac:dyDescent="0.3">
      <c r="A178" s="112"/>
      <c r="B178" s="113" t="s">
        <v>172</v>
      </c>
      <c r="C178" s="113"/>
      <c r="D178" s="113"/>
      <c r="E178" s="113"/>
      <c r="F178" s="113"/>
      <c r="G178" s="113"/>
      <c r="H178" s="113"/>
      <c r="I178" s="113"/>
      <c r="J178" s="113"/>
      <c r="K178" s="113"/>
      <c r="L178" s="113"/>
      <c r="M178" s="113"/>
      <c r="N178" s="113"/>
      <c r="O178" s="113"/>
      <c r="P178" s="113"/>
      <c r="Q178" s="113"/>
      <c r="R178" s="156">
        <f>+R67</f>
        <v>296725</v>
      </c>
      <c r="S178" s="116"/>
      <c r="T178" s="2"/>
    </row>
    <row r="179" spans="1:20" ht="15.6" x14ac:dyDescent="0.3">
      <c r="A179" s="112"/>
      <c r="B179" s="113" t="s">
        <v>173</v>
      </c>
      <c r="C179" s="113"/>
      <c r="D179" s="113"/>
      <c r="E179" s="113"/>
      <c r="F179" s="113"/>
      <c r="G179" s="113"/>
      <c r="H179" s="113"/>
      <c r="I179" s="113"/>
      <c r="J179" s="113"/>
      <c r="K179" s="113"/>
      <c r="L179" s="113"/>
      <c r="M179" s="113"/>
      <c r="N179" s="113"/>
      <c r="O179" s="113"/>
      <c r="P179" s="113"/>
      <c r="Q179" s="113"/>
      <c r="R179" s="156">
        <f>+R77</f>
        <v>0</v>
      </c>
      <c r="S179" s="116"/>
      <c r="T179" s="2"/>
    </row>
    <row r="180" spans="1:20" ht="15.6" x14ac:dyDescent="0.3">
      <c r="A180" s="112"/>
      <c r="B180" s="113" t="s">
        <v>216</v>
      </c>
      <c r="C180" s="113"/>
      <c r="D180" s="113"/>
      <c r="E180" s="113"/>
      <c r="F180" s="113"/>
      <c r="G180" s="113"/>
      <c r="H180" s="113"/>
      <c r="I180" s="113"/>
      <c r="J180" s="113"/>
      <c r="K180" s="113"/>
      <c r="L180" s="113"/>
      <c r="M180" s="113"/>
      <c r="N180" s="113"/>
      <c r="O180" s="113"/>
      <c r="P180" s="113"/>
      <c r="Q180" s="113"/>
      <c r="R180" s="156">
        <f>+R78</f>
        <v>2610</v>
      </c>
      <c r="S180" s="116"/>
      <c r="T180" s="2"/>
    </row>
    <row r="181" spans="1:20" ht="15.6" x14ac:dyDescent="0.3">
      <c r="A181" s="112"/>
      <c r="B181" s="113" t="s">
        <v>126</v>
      </c>
      <c r="C181" s="113"/>
      <c r="D181" s="113"/>
      <c r="E181" s="113"/>
      <c r="F181" s="113"/>
      <c r="G181" s="113"/>
      <c r="H181" s="113"/>
      <c r="I181" s="113"/>
      <c r="J181" s="113"/>
      <c r="K181" s="113"/>
      <c r="L181" s="113"/>
      <c r="M181" s="113"/>
      <c r="N181" s="113"/>
      <c r="O181" s="113"/>
      <c r="P181" s="113"/>
      <c r="Q181" s="113"/>
      <c r="R181" s="156">
        <f>+R178+R179+R180</f>
        <v>299335</v>
      </c>
      <c r="S181" s="116"/>
      <c r="T181" s="2"/>
    </row>
    <row r="182" spans="1:20" ht="15.6" x14ac:dyDescent="0.3">
      <c r="A182" s="112"/>
      <c r="B182" s="113" t="s">
        <v>45</v>
      </c>
      <c r="C182" s="113"/>
      <c r="D182" s="113"/>
      <c r="E182" s="113"/>
      <c r="F182" s="113"/>
      <c r="G182" s="113"/>
      <c r="H182" s="113"/>
      <c r="I182" s="113"/>
      <c r="J182" s="113"/>
      <c r="K182" s="113"/>
      <c r="L182" s="113"/>
      <c r="M182" s="113"/>
      <c r="N182" s="113"/>
      <c r="O182" s="113"/>
      <c r="P182" s="113"/>
      <c r="Q182" s="113"/>
      <c r="R182" s="156">
        <f>R80</f>
        <v>299335</v>
      </c>
      <c r="S182" s="116"/>
      <c r="T182" s="2"/>
    </row>
    <row r="183" spans="1:20" ht="16.2" thickBot="1" x14ac:dyDescent="0.35">
      <c r="A183" s="12"/>
      <c r="B183" s="43"/>
      <c r="C183" s="43"/>
      <c r="D183" s="43"/>
      <c r="E183" s="43"/>
      <c r="F183" s="43"/>
      <c r="G183" s="43"/>
      <c r="H183" s="43"/>
      <c r="I183" s="43"/>
      <c r="J183" s="43"/>
      <c r="K183" s="43"/>
      <c r="L183" s="43"/>
      <c r="M183" s="43"/>
      <c r="N183" s="43"/>
      <c r="O183" s="43"/>
      <c r="P183" s="43"/>
      <c r="Q183" s="43"/>
      <c r="R183" s="162"/>
      <c r="S183" s="217"/>
      <c r="T183" s="2"/>
    </row>
    <row r="184" spans="1:20" ht="15.6" x14ac:dyDescent="0.3">
      <c r="A184" s="10"/>
      <c r="B184" s="11"/>
      <c r="C184" s="11"/>
      <c r="D184" s="11"/>
      <c r="E184" s="11"/>
      <c r="F184" s="11"/>
      <c r="G184" s="11"/>
      <c r="H184" s="11"/>
      <c r="I184" s="11"/>
      <c r="J184" s="11"/>
      <c r="K184" s="11"/>
      <c r="L184" s="11"/>
      <c r="M184" s="11"/>
      <c r="N184" s="11"/>
      <c r="O184" s="11"/>
      <c r="P184" s="11"/>
      <c r="Q184" s="11"/>
      <c r="R184" s="32"/>
      <c r="S184" s="216"/>
      <c r="T184" s="2"/>
    </row>
    <row r="185" spans="1:20" ht="15.6" x14ac:dyDescent="0.3">
      <c r="A185" s="12"/>
      <c r="B185" s="41" t="s">
        <v>46</v>
      </c>
      <c r="C185" s="37"/>
      <c r="D185" s="45"/>
      <c r="E185" s="45"/>
      <c r="F185" s="45"/>
      <c r="G185" s="45"/>
      <c r="H185" s="45"/>
      <c r="I185" s="45"/>
      <c r="J185" s="45"/>
      <c r="K185" s="45"/>
      <c r="L185" s="45"/>
      <c r="M185" s="45"/>
      <c r="N185" s="45"/>
      <c r="O185" s="45" t="s">
        <v>82</v>
      </c>
      <c r="P185" s="45" t="s">
        <v>170</v>
      </c>
      <c r="Q185" s="16"/>
      <c r="R185" s="46" t="s">
        <v>94</v>
      </c>
      <c r="S185" s="224"/>
      <c r="T185" s="2"/>
    </row>
    <row r="186" spans="1:20" ht="15.6" x14ac:dyDescent="0.3">
      <c r="A186" s="112"/>
      <c r="B186" s="113" t="s">
        <v>47</v>
      </c>
      <c r="C186" s="113"/>
      <c r="D186" s="113"/>
      <c r="E186" s="113"/>
      <c r="F186" s="113"/>
      <c r="G186" s="113"/>
      <c r="H186" s="113"/>
      <c r="I186" s="113"/>
      <c r="J186" s="113"/>
      <c r="K186" s="113"/>
      <c r="L186" s="113"/>
      <c r="M186" s="113"/>
      <c r="N186" s="113"/>
      <c r="O186" s="156">
        <f>+R31*0.08</f>
        <v>24000.720000000001</v>
      </c>
      <c r="P186" s="145"/>
      <c r="Q186" s="113"/>
      <c r="R186" s="156"/>
      <c r="S186" s="116"/>
      <c r="T186" s="2"/>
    </row>
    <row r="187" spans="1:20" ht="15.6" x14ac:dyDescent="0.3">
      <c r="A187" s="112"/>
      <c r="B187" s="113" t="s">
        <v>48</v>
      </c>
      <c r="C187" s="113"/>
      <c r="D187" s="113"/>
      <c r="E187" s="113"/>
      <c r="F187" s="113"/>
      <c r="G187" s="113"/>
      <c r="H187" s="113"/>
      <c r="I187" s="113"/>
      <c r="J187" s="113"/>
      <c r="K187" s="113"/>
      <c r="L187" s="113"/>
      <c r="M187" s="113"/>
      <c r="N187" s="113"/>
      <c r="O187" s="156">
        <v>0</v>
      </c>
      <c r="P187" s="156">
        <v>0</v>
      </c>
      <c r="Q187" s="113"/>
      <c r="R187" s="156">
        <f>O187+P187</f>
        <v>0</v>
      </c>
      <c r="S187" s="116"/>
      <c r="T187" s="2"/>
    </row>
    <row r="188" spans="1:20" ht="15.6" x14ac:dyDescent="0.3">
      <c r="A188" s="112"/>
      <c r="B188" s="113" t="s">
        <v>49</v>
      </c>
      <c r="C188" s="113"/>
      <c r="D188" s="113"/>
      <c r="E188" s="113"/>
      <c r="F188" s="113"/>
      <c r="G188" s="113"/>
      <c r="H188" s="113"/>
      <c r="I188" s="113"/>
      <c r="J188" s="113"/>
      <c r="K188" s="113"/>
      <c r="L188" s="113"/>
      <c r="M188" s="113"/>
      <c r="N188" s="113"/>
      <c r="O188" s="155">
        <v>0</v>
      </c>
      <c r="P188" s="155">
        <v>217</v>
      </c>
      <c r="Q188" s="113"/>
      <c r="R188" s="156">
        <f>O188+P188</f>
        <v>217</v>
      </c>
      <c r="S188" s="116"/>
      <c r="T188" s="2"/>
    </row>
    <row r="189" spans="1:20" ht="15.6" x14ac:dyDescent="0.3">
      <c r="A189" s="112"/>
      <c r="B189" s="113" t="s">
        <v>50</v>
      </c>
      <c r="C189" s="113"/>
      <c r="D189" s="113"/>
      <c r="E189" s="113"/>
      <c r="F189" s="113"/>
      <c r="G189" s="113"/>
      <c r="H189" s="113"/>
      <c r="I189" s="113"/>
      <c r="J189" s="113"/>
      <c r="K189" s="113"/>
      <c r="L189" s="113"/>
      <c r="M189" s="113"/>
      <c r="N189" s="113"/>
      <c r="O189" s="156">
        <f>O187+O188</f>
        <v>0</v>
      </c>
      <c r="P189" s="156">
        <f>P188+P187</f>
        <v>217</v>
      </c>
      <c r="Q189" s="113"/>
      <c r="R189" s="156">
        <f>O189+P189</f>
        <v>217</v>
      </c>
      <c r="S189" s="116"/>
      <c r="T189" s="2"/>
    </row>
    <row r="190" spans="1:20" ht="15.6" x14ac:dyDescent="0.3">
      <c r="A190" s="112"/>
      <c r="B190" s="113" t="s">
        <v>51</v>
      </c>
      <c r="C190" s="113"/>
      <c r="D190" s="113"/>
      <c r="E190" s="113"/>
      <c r="F190" s="113"/>
      <c r="G190" s="113"/>
      <c r="H190" s="113"/>
      <c r="I190" s="113"/>
      <c r="J190" s="113"/>
      <c r="K190" s="113"/>
      <c r="L190" s="113"/>
      <c r="M190" s="113"/>
      <c r="N190" s="113"/>
      <c r="O190" s="156">
        <f>O186-O189-P189</f>
        <v>23783.72</v>
      </c>
      <c r="P190" s="145"/>
      <c r="Q190" s="113"/>
      <c r="R190" s="156"/>
      <c r="S190" s="116"/>
      <c r="T190" s="2"/>
    </row>
    <row r="191" spans="1:20" ht="16.2" thickBot="1" x14ac:dyDescent="0.35">
      <c r="A191" s="12"/>
      <c r="B191" s="43"/>
      <c r="C191" s="43"/>
      <c r="D191" s="43"/>
      <c r="E191" s="43"/>
      <c r="F191" s="43"/>
      <c r="G191" s="43"/>
      <c r="H191" s="43"/>
      <c r="I191" s="43"/>
      <c r="J191" s="43"/>
      <c r="K191" s="43"/>
      <c r="L191" s="43"/>
      <c r="M191" s="43"/>
      <c r="N191" s="43"/>
      <c r="O191" s="43"/>
      <c r="P191" s="43"/>
      <c r="Q191" s="43"/>
      <c r="R191" s="162"/>
      <c r="S191" s="217"/>
      <c r="T191" s="2"/>
    </row>
    <row r="192" spans="1:20" ht="15.6" x14ac:dyDescent="0.3">
      <c r="A192" s="10"/>
      <c r="B192" s="11"/>
      <c r="C192" s="11"/>
      <c r="D192" s="11"/>
      <c r="E192" s="11"/>
      <c r="F192" s="11"/>
      <c r="G192" s="11"/>
      <c r="H192" s="11"/>
      <c r="I192" s="11"/>
      <c r="J192" s="11"/>
      <c r="K192" s="11"/>
      <c r="L192" s="11"/>
      <c r="M192" s="11"/>
      <c r="N192" s="11"/>
      <c r="O192" s="11"/>
      <c r="P192" s="11"/>
      <c r="Q192" s="11"/>
      <c r="R192" s="32"/>
      <c r="S192" s="216"/>
      <c r="T192" s="2"/>
    </row>
    <row r="193" spans="1:20" ht="15.6" x14ac:dyDescent="0.3">
      <c r="A193" s="12"/>
      <c r="B193" s="41" t="s">
        <v>52</v>
      </c>
      <c r="C193" s="14"/>
      <c r="D193" s="14"/>
      <c r="E193" s="14"/>
      <c r="F193" s="14"/>
      <c r="G193" s="14"/>
      <c r="H193" s="14"/>
      <c r="I193" s="14"/>
      <c r="J193" s="14"/>
      <c r="K193" s="14"/>
      <c r="L193" s="14"/>
      <c r="M193" s="14"/>
      <c r="N193" s="14"/>
      <c r="O193" s="14"/>
      <c r="P193" s="14"/>
      <c r="Q193" s="14"/>
      <c r="R193" s="47"/>
      <c r="S193" s="217"/>
      <c r="T193" s="2"/>
    </row>
    <row r="194" spans="1:20" ht="15.6" x14ac:dyDescent="0.3">
      <c r="A194" s="112"/>
      <c r="B194" s="113" t="s">
        <v>53</v>
      </c>
      <c r="C194" s="113"/>
      <c r="D194" s="113"/>
      <c r="E194" s="113"/>
      <c r="F194" s="113"/>
      <c r="G194" s="113"/>
      <c r="H194" s="113"/>
      <c r="I194" s="113"/>
      <c r="J194" s="113"/>
      <c r="K194" s="113"/>
      <c r="L194" s="113"/>
      <c r="M194" s="113"/>
      <c r="N194" s="113"/>
      <c r="O194" s="113"/>
      <c r="P194" s="113"/>
      <c r="Q194" s="113"/>
      <c r="R194" s="161">
        <f>(R101+R103+R104+R105+R106)/-(R107+R108)</f>
        <v>2.6579545454545452</v>
      </c>
      <c r="S194" s="116" t="s">
        <v>95</v>
      </c>
      <c r="T194" s="2"/>
    </row>
    <row r="195" spans="1:20" ht="15.6" x14ac:dyDescent="0.3">
      <c r="A195" s="112"/>
      <c r="B195" s="113" t="s">
        <v>54</v>
      </c>
      <c r="C195" s="113"/>
      <c r="D195" s="113"/>
      <c r="E195" s="113"/>
      <c r="F195" s="113"/>
      <c r="G195" s="113"/>
      <c r="H195" s="113"/>
      <c r="I195" s="113"/>
      <c r="J195" s="113"/>
      <c r="K195" s="113"/>
      <c r="L195" s="113"/>
      <c r="M195" s="113"/>
      <c r="N195" s="113"/>
      <c r="O195" s="113"/>
      <c r="P195" s="113"/>
      <c r="Q195" s="113"/>
      <c r="R195" s="241">
        <v>2.66</v>
      </c>
      <c r="S195" s="116" t="s">
        <v>95</v>
      </c>
      <c r="T195" s="2"/>
    </row>
    <row r="196" spans="1:20" ht="15.6" x14ac:dyDescent="0.3">
      <c r="A196" s="112"/>
      <c r="B196" s="113" t="s">
        <v>183</v>
      </c>
      <c r="C196" s="113"/>
      <c r="D196" s="113"/>
      <c r="E196" s="113"/>
      <c r="F196" s="113"/>
      <c r="G196" s="113"/>
      <c r="H196" s="113"/>
      <c r="I196" s="113"/>
      <c r="J196" s="113"/>
      <c r="K196" s="113"/>
      <c r="L196" s="113"/>
      <c r="M196" s="113"/>
      <c r="N196" s="113"/>
      <c r="O196" s="113"/>
      <c r="P196" s="113"/>
      <c r="Q196" s="113"/>
      <c r="R196" s="242">
        <f>(R101+R103+R104+R105+R106+R107+R108)/-(R109)</f>
        <v>28.607843137254903</v>
      </c>
      <c r="S196" s="116" t="s">
        <v>95</v>
      </c>
      <c r="T196" s="2"/>
    </row>
    <row r="197" spans="1:20" ht="15.6" x14ac:dyDescent="0.3">
      <c r="A197" s="112"/>
      <c r="B197" s="113" t="s">
        <v>184</v>
      </c>
      <c r="C197" s="113"/>
      <c r="D197" s="113"/>
      <c r="E197" s="113"/>
      <c r="F197" s="113"/>
      <c r="G197" s="113"/>
      <c r="H197" s="113"/>
      <c r="I197" s="113"/>
      <c r="J197" s="113"/>
      <c r="K197" s="113"/>
      <c r="L197" s="113"/>
      <c r="M197" s="113"/>
      <c r="N197" s="113"/>
      <c r="O197" s="113"/>
      <c r="P197" s="113"/>
      <c r="Q197" s="113"/>
      <c r="R197" s="241">
        <v>28.61</v>
      </c>
      <c r="S197" s="116" t="s">
        <v>95</v>
      </c>
      <c r="T197" s="2"/>
    </row>
    <row r="198" spans="1:20" ht="15.6" x14ac:dyDescent="0.3">
      <c r="A198" s="112"/>
      <c r="B198" s="113" t="s">
        <v>185</v>
      </c>
      <c r="C198" s="113"/>
      <c r="D198" s="113"/>
      <c r="E198" s="113"/>
      <c r="F198" s="113"/>
      <c r="G198" s="113"/>
      <c r="H198" s="113"/>
      <c r="I198" s="113"/>
      <c r="J198" s="113"/>
      <c r="K198" s="113"/>
      <c r="L198" s="113"/>
      <c r="M198" s="113"/>
      <c r="N198" s="113"/>
      <c r="O198" s="113"/>
      <c r="P198" s="113"/>
      <c r="Q198" s="113"/>
      <c r="R198" s="242">
        <f>(R101+R103+R104+R105+R106+R107+R108+R109)/-(R110)</f>
        <v>23.864406779661017</v>
      </c>
      <c r="S198" s="116" t="s">
        <v>95</v>
      </c>
      <c r="T198" s="2"/>
    </row>
    <row r="199" spans="1:20" ht="15.6" x14ac:dyDescent="0.3">
      <c r="A199" s="112"/>
      <c r="B199" s="113" t="s">
        <v>186</v>
      </c>
      <c r="C199" s="113"/>
      <c r="D199" s="113"/>
      <c r="E199" s="113"/>
      <c r="F199" s="113"/>
      <c r="G199" s="113"/>
      <c r="H199" s="113"/>
      <c r="I199" s="113"/>
      <c r="J199" s="113"/>
      <c r="K199" s="113"/>
      <c r="L199" s="113"/>
      <c r="M199" s="113"/>
      <c r="N199" s="113"/>
      <c r="O199" s="113"/>
      <c r="P199" s="113"/>
      <c r="Q199" s="113"/>
      <c r="R199" s="241">
        <v>23.86</v>
      </c>
      <c r="S199" s="116" t="s">
        <v>95</v>
      </c>
      <c r="T199" s="2"/>
    </row>
    <row r="200" spans="1:20" ht="15.6" x14ac:dyDescent="0.3">
      <c r="A200" s="112"/>
      <c r="B200" s="113" t="s">
        <v>257</v>
      </c>
      <c r="C200" s="113"/>
      <c r="D200" s="113"/>
      <c r="E200" s="113"/>
      <c r="F200" s="113"/>
      <c r="G200" s="113"/>
      <c r="H200" s="113"/>
      <c r="I200" s="113"/>
      <c r="J200" s="113"/>
      <c r="K200" s="113"/>
      <c r="L200" s="113"/>
      <c r="M200" s="113"/>
      <c r="N200" s="113"/>
      <c r="O200" s="113"/>
      <c r="P200" s="113"/>
      <c r="Q200" s="113"/>
      <c r="R200" s="242">
        <f>(R101+R103+R104+R105+R106+R107+R108+R109+R110+R111+R112+R113+R114+R115)/-(R116)</f>
        <v>30.88372093023256</v>
      </c>
      <c r="S200" s="116" t="s">
        <v>95</v>
      </c>
      <c r="T200" s="2"/>
    </row>
    <row r="201" spans="1:20" ht="15.6" x14ac:dyDescent="0.3">
      <c r="A201" s="112"/>
      <c r="B201" s="113" t="s">
        <v>258</v>
      </c>
      <c r="C201" s="113"/>
      <c r="D201" s="113"/>
      <c r="E201" s="113"/>
      <c r="F201" s="113"/>
      <c r="G201" s="113"/>
      <c r="H201" s="113"/>
      <c r="I201" s="113"/>
      <c r="J201" s="113"/>
      <c r="K201" s="113"/>
      <c r="L201" s="113"/>
      <c r="M201" s="113"/>
      <c r="N201" s="113"/>
      <c r="O201" s="113"/>
      <c r="P201" s="113"/>
      <c r="Q201" s="113"/>
      <c r="R201" s="241">
        <v>30.88</v>
      </c>
      <c r="S201" s="116" t="s">
        <v>95</v>
      </c>
      <c r="T201" s="2"/>
    </row>
    <row r="202" spans="1:20" ht="15.6" x14ac:dyDescent="0.3">
      <c r="A202" s="112"/>
      <c r="B202" s="113"/>
      <c r="C202" s="113"/>
      <c r="D202" s="113"/>
      <c r="E202" s="113"/>
      <c r="F202" s="113"/>
      <c r="G202" s="113"/>
      <c r="H202" s="113"/>
      <c r="I202" s="113"/>
      <c r="J202" s="113"/>
      <c r="K202" s="113"/>
      <c r="L202" s="113"/>
      <c r="M202" s="113"/>
      <c r="N202" s="113"/>
      <c r="O202" s="113"/>
      <c r="P202" s="113"/>
      <c r="Q202" s="113"/>
      <c r="R202" s="113"/>
      <c r="S202" s="116"/>
      <c r="T202" s="2"/>
    </row>
    <row r="203" spans="1:20" ht="15.6" x14ac:dyDescent="0.3">
      <c r="A203" s="12"/>
      <c r="B203" s="163"/>
      <c r="C203" s="163"/>
      <c r="D203" s="163"/>
      <c r="E203" s="163"/>
      <c r="F203" s="163"/>
      <c r="G203" s="163"/>
      <c r="H203" s="163"/>
      <c r="I203" s="163"/>
      <c r="J203" s="163"/>
      <c r="K203" s="163"/>
      <c r="L203" s="163"/>
      <c r="M203" s="163"/>
      <c r="N203" s="163"/>
      <c r="O203" s="163"/>
      <c r="P203" s="163"/>
      <c r="Q203" s="163"/>
      <c r="R203" s="163"/>
      <c r="S203" s="218"/>
      <c r="T203" s="2"/>
    </row>
    <row r="204" spans="1:20" ht="15.6" x14ac:dyDescent="0.3">
      <c r="A204" s="12"/>
      <c r="B204" s="84"/>
      <c r="C204" s="84"/>
      <c r="D204" s="84"/>
      <c r="E204" s="84"/>
      <c r="F204" s="84"/>
      <c r="G204" s="84"/>
      <c r="H204" s="84"/>
      <c r="I204" s="84"/>
      <c r="J204" s="84"/>
      <c r="K204" s="84"/>
      <c r="L204" s="84"/>
      <c r="M204" s="84"/>
      <c r="N204" s="84"/>
      <c r="O204" s="84"/>
      <c r="P204" s="84"/>
      <c r="Q204" s="84"/>
      <c r="R204" s="84"/>
      <c r="S204" s="218"/>
      <c r="T204" s="2"/>
    </row>
    <row r="205" spans="1:20" ht="18" thickBot="1" x14ac:dyDescent="0.35">
      <c r="A205" s="28"/>
      <c r="B205" s="97" t="str">
        <f>B133</f>
        <v>PM22 INVESTOR REPORT QUARTER ENDING MAY 2015</v>
      </c>
      <c r="C205" s="98"/>
      <c r="D205" s="98"/>
      <c r="E205" s="98"/>
      <c r="F205" s="98"/>
      <c r="G205" s="98"/>
      <c r="H205" s="98"/>
      <c r="I205" s="98"/>
      <c r="J205" s="98"/>
      <c r="K205" s="98"/>
      <c r="L205" s="98"/>
      <c r="M205" s="98"/>
      <c r="N205" s="98"/>
      <c r="O205" s="98"/>
      <c r="P205" s="98"/>
      <c r="Q205" s="98"/>
      <c r="R205" s="98"/>
      <c r="S205" s="99"/>
      <c r="T205" s="2"/>
    </row>
    <row r="206" spans="1:20" ht="15.6" x14ac:dyDescent="0.3">
      <c r="A206" s="65"/>
      <c r="B206" s="66" t="s">
        <v>55</v>
      </c>
      <c r="C206" s="69"/>
      <c r="D206" s="70"/>
      <c r="E206" s="70"/>
      <c r="F206" s="70"/>
      <c r="G206" s="70"/>
      <c r="H206" s="70"/>
      <c r="I206" s="70"/>
      <c r="J206" s="70"/>
      <c r="K206" s="70"/>
      <c r="L206" s="70"/>
      <c r="M206" s="70"/>
      <c r="N206" s="70"/>
      <c r="O206" s="70"/>
      <c r="P206" s="70">
        <v>42153</v>
      </c>
      <c r="Q206" s="67"/>
      <c r="R206" s="67"/>
      <c r="S206" s="223"/>
      <c r="T206" s="2"/>
    </row>
    <row r="207" spans="1:20" ht="15.6" x14ac:dyDescent="0.3">
      <c r="A207" s="48"/>
      <c r="B207" s="49"/>
      <c r="C207" s="50"/>
      <c r="D207" s="51"/>
      <c r="E207" s="51"/>
      <c r="F207" s="51"/>
      <c r="G207" s="51"/>
      <c r="H207" s="51"/>
      <c r="I207" s="51"/>
      <c r="J207" s="51"/>
      <c r="K207" s="51"/>
      <c r="L207" s="51"/>
      <c r="M207" s="51"/>
      <c r="N207" s="51"/>
      <c r="O207" s="51"/>
      <c r="P207" s="51"/>
      <c r="Q207" s="14"/>
      <c r="R207" s="14"/>
      <c r="S207" s="217"/>
      <c r="T207" s="2"/>
    </row>
    <row r="208" spans="1:20" ht="15.6" x14ac:dyDescent="0.3">
      <c r="A208" s="166"/>
      <c r="B208" s="113" t="s">
        <v>56</v>
      </c>
      <c r="C208" s="167"/>
      <c r="D208" s="148"/>
      <c r="E208" s="148"/>
      <c r="F208" s="148"/>
      <c r="G208" s="148"/>
      <c r="H208" s="148"/>
      <c r="I208" s="148"/>
      <c r="J208" s="148"/>
      <c r="K208" s="148"/>
      <c r="L208" s="148"/>
      <c r="M208" s="148"/>
      <c r="N208" s="148"/>
      <c r="O208" s="148"/>
      <c r="P208" s="142">
        <v>4.079E-2</v>
      </c>
      <c r="Q208" s="113"/>
      <c r="R208" s="113"/>
      <c r="S208" s="116"/>
      <c r="T208" s="2"/>
    </row>
    <row r="209" spans="1:20" ht="15.6" x14ac:dyDescent="0.3">
      <c r="A209" s="166"/>
      <c r="B209" s="113" t="s">
        <v>158</v>
      </c>
      <c r="C209" s="167"/>
      <c r="D209" s="148"/>
      <c r="E209" s="148"/>
      <c r="F209" s="148"/>
      <c r="G209" s="148"/>
      <c r="H209" s="148"/>
      <c r="I209" s="148"/>
      <c r="J209" s="148"/>
      <c r="K209" s="148"/>
      <c r="L209" s="148"/>
      <c r="M209" s="148"/>
      <c r="N209" s="148"/>
      <c r="O209" s="148"/>
      <c r="P209" s="142">
        <f>+R40</f>
        <v>1.5340718167454973E-2</v>
      </c>
      <c r="Q209" s="113"/>
      <c r="R209" s="113"/>
      <c r="S209" s="116"/>
      <c r="T209" s="2"/>
    </row>
    <row r="210" spans="1:20" ht="15.6" x14ac:dyDescent="0.3">
      <c r="A210" s="166"/>
      <c r="B210" s="113" t="s">
        <v>57</v>
      </c>
      <c r="C210" s="167"/>
      <c r="D210" s="148"/>
      <c r="E210" s="148"/>
      <c r="F210" s="148"/>
      <c r="G210" s="148"/>
      <c r="H210" s="148"/>
      <c r="I210" s="148"/>
      <c r="J210" s="148"/>
      <c r="K210" s="148"/>
      <c r="L210" s="148"/>
      <c r="M210" s="148"/>
      <c r="N210" s="148"/>
      <c r="O210" s="148"/>
      <c r="P210" s="210">
        <f>P208-P209</f>
        <v>2.5449281832545027E-2</v>
      </c>
      <c r="Q210" s="113"/>
      <c r="R210" s="113"/>
      <c r="S210" s="116"/>
      <c r="T210" s="2"/>
    </row>
    <row r="211" spans="1:20" ht="15.6" x14ac:dyDescent="0.3">
      <c r="A211" s="166"/>
      <c r="B211" s="113" t="s">
        <v>161</v>
      </c>
      <c r="C211" s="167"/>
      <c r="D211" s="148"/>
      <c r="E211" s="148"/>
      <c r="F211" s="148"/>
      <c r="G211" s="148"/>
      <c r="H211" s="148"/>
      <c r="I211" s="148"/>
      <c r="J211" s="148"/>
      <c r="K211" s="148"/>
      <c r="L211" s="148"/>
      <c r="M211" s="148"/>
      <c r="N211" s="148"/>
      <c r="O211" s="148"/>
      <c r="P211" s="210">
        <v>4.5546299999999998E-2</v>
      </c>
      <c r="Q211" s="113"/>
      <c r="R211" s="113"/>
      <c r="S211" s="116"/>
      <c r="T211" s="2"/>
    </row>
    <row r="212" spans="1:20" ht="15.6" x14ac:dyDescent="0.3">
      <c r="A212" s="166"/>
      <c r="B212" s="113" t="s">
        <v>58</v>
      </c>
      <c r="C212" s="167"/>
      <c r="D212" s="148"/>
      <c r="E212" s="148"/>
      <c r="F212" s="148"/>
      <c r="G212" s="148"/>
      <c r="H212" s="148"/>
      <c r="I212" s="148"/>
      <c r="J212" s="148"/>
      <c r="K212" s="148"/>
      <c r="L212" s="148"/>
      <c r="M212" s="148"/>
      <c r="N212" s="148"/>
      <c r="O212" s="148"/>
      <c r="P212" s="208">
        <v>4.0439999999999997E-2</v>
      </c>
      <c r="Q212" s="113"/>
      <c r="R212" s="113"/>
      <c r="S212" s="116"/>
      <c r="T212" s="2"/>
    </row>
    <row r="213" spans="1:20" ht="15.6" x14ac:dyDescent="0.3">
      <c r="A213" s="166"/>
      <c r="B213" s="113" t="s">
        <v>159</v>
      </c>
      <c r="C213" s="167"/>
      <c r="D213" s="148"/>
      <c r="E213" s="148"/>
      <c r="F213" s="148"/>
      <c r="G213" s="148"/>
      <c r="H213" s="148"/>
      <c r="I213" s="148"/>
      <c r="J213" s="148"/>
      <c r="K213" s="148"/>
      <c r="L213" s="148"/>
      <c r="M213" s="148"/>
      <c r="N213" s="148"/>
      <c r="O213" s="148"/>
      <c r="P213" s="142">
        <f>R40</f>
        <v>1.5340718167454973E-2</v>
      </c>
      <c r="Q213" s="113"/>
      <c r="R213" s="113"/>
      <c r="S213" s="116"/>
      <c r="T213" s="2"/>
    </row>
    <row r="214" spans="1:20" ht="15.6" x14ac:dyDescent="0.3">
      <c r="A214" s="166"/>
      <c r="B214" s="113" t="s">
        <v>59</v>
      </c>
      <c r="C214" s="167"/>
      <c r="D214" s="148"/>
      <c r="E214" s="148"/>
      <c r="F214" s="148"/>
      <c r="G214" s="148"/>
      <c r="H214" s="148"/>
      <c r="I214" s="148"/>
      <c r="J214" s="148"/>
      <c r="K214" s="148"/>
      <c r="L214" s="148"/>
      <c r="M214" s="148"/>
      <c r="N214" s="148"/>
      <c r="O214" s="148"/>
      <c r="P214" s="142">
        <f>P212-P213</f>
        <v>2.5099281832545024E-2</v>
      </c>
      <c r="Q214" s="113"/>
      <c r="R214" s="113"/>
      <c r="S214" s="116"/>
      <c r="T214" s="2"/>
    </row>
    <row r="215" spans="1:20" ht="15.6" x14ac:dyDescent="0.3">
      <c r="A215" s="166"/>
      <c r="B215" s="113" t="s">
        <v>139</v>
      </c>
      <c r="C215" s="167"/>
      <c r="D215" s="148"/>
      <c r="E215" s="148"/>
      <c r="F215" s="148"/>
      <c r="G215" s="148"/>
      <c r="H215" s="148"/>
      <c r="I215" s="148"/>
      <c r="J215" s="148"/>
      <c r="K215" s="148"/>
      <c r="L215" s="148"/>
      <c r="M215" s="148"/>
      <c r="N215" s="148"/>
      <c r="O215" s="148"/>
      <c r="P215" s="142">
        <f>(+R101+R103)/H80</f>
        <v>8.8697339079827613E-3</v>
      </c>
      <c r="Q215" s="113"/>
      <c r="R215" s="113"/>
      <c r="S215" s="116"/>
      <c r="T215" s="2"/>
    </row>
    <row r="216" spans="1:20" ht="15.6" x14ac:dyDescent="0.3">
      <c r="A216" s="166"/>
      <c r="B216" s="113" t="s">
        <v>132</v>
      </c>
      <c r="C216" s="167"/>
      <c r="D216" s="148"/>
      <c r="E216" s="148"/>
      <c r="F216" s="148"/>
      <c r="G216" s="148"/>
      <c r="H216" s="148"/>
      <c r="I216" s="148"/>
      <c r="J216" s="148"/>
      <c r="K216" s="148"/>
      <c r="L216" s="148"/>
      <c r="M216" s="148"/>
      <c r="N216" s="148"/>
      <c r="O216" s="148"/>
      <c r="P216" s="168">
        <v>52124</v>
      </c>
      <c r="Q216" s="113"/>
      <c r="R216" s="113"/>
      <c r="S216" s="116"/>
      <c r="T216" s="2"/>
    </row>
    <row r="217" spans="1:20" ht="15.6" x14ac:dyDescent="0.3">
      <c r="A217" s="166"/>
      <c r="B217" s="113" t="s">
        <v>187</v>
      </c>
      <c r="C217" s="167"/>
      <c r="D217" s="148"/>
      <c r="E217" s="148"/>
      <c r="F217" s="148"/>
      <c r="G217" s="148"/>
      <c r="H217" s="148"/>
      <c r="I217" s="148"/>
      <c r="J217" s="148"/>
      <c r="K217" s="148"/>
      <c r="L217" s="148"/>
      <c r="M217" s="148"/>
      <c r="N217" s="148"/>
      <c r="O217" s="148"/>
      <c r="P217" s="168">
        <v>15599</v>
      </c>
      <c r="Q217" s="113"/>
      <c r="R217" s="113"/>
      <c r="S217" s="116"/>
      <c r="T217" s="2"/>
    </row>
    <row r="218" spans="1:20" ht="15.6" x14ac:dyDescent="0.3">
      <c r="A218" s="166"/>
      <c r="B218" s="113" t="s">
        <v>188</v>
      </c>
      <c r="C218" s="167"/>
      <c r="D218" s="148"/>
      <c r="E218" s="148"/>
      <c r="F218" s="148"/>
      <c r="G218" s="148"/>
      <c r="H218" s="148"/>
      <c r="I218" s="148"/>
      <c r="J218" s="148"/>
      <c r="K218" s="148"/>
      <c r="L218" s="148"/>
      <c r="M218" s="148"/>
      <c r="N218" s="148"/>
      <c r="O218" s="148"/>
      <c r="P218" s="168">
        <v>15599</v>
      </c>
      <c r="Q218" s="113"/>
      <c r="R218" s="113"/>
      <c r="S218" s="116"/>
      <c r="T218" s="2"/>
    </row>
    <row r="219" spans="1:20" ht="15.6" x14ac:dyDescent="0.3">
      <c r="A219" s="166"/>
      <c r="B219" s="113" t="s">
        <v>259</v>
      </c>
      <c r="C219" s="167"/>
      <c r="D219" s="148"/>
      <c r="E219" s="148"/>
      <c r="F219" s="148"/>
      <c r="G219" s="148"/>
      <c r="H219" s="148"/>
      <c r="I219" s="148"/>
      <c r="J219" s="148"/>
      <c r="K219" s="148"/>
      <c r="L219" s="148"/>
      <c r="M219" s="148"/>
      <c r="N219" s="148"/>
      <c r="O219" s="148"/>
      <c r="P219" s="168">
        <v>15599</v>
      </c>
      <c r="Q219" s="113"/>
      <c r="R219" s="113"/>
      <c r="S219" s="116"/>
      <c r="T219" s="2"/>
    </row>
    <row r="220" spans="1:20" ht="15.6" x14ac:dyDescent="0.3">
      <c r="A220" s="166"/>
      <c r="B220" s="113" t="s">
        <v>60</v>
      </c>
      <c r="C220" s="167"/>
      <c r="D220" s="148"/>
      <c r="E220" s="148"/>
      <c r="F220" s="148"/>
      <c r="G220" s="148"/>
      <c r="H220" s="148"/>
      <c r="I220" s="148"/>
      <c r="J220" s="148"/>
      <c r="K220" s="148"/>
      <c r="L220" s="148"/>
      <c r="M220" s="148"/>
      <c r="N220" s="148"/>
      <c r="O220" s="148"/>
      <c r="P220" s="146">
        <v>20.55</v>
      </c>
      <c r="Q220" s="113" t="s">
        <v>90</v>
      </c>
      <c r="R220" s="113"/>
      <c r="S220" s="116"/>
      <c r="T220" s="2"/>
    </row>
    <row r="221" spans="1:20" ht="15.6" x14ac:dyDescent="0.3">
      <c r="A221" s="166"/>
      <c r="B221" s="113" t="s">
        <v>61</v>
      </c>
      <c r="C221" s="167"/>
      <c r="D221" s="148"/>
      <c r="E221" s="148"/>
      <c r="F221" s="148"/>
      <c r="G221" s="148"/>
      <c r="H221" s="148"/>
      <c r="I221" s="148"/>
      <c r="J221" s="148"/>
      <c r="K221" s="148"/>
      <c r="L221" s="148"/>
      <c r="M221" s="148"/>
      <c r="N221" s="148"/>
      <c r="O221" s="148"/>
      <c r="P221" s="209">
        <v>20.45</v>
      </c>
      <c r="Q221" s="113" t="s">
        <v>90</v>
      </c>
      <c r="R221" s="113"/>
      <c r="S221" s="116"/>
      <c r="T221" s="2"/>
    </row>
    <row r="222" spans="1:20" ht="15.6" x14ac:dyDescent="0.3">
      <c r="A222" s="166"/>
      <c r="B222" s="113" t="s">
        <v>62</v>
      </c>
      <c r="C222" s="167"/>
      <c r="D222" s="148"/>
      <c r="E222" s="148"/>
      <c r="F222" s="148"/>
      <c r="G222" s="148"/>
      <c r="H222" s="148"/>
      <c r="I222" s="148"/>
      <c r="J222" s="148"/>
      <c r="K222" s="148"/>
      <c r="L222" s="148"/>
      <c r="M222" s="148"/>
      <c r="N222" s="148"/>
      <c r="O222" s="148"/>
      <c r="P222" s="142">
        <f>(+J64+L64)/(H64+H77)</f>
        <v>2.7807759945393225E-3</v>
      </c>
      <c r="Q222" s="113"/>
      <c r="R222" s="113"/>
      <c r="S222" s="116"/>
      <c r="T222" s="2"/>
    </row>
    <row r="223" spans="1:20" ht="15.6" x14ac:dyDescent="0.3">
      <c r="A223" s="166"/>
      <c r="B223" s="113" t="s">
        <v>63</v>
      </c>
      <c r="C223" s="167"/>
      <c r="D223" s="148"/>
      <c r="E223" s="148"/>
      <c r="F223" s="148"/>
      <c r="G223" s="148"/>
      <c r="H223" s="148"/>
      <c r="I223" s="148"/>
      <c r="J223" s="148"/>
      <c r="K223" s="148"/>
      <c r="L223" s="148"/>
      <c r="M223" s="148"/>
      <c r="N223" s="148"/>
      <c r="O223" s="148"/>
      <c r="P223" s="210">
        <v>1.24E-2</v>
      </c>
      <c r="Q223" s="113"/>
      <c r="R223" s="113"/>
      <c r="S223" s="116"/>
      <c r="T223" s="2"/>
    </row>
    <row r="224" spans="1:20" ht="15.6" x14ac:dyDescent="0.3">
      <c r="A224" s="48"/>
      <c r="B224" s="164"/>
      <c r="C224" s="164"/>
      <c r="D224" s="43"/>
      <c r="E224" s="43"/>
      <c r="F224" s="43"/>
      <c r="G224" s="43"/>
      <c r="H224" s="43"/>
      <c r="I224" s="43"/>
      <c r="J224" s="43"/>
      <c r="K224" s="43"/>
      <c r="L224" s="43"/>
      <c r="M224" s="43"/>
      <c r="N224" s="43"/>
      <c r="O224" s="43"/>
      <c r="P224" s="162"/>
      <c r="Q224" s="43"/>
      <c r="R224" s="165"/>
      <c r="S224" s="217"/>
      <c r="T224" s="2"/>
    </row>
    <row r="225" spans="1:20" ht="15.6" x14ac:dyDescent="0.3">
      <c r="A225" s="71"/>
      <c r="B225" s="61" t="s">
        <v>64</v>
      </c>
      <c r="C225" s="62"/>
      <c r="D225" s="62"/>
      <c r="E225" s="62"/>
      <c r="F225" s="62"/>
      <c r="G225" s="62"/>
      <c r="H225" s="62"/>
      <c r="I225" s="62"/>
      <c r="J225" s="62"/>
      <c r="K225" s="62"/>
      <c r="L225" s="62"/>
      <c r="M225" s="62"/>
      <c r="N225" s="62"/>
      <c r="O225" s="62" t="s">
        <v>83</v>
      </c>
      <c r="P225" s="72" t="s">
        <v>88</v>
      </c>
      <c r="Q225" s="54"/>
      <c r="R225" s="54"/>
      <c r="S225" s="219"/>
      <c r="T225" s="2"/>
    </row>
    <row r="226" spans="1:20" ht="15.6" x14ac:dyDescent="0.3">
      <c r="A226" s="52"/>
      <c r="B226" s="79" t="s">
        <v>65</v>
      </c>
      <c r="C226" s="78"/>
      <c r="D226" s="95"/>
      <c r="E226" s="95"/>
      <c r="F226" s="95"/>
      <c r="G226" s="95"/>
      <c r="H226" s="95"/>
      <c r="I226" s="95"/>
      <c r="J226" s="95"/>
      <c r="K226" s="95"/>
      <c r="L226" s="95"/>
      <c r="M226" s="95"/>
      <c r="N226" s="95"/>
      <c r="O226" s="95">
        <v>0</v>
      </c>
      <c r="P226" s="96">
        <v>0</v>
      </c>
      <c r="Q226" s="79"/>
      <c r="R226" s="94"/>
      <c r="S226" s="225"/>
      <c r="T226" s="2"/>
    </row>
    <row r="227" spans="1:20" ht="15.6" x14ac:dyDescent="0.3">
      <c r="A227" s="172"/>
      <c r="B227" s="113" t="s">
        <v>113</v>
      </c>
      <c r="C227" s="155"/>
      <c r="D227" s="123"/>
      <c r="E227" s="123"/>
      <c r="F227" s="123"/>
      <c r="G227" s="123"/>
      <c r="H227" s="123"/>
      <c r="I227" s="123"/>
      <c r="J227" s="123"/>
      <c r="K227" s="123"/>
      <c r="L227" s="123"/>
      <c r="M227" s="123"/>
      <c r="N227" s="123"/>
      <c r="O227" s="173">
        <f>+N279</f>
        <v>0</v>
      </c>
      <c r="P227" s="174">
        <f>+P279</f>
        <v>0</v>
      </c>
      <c r="Q227" s="113"/>
      <c r="R227" s="175"/>
      <c r="S227" s="176"/>
      <c r="T227" s="2"/>
    </row>
    <row r="228" spans="1:20" ht="15.6" x14ac:dyDescent="0.3">
      <c r="A228" s="172"/>
      <c r="B228" s="113" t="s">
        <v>66</v>
      </c>
      <c r="C228" s="155"/>
      <c r="D228" s="123"/>
      <c r="E228" s="123"/>
      <c r="F228" s="123"/>
      <c r="G228" s="123"/>
      <c r="H228" s="123"/>
      <c r="I228" s="123"/>
      <c r="J228" s="123"/>
      <c r="K228" s="123"/>
      <c r="L228" s="123"/>
      <c r="M228" s="123"/>
      <c r="N228" s="123"/>
      <c r="O228" s="173">
        <f>+N291</f>
        <v>0</v>
      </c>
      <c r="P228" s="174">
        <f>+P291</f>
        <v>0</v>
      </c>
      <c r="Q228" s="113"/>
      <c r="R228" s="175"/>
      <c r="S228" s="176"/>
      <c r="T228" s="2"/>
    </row>
    <row r="229" spans="1:20" ht="15.6" x14ac:dyDescent="0.3">
      <c r="A229" s="172"/>
      <c r="B229" s="134" t="s">
        <v>284</v>
      </c>
      <c r="C229" s="177"/>
      <c r="D229" s="135"/>
      <c r="E229" s="135"/>
      <c r="F229" s="135"/>
      <c r="G229" s="135"/>
      <c r="H229" s="135"/>
      <c r="I229" s="135"/>
      <c r="J229" s="135"/>
      <c r="K229" s="135"/>
      <c r="L229" s="135"/>
      <c r="M229" s="135"/>
      <c r="N229" s="135"/>
      <c r="O229" s="113"/>
      <c r="P229" s="174">
        <v>0</v>
      </c>
      <c r="Q229" s="135"/>
      <c r="R229" s="178"/>
      <c r="S229" s="176"/>
      <c r="T229" s="2"/>
    </row>
    <row r="230" spans="1:20" ht="15.6" x14ac:dyDescent="0.3">
      <c r="A230" s="172"/>
      <c r="B230" s="134" t="s">
        <v>140</v>
      </c>
      <c r="C230" s="177"/>
      <c r="D230" s="135"/>
      <c r="E230" s="135"/>
      <c r="F230" s="135"/>
      <c r="G230" s="135"/>
      <c r="H230" s="135"/>
      <c r="I230" s="135"/>
      <c r="J230" s="135"/>
      <c r="K230" s="135"/>
      <c r="L230" s="135"/>
      <c r="M230" s="135"/>
      <c r="N230" s="135"/>
      <c r="O230" s="113"/>
      <c r="P230" s="174">
        <f>-J77</f>
        <v>53101</v>
      </c>
      <c r="Q230" s="135"/>
      <c r="R230" s="178"/>
      <c r="S230" s="176"/>
      <c r="T230" s="2"/>
    </row>
    <row r="231" spans="1:20" ht="15.6" x14ac:dyDescent="0.3">
      <c r="A231" s="179"/>
      <c r="B231" s="134" t="s">
        <v>67</v>
      </c>
      <c r="C231" s="180"/>
      <c r="D231" s="135"/>
      <c r="E231" s="135"/>
      <c r="F231" s="135"/>
      <c r="G231" s="135"/>
      <c r="H231" s="135"/>
      <c r="I231" s="135"/>
      <c r="J231" s="135"/>
      <c r="K231" s="135"/>
      <c r="L231" s="135"/>
      <c r="M231" s="135"/>
      <c r="N231" s="135"/>
      <c r="O231" s="113"/>
      <c r="P231" s="174"/>
      <c r="Q231" s="135"/>
      <c r="R231" s="178"/>
      <c r="S231" s="181"/>
      <c r="T231" s="2"/>
    </row>
    <row r="232" spans="1:20" ht="15.6" x14ac:dyDescent="0.3">
      <c r="A232" s="179"/>
      <c r="B232" s="118" t="s">
        <v>68</v>
      </c>
      <c r="C232" s="180"/>
      <c r="D232" s="135"/>
      <c r="E232" s="135"/>
      <c r="F232" s="135"/>
      <c r="G232" s="135"/>
      <c r="H232" s="135"/>
      <c r="I232" s="135"/>
      <c r="J232" s="135"/>
      <c r="K232" s="135"/>
      <c r="L232" s="135"/>
      <c r="M232" s="135"/>
      <c r="N232" s="135"/>
      <c r="O232" s="123"/>
      <c r="P232" s="174">
        <f>R163</f>
        <v>0</v>
      </c>
      <c r="Q232" s="135"/>
      <c r="R232" s="178"/>
      <c r="S232" s="181"/>
      <c r="T232" s="2"/>
    </row>
    <row r="233" spans="1:20" ht="15.6" x14ac:dyDescent="0.3">
      <c r="A233" s="172"/>
      <c r="B233" s="113" t="s">
        <v>69</v>
      </c>
      <c r="C233" s="177"/>
      <c r="D233" s="135"/>
      <c r="E233" s="135"/>
      <c r="F233" s="135"/>
      <c r="G233" s="135"/>
      <c r="H233" s="135"/>
      <c r="I233" s="135"/>
      <c r="J233" s="135"/>
      <c r="K233" s="135"/>
      <c r="L233" s="135"/>
      <c r="M233" s="135"/>
      <c r="N233" s="135"/>
      <c r="O233" s="123"/>
      <c r="P233" s="174">
        <f>+P232</f>
        <v>0</v>
      </c>
      <c r="Q233" s="135"/>
      <c r="R233" s="178"/>
      <c r="S233" s="181"/>
      <c r="T233" s="2"/>
    </row>
    <row r="234" spans="1:20" ht="15.6" x14ac:dyDescent="0.3">
      <c r="A234" s="179"/>
      <c r="B234" s="134" t="s">
        <v>151</v>
      </c>
      <c r="C234" s="180"/>
      <c r="D234" s="135"/>
      <c r="E234" s="135"/>
      <c r="F234" s="135"/>
      <c r="G234" s="135"/>
      <c r="H234" s="135"/>
      <c r="I234" s="135"/>
      <c r="J234" s="135"/>
      <c r="K234" s="135"/>
      <c r="L234" s="135"/>
      <c r="M234" s="135"/>
      <c r="N234" s="135"/>
      <c r="O234" s="123"/>
      <c r="P234" s="174"/>
      <c r="Q234" s="135"/>
      <c r="R234" s="178"/>
      <c r="S234" s="181"/>
      <c r="T234" s="2"/>
    </row>
    <row r="235" spans="1:20" ht="15.6" x14ac:dyDescent="0.3">
      <c r="A235" s="179"/>
      <c r="B235" s="113" t="s">
        <v>160</v>
      </c>
      <c r="C235" s="180"/>
      <c r="D235" s="135"/>
      <c r="E235" s="135"/>
      <c r="F235" s="135"/>
      <c r="G235" s="135"/>
      <c r="H235" s="135"/>
      <c r="I235" s="135"/>
      <c r="J235" s="135"/>
      <c r="K235" s="135"/>
      <c r="L235" s="135"/>
      <c r="M235" s="135"/>
      <c r="N235" s="135"/>
      <c r="O235" s="123">
        <v>0</v>
      </c>
      <c r="P235" s="174">
        <v>0</v>
      </c>
      <c r="Q235" s="135"/>
      <c r="R235" s="178"/>
      <c r="S235" s="181"/>
      <c r="T235" s="2"/>
    </row>
    <row r="236" spans="1:20" ht="15.6" x14ac:dyDescent="0.3">
      <c r="A236" s="172"/>
      <c r="B236" s="113" t="s">
        <v>70</v>
      </c>
      <c r="C236" s="182"/>
      <c r="D236" s="135"/>
      <c r="E236" s="135"/>
      <c r="F236" s="135"/>
      <c r="G236" s="135"/>
      <c r="H236" s="135"/>
      <c r="I236" s="135"/>
      <c r="J236" s="135"/>
      <c r="K236" s="135"/>
      <c r="L236" s="135"/>
      <c r="M236" s="135"/>
      <c r="N236" s="135"/>
      <c r="O236" s="113"/>
      <c r="P236" s="183">
        <v>0</v>
      </c>
      <c r="Q236" s="135"/>
      <c r="R236" s="178"/>
      <c r="S236" s="181"/>
      <c r="T236" s="2"/>
    </row>
    <row r="237" spans="1:20" ht="15.6" x14ac:dyDescent="0.3">
      <c r="A237" s="172"/>
      <c r="B237" s="113" t="s">
        <v>71</v>
      </c>
      <c r="C237" s="182"/>
      <c r="D237" s="135"/>
      <c r="E237" s="135"/>
      <c r="F237" s="135"/>
      <c r="G237" s="135"/>
      <c r="H237" s="135"/>
      <c r="I237" s="135"/>
      <c r="J237" s="135"/>
      <c r="K237" s="135"/>
      <c r="L237" s="135"/>
      <c r="M237" s="135"/>
      <c r="N237" s="135"/>
      <c r="O237" s="113"/>
      <c r="P237" s="183">
        <v>0</v>
      </c>
      <c r="Q237" s="135"/>
      <c r="R237" s="178"/>
      <c r="S237" s="181"/>
      <c r="T237" s="2"/>
    </row>
    <row r="238" spans="1:20" ht="15.6" x14ac:dyDescent="0.3">
      <c r="A238" s="172"/>
      <c r="B238" s="134" t="s">
        <v>136</v>
      </c>
      <c r="C238" s="182"/>
      <c r="D238" s="135"/>
      <c r="E238" s="135"/>
      <c r="F238" s="135"/>
      <c r="G238" s="135"/>
      <c r="H238" s="135"/>
      <c r="I238" s="135"/>
      <c r="J238" s="135"/>
      <c r="K238" s="135"/>
      <c r="L238" s="135"/>
      <c r="M238" s="135"/>
      <c r="N238" s="135"/>
      <c r="O238" s="113"/>
      <c r="P238" s="184"/>
      <c r="Q238" s="135"/>
      <c r="R238" s="178"/>
      <c r="S238" s="181"/>
      <c r="T238" s="2"/>
    </row>
    <row r="239" spans="1:20" ht="15.6" x14ac:dyDescent="0.3">
      <c r="A239" s="172"/>
      <c r="B239" s="113" t="s">
        <v>160</v>
      </c>
      <c r="C239" s="182"/>
      <c r="D239" s="135"/>
      <c r="E239" s="135"/>
      <c r="F239" s="135"/>
      <c r="G239" s="135"/>
      <c r="H239" s="135"/>
      <c r="I239" s="135"/>
      <c r="J239" s="135"/>
      <c r="K239" s="135"/>
      <c r="L239" s="135"/>
      <c r="M239" s="135"/>
      <c r="N239" s="135"/>
      <c r="O239" s="123">
        <v>0</v>
      </c>
      <c r="P239" s="174">
        <v>0</v>
      </c>
      <c r="Q239" s="135"/>
      <c r="R239" s="178"/>
      <c r="S239" s="181"/>
      <c r="T239" s="2"/>
    </row>
    <row r="240" spans="1:20" ht="15.6" x14ac:dyDescent="0.3">
      <c r="A240" s="172"/>
      <c r="B240" s="113" t="s">
        <v>137</v>
      </c>
      <c r="C240" s="182"/>
      <c r="D240" s="135"/>
      <c r="E240" s="135"/>
      <c r="F240" s="135"/>
      <c r="G240" s="135"/>
      <c r="H240" s="135"/>
      <c r="I240" s="135"/>
      <c r="J240" s="135"/>
      <c r="K240" s="135"/>
      <c r="L240" s="135"/>
      <c r="M240" s="135"/>
      <c r="N240" s="135"/>
      <c r="O240" s="113"/>
      <c r="P240" s="183">
        <v>0</v>
      </c>
      <c r="Q240" s="135"/>
      <c r="R240" s="178"/>
      <c r="S240" s="181"/>
      <c r="T240" s="2"/>
    </row>
    <row r="241" spans="1:20" ht="15.6" x14ac:dyDescent="0.3">
      <c r="A241" s="172"/>
      <c r="B241" s="180"/>
      <c r="C241" s="182"/>
      <c r="D241" s="135"/>
      <c r="E241" s="135"/>
      <c r="F241" s="135"/>
      <c r="G241" s="135"/>
      <c r="H241" s="135"/>
      <c r="I241" s="135"/>
      <c r="J241" s="135"/>
      <c r="K241" s="135"/>
      <c r="L241" s="135"/>
      <c r="M241" s="135"/>
      <c r="N241" s="135"/>
      <c r="O241" s="113"/>
      <c r="P241" s="184"/>
      <c r="Q241" s="135"/>
      <c r="R241" s="178"/>
      <c r="S241" s="181"/>
      <c r="T241" s="2"/>
    </row>
    <row r="242" spans="1:20" ht="15.6" x14ac:dyDescent="0.3">
      <c r="A242" s="172"/>
      <c r="B242" s="180"/>
      <c r="C242" s="182"/>
      <c r="D242" s="135"/>
      <c r="E242" s="135"/>
      <c r="F242" s="135"/>
      <c r="G242" s="135"/>
      <c r="H242" s="135"/>
      <c r="I242" s="135"/>
      <c r="J242" s="135"/>
      <c r="K242" s="135"/>
      <c r="L242" s="135"/>
      <c r="M242" s="135"/>
      <c r="N242" s="135"/>
      <c r="O242" s="135"/>
      <c r="P242" s="185"/>
      <c r="Q242" s="135"/>
      <c r="R242" s="178"/>
      <c r="S242" s="181"/>
      <c r="T242" s="2"/>
    </row>
    <row r="243" spans="1:20" ht="17.399999999999999" x14ac:dyDescent="0.3">
      <c r="A243" s="172"/>
      <c r="B243" s="186" t="s">
        <v>129</v>
      </c>
      <c r="C243" s="182"/>
      <c r="D243" s="135"/>
      <c r="E243" s="135"/>
      <c r="F243" s="135"/>
      <c r="G243" s="135"/>
      <c r="H243" s="135"/>
      <c r="I243" s="135"/>
      <c r="J243" s="135"/>
      <c r="K243" s="135"/>
      <c r="L243" s="187"/>
      <c r="M243" s="135"/>
      <c r="N243" s="187" t="s">
        <v>128</v>
      </c>
      <c r="O243" s="187"/>
      <c r="P243" s="185"/>
      <c r="Q243" s="135"/>
      <c r="R243" s="178"/>
      <c r="S243" s="181"/>
      <c r="T243" s="2"/>
    </row>
    <row r="244" spans="1:20" ht="17.399999999999999" x14ac:dyDescent="0.3">
      <c r="A244" s="169"/>
      <c r="B244" s="199"/>
      <c r="C244" s="170"/>
      <c r="D244" s="43"/>
      <c r="E244" s="43"/>
      <c r="F244" s="43"/>
      <c r="G244" s="43"/>
      <c r="H244" s="43"/>
      <c r="I244" s="43"/>
      <c r="J244" s="43"/>
      <c r="K244" s="43"/>
      <c r="L244" s="200"/>
      <c r="M244" s="43"/>
      <c r="N244" s="43"/>
      <c r="O244" s="43"/>
      <c r="P244" s="171"/>
      <c r="Q244" s="43"/>
      <c r="R244" s="165"/>
      <c r="S244" s="226"/>
      <c r="T244" s="2"/>
    </row>
    <row r="245" spans="1:20" ht="15.6" x14ac:dyDescent="0.3">
      <c r="A245" s="53"/>
      <c r="B245" s="61" t="s">
        <v>152</v>
      </c>
      <c r="C245" s="62"/>
      <c r="D245" s="62"/>
      <c r="E245" s="62"/>
      <c r="F245" s="62"/>
      <c r="G245" s="62"/>
      <c r="H245" s="62"/>
      <c r="I245" s="62"/>
      <c r="J245" s="62"/>
      <c r="K245" s="62"/>
      <c r="L245" s="62"/>
      <c r="M245" s="62"/>
      <c r="N245" s="72" t="s">
        <v>83</v>
      </c>
      <c r="O245" s="62" t="s">
        <v>84</v>
      </c>
      <c r="P245" s="72" t="s">
        <v>89</v>
      </c>
      <c r="Q245" s="62" t="s">
        <v>84</v>
      </c>
      <c r="R245" s="54"/>
      <c r="S245" s="227"/>
      <c r="T245" s="2"/>
    </row>
    <row r="246" spans="1:20" ht="15.6" x14ac:dyDescent="0.3">
      <c r="A246" s="24"/>
      <c r="B246" s="78" t="s">
        <v>72</v>
      </c>
      <c r="C246" s="93"/>
      <c r="D246" s="93"/>
      <c r="E246" s="93"/>
      <c r="F246" s="93"/>
      <c r="G246" s="93"/>
      <c r="H246" s="93"/>
      <c r="I246" s="93"/>
      <c r="J246" s="93"/>
      <c r="K246" s="93"/>
      <c r="L246" s="93"/>
      <c r="M246" s="93"/>
      <c r="N246" s="78">
        <f>+N258+N270+N282</f>
        <v>1854</v>
      </c>
      <c r="O246" s="81">
        <f>N246/$N$255</f>
        <v>1</v>
      </c>
      <c r="P246" s="82">
        <f t="shared" ref="P246:P253" si="5">+P258+P270+P282</f>
        <v>296725</v>
      </c>
      <c r="Q246" s="81">
        <f t="shared" ref="Q246:Q253" si="6">P246/$P$255</f>
        <v>1</v>
      </c>
      <c r="R246" s="94"/>
      <c r="S246" s="228"/>
      <c r="T246" s="2"/>
    </row>
    <row r="247" spans="1:20" ht="15.6" x14ac:dyDescent="0.3">
      <c r="A247" s="112"/>
      <c r="B247" s="155" t="s">
        <v>73</v>
      </c>
      <c r="C247" s="191"/>
      <c r="D247" s="191"/>
      <c r="E247" s="191"/>
      <c r="F247" s="191"/>
      <c r="G247" s="191"/>
      <c r="H247" s="191"/>
      <c r="I247" s="191"/>
      <c r="J247" s="191"/>
      <c r="K247" s="191"/>
      <c r="L247" s="191"/>
      <c r="M247" s="191"/>
      <c r="N247" s="155">
        <f t="shared" ref="N247:N253" si="7">+N259+N271+N283</f>
        <v>0</v>
      </c>
      <c r="O247" s="192">
        <f t="shared" ref="O247:O253" si="8">N247/$N$255</f>
        <v>0</v>
      </c>
      <c r="P247" s="156">
        <f t="shared" si="5"/>
        <v>0</v>
      </c>
      <c r="Q247" s="192">
        <f t="shared" si="6"/>
        <v>0</v>
      </c>
      <c r="R247" s="175"/>
      <c r="S247" s="193"/>
      <c r="T247" s="2"/>
    </row>
    <row r="248" spans="1:20" ht="15.6" x14ac:dyDescent="0.3">
      <c r="A248" s="112"/>
      <c r="B248" s="155" t="s">
        <v>74</v>
      </c>
      <c r="C248" s="191"/>
      <c r="D248" s="191"/>
      <c r="E248" s="191"/>
      <c r="F248" s="191"/>
      <c r="G248" s="191"/>
      <c r="H248" s="191"/>
      <c r="I248" s="191"/>
      <c r="J248" s="191"/>
      <c r="K248" s="191"/>
      <c r="L248" s="191"/>
      <c r="M248" s="191"/>
      <c r="N248" s="155">
        <f t="shared" si="7"/>
        <v>0</v>
      </c>
      <c r="O248" s="192">
        <f t="shared" si="8"/>
        <v>0</v>
      </c>
      <c r="P248" s="156">
        <f t="shared" si="5"/>
        <v>0</v>
      </c>
      <c r="Q248" s="192">
        <f t="shared" si="6"/>
        <v>0</v>
      </c>
      <c r="R248" s="175"/>
      <c r="S248" s="193"/>
      <c r="T248" s="2"/>
    </row>
    <row r="249" spans="1:20" ht="15.6" x14ac:dyDescent="0.3">
      <c r="A249" s="112"/>
      <c r="B249" s="155" t="s">
        <v>119</v>
      </c>
      <c r="C249" s="191"/>
      <c r="D249" s="191"/>
      <c r="E249" s="191"/>
      <c r="F249" s="191"/>
      <c r="G249" s="191"/>
      <c r="H249" s="191"/>
      <c r="I249" s="191"/>
      <c r="J249" s="191"/>
      <c r="K249" s="191"/>
      <c r="L249" s="191"/>
      <c r="M249" s="191"/>
      <c r="N249" s="155">
        <f t="shared" si="7"/>
        <v>0</v>
      </c>
      <c r="O249" s="192">
        <f t="shared" si="8"/>
        <v>0</v>
      </c>
      <c r="P249" s="156">
        <f t="shared" si="5"/>
        <v>0</v>
      </c>
      <c r="Q249" s="192">
        <f t="shared" si="6"/>
        <v>0</v>
      </c>
      <c r="R249" s="175"/>
      <c r="S249" s="193"/>
      <c r="T249" s="2"/>
    </row>
    <row r="250" spans="1:20" ht="15.6" x14ac:dyDescent="0.3">
      <c r="A250" s="112"/>
      <c r="B250" s="155" t="s">
        <v>120</v>
      </c>
      <c r="C250" s="191"/>
      <c r="D250" s="191"/>
      <c r="E250" s="191"/>
      <c r="F250" s="191"/>
      <c r="G250" s="191"/>
      <c r="H250" s="191"/>
      <c r="I250" s="191"/>
      <c r="J250" s="191"/>
      <c r="K250" s="191"/>
      <c r="L250" s="191"/>
      <c r="M250" s="191"/>
      <c r="N250" s="155">
        <f t="shared" si="7"/>
        <v>0</v>
      </c>
      <c r="O250" s="192">
        <f t="shared" si="8"/>
        <v>0</v>
      </c>
      <c r="P250" s="156">
        <f t="shared" si="5"/>
        <v>0</v>
      </c>
      <c r="Q250" s="192">
        <f t="shared" si="6"/>
        <v>0</v>
      </c>
      <c r="R250" s="175"/>
      <c r="S250" s="193"/>
      <c r="T250" s="2"/>
    </row>
    <row r="251" spans="1:20" ht="15.6" x14ac:dyDescent="0.3">
      <c r="A251" s="112"/>
      <c r="B251" s="155" t="s">
        <v>121</v>
      </c>
      <c r="C251" s="191"/>
      <c r="D251" s="191"/>
      <c r="E251" s="191"/>
      <c r="F251" s="191"/>
      <c r="G251" s="191"/>
      <c r="H251" s="191"/>
      <c r="I251" s="191"/>
      <c r="J251" s="191"/>
      <c r="K251" s="191"/>
      <c r="L251" s="191"/>
      <c r="M251" s="191"/>
      <c r="N251" s="155">
        <f t="shared" si="7"/>
        <v>0</v>
      </c>
      <c r="O251" s="192">
        <f t="shared" si="8"/>
        <v>0</v>
      </c>
      <c r="P251" s="156">
        <f t="shared" si="5"/>
        <v>0</v>
      </c>
      <c r="Q251" s="192">
        <f t="shared" si="6"/>
        <v>0</v>
      </c>
      <c r="R251" s="175"/>
      <c r="S251" s="193"/>
      <c r="T251" s="2"/>
    </row>
    <row r="252" spans="1:20" ht="15.6" x14ac:dyDescent="0.3">
      <c r="A252" s="112"/>
      <c r="B252" s="155" t="s">
        <v>122</v>
      </c>
      <c r="C252" s="191"/>
      <c r="D252" s="191"/>
      <c r="E252" s="191"/>
      <c r="F252" s="191"/>
      <c r="G252" s="191"/>
      <c r="H252" s="191"/>
      <c r="I252" s="191"/>
      <c r="J252" s="191"/>
      <c r="K252" s="191"/>
      <c r="L252" s="191"/>
      <c r="M252" s="191"/>
      <c r="N252" s="155">
        <f t="shared" si="7"/>
        <v>0</v>
      </c>
      <c r="O252" s="192">
        <f t="shared" si="8"/>
        <v>0</v>
      </c>
      <c r="P252" s="156">
        <f t="shared" si="5"/>
        <v>0</v>
      </c>
      <c r="Q252" s="192">
        <f t="shared" si="6"/>
        <v>0</v>
      </c>
      <c r="R252" s="175"/>
      <c r="S252" s="193"/>
      <c r="T252" s="2"/>
    </row>
    <row r="253" spans="1:20" ht="15.6" x14ac:dyDescent="0.3">
      <c r="A253" s="112"/>
      <c r="B253" s="155" t="s">
        <v>123</v>
      </c>
      <c r="C253" s="191"/>
      <c r="D253" s="191"/>
      <c r="E253" s="191"/>
      <c r="F253" s="191"/>
      <c r="G253" s="191"/>
      <c r="H253" s="191"/>
      <c r="I253" s="191"/>
      <c r="J253" s="191"/>
      <c r="K253" s="191"/>
      <c r="L253" s="191"/>
      <c r="M253" s="191"/>
      <c r="N253" s="155">
        <f t="shared" si="7"/>
        <v>0</v>
      </c>
      <c r="O253" s="192">
        <f t="shared" si="8"/>
        <v>0</v>
      </c>
      <c r="P253" s="156">
        <f t="shared" si="5"/>
        <v>0</v>
      </c>
      <c r="Q253" s="192">
        <f t="shared" si="6"/>
        <v>0</v>
      </c>
      <c r="R253" s="175"/>
      <c r="S253" s="193"/>
      <c r="T253" s="2"/>
    </row>
    <row r="254" spans="1:20" ht="15.6" x14ac:dyDescent="0.3">
      <c r="A254" s="112"/>
      <c r="B254" s="155"/>
      <c r="C254" s="191"/>
      <c r="D254" s="191"/>
      <c r="E254" s="191"/>
      <c r="F254" s="191"/>
      <c r="G254" s="191"/>
      <c r="H254" s="191"/>
      <c r="I254" s="191"/>
      <c r="J254" s="191"/>
      <c r="K254" s="191"/>
      <c r="L254" s="191"/>
      <c r="M254" s="191"/>
      <c r="N254" s="155"/>
      <c r="O254" s="192"/>
      <c r="P254" s="156"/>
      <c r="Q254" s="192"/>
      <c r="R254" s="175"/>
      <c r="S254" s="193"/>
      <c r="T254" s="2"/>
    </row>
    <row r="255" spans="1:20" ht="15.6" x14ac:dyDescent="0.3">
      <c r="A255" s="112"/>
      <c r="B255" s="113" t="s">
        <v>94</v>
      </c>
      <c r="C255" s="113"/>
      <c r="D255" s="194"/>
      <c r="E255" s="194"/>
      <c r="F255" s="194"/>
      <c r="G255" s="194"/>
      <c r="H255" s="194"/>
      <c r="I255" s="194"/>
      <c r="J255" s="194"/>
      <c r="K255" s="194"/>
      <c r="L255" s="194"/>
      <c r="M255" s="194"/>
      <c r="N255" s="155">
        <f>SUM(N246:N254)</f>
        <v>1854</v>
      </c>
      <c r="O255" s="192">
        <f>SUM(O246:O254)</f>
        <v>1</v>
      </c>
      <c r="P255" s="156">
        <f>SUM(P246:P254)</f>
        <v>296725</v>
      </c>
      <c r="Q255" s="192">
        <f>SUM(Q246:Q254)</f>
        <v>1</v>
      </c>
      <c r="R255" s="113"/>
      <c r="S255" s="116"/>
      <c r="T255" s="2"/>
    </row>
    <row r="256" spans="1:20" ht="15.6" x14ac:dyDescent="0.3">
      <c r="A256" s="12"/>
      <c r="B256" s="164"/>
      <c r="C256" s="170"/>
      <c r="D256" s="43"/>
      <c r="E256" s="43"/>
      <c r="F256" s="43"/>
      <c r="G256" s="43"/>
      <c r="H256" s="43"/>
      <c r="I256" s="43"/>
      <c r="J256" s="43"/>
      <c r="K256" s="43"/>
      <c r="L256" s="43"/>
      <c r="M256" s="43"/>
      <c r="N256" s="43"/>
      <c r="O256" s="43"/>
      <c r="P256" s="171"/>
      <c r="Q256" s="43"/>
      <c r="R256" s="43"/>
      <c r="S256" s="217"/>
      <c r="T256" s="2"/>
    </row>
    <row r="257" spans="1:21" ht="15.6" x14ac:dyDescent="0.3">
      <c r="A257" s="53"/>
      <c r="B257" s="61" t="s">
        <v>124</v>
      </c>
      <c r="C257" s="62"/>
      <c r="D257" s="62"/>
      <c r="E257" s="62"/>
      <c r="F257" s="62"/>
      <c r="G257" s="62"/>
      <c r="H257" s="62"/>
      <c r="I257" s="62"/>
      <c r="J257" s="62"/>
      <c r="K257" s="62"/>
      <c r="L257" s="62"/>
      <c r="M257" s="62"/>
      <c r="N257" s="72" t="s">
        <v>83</v>
      </c>
      <c r="O257" s="62" t="s">
        <v>84</v>
      </c>
      <c r="P257" s="72" t="s">
        <v>89</v>
      </c>
      <c r="Q257" s="62" t="s">
        <v>84</v>
      </c>
      <c r="R257" s="54"/>
      <c r="S257" s="227"/>
      <c r="T257" s="2"/>
    </row>
    <row r="258" spans="1:21" ht="15.6" x14ac:dyDescent="0.3">
      <c r="A258" s="24"/>
      <c r="B258" s="78" t="s">
        <v>72</v>
      </c>
      <c r="C258" s="93"/>
      <c r="D258" s="93"/>
      <c r="E258" s="93"/>
      <c r="F258" s="93"/>
      <c r="G258" s="93"/>
      <c r="H258" s="93"/>
      <c r="I258" s="93"/>
      <c r="J258" s="93"/>
      <c r="K258" s="93"/>
      <c r="L258" s="93"/>
      <c r="M258" s="93"/>
      <c r="N258" s="78">
        <v>1854</v>
      </c>
      <c r="O258" s="81">
        <f>N258/$N$267</f>
        <v>1</v>
      </c>
      <c r="P258" s="82">
        <v>296725</v>
      </c>
      <c r="Q258" s="81">
        <f>P258/$P$267</f>
        <v>1</v>
      </c>
      <c r="R258" s="94"/>
      <c r="S258" s="228"/>
      <c r="T258" s="2"/>
    </row>
    <row r="259" spans="1:21" ht="15.6" x14ac:dyDescent="0.3">
      <c r="A259" s="112"/>
      <c r="B259" s="155" t="s">
        <v>73</v>
      </c>
      <c r="C259" s="191"/>
      <c r="D259" s="191"/>
      <c r="E259" s="191"/>
      <c r="F259" s="191"/>
      <c r="G259" s="191"/>
      <c r="H259" s="191"/>
      <c r="I259" s="191"/>
      <c r="J259" s="191"/>
      <c r="K259" s="191"/>
      <c r="L259" s="191"/>
      <c r="M259" s="191"/>
      <c r="N259" s="155">
        <v>0</v>
      </c>
      <c r="O259" s="192">
        <f t="shared" ref="O259:O265" si="9">N259/$N$267</f>
        <v>0</v>
      </c>
      <c r="P259" s="156">
        <v>0</v>
      </c>
      <c r="Q259" s="192">
        <f t="shared" ref="Q259:Q265" si="10">P259/$P$267</f>
        <v>0</v>
      </c>
      <c r="R259" s="175"/>
      <c r="S259" s="193"/>
      <c r="T259" s="2"/>
      <c r="U259" s="4"/>
    </row>
    <row r="260" spans="1:21" ht="15.6" x14ac:dyDescent="0.3">
      <c r="A260" s="112"/>
      <c r="B260" s="155" t="s">
        <v>74</v>
      </c>
      <c r="C260" s="191"/>
      <c r="D260" s="191"/>
      <c r="E260" s="191"/>
      <c r="F260" s="191"/>
      <c r="G260" s="191"/>
      <c r="H260" s="191"/>
      <c r="I260" s="191"/>
      <c r="J260" s="191"/>
      <c r="K260" s="191"/>
      <c r="L260" s="191"/>
      <c r="M260" s="191"/>
      <c r="N260" s="155">
        <v>0</v>
      </c>
      <c r="O260" s="192">
        <f t="shared" si="9"/>
        <v>0</v>
      </c>
      <c r="P260" s="156">
        <v>0</v>
      </c>
      <c r="Q260" s="192">
        <f t="shared" si="10"/>
        <v>0</v>
      </c>
      <c r="R260" s="175"/>
      <c r="S260" s="193"/>
      <c r="T260" s="2"/>
    </row>
    <row r="261" spans="1:21" ht="15.6" x14ac:dyDescent="0.3">
      <c r="A261" s="112"/>
      <c r="B261" s="155" t="s">
        <v>119</v>
      </c>
      <c r="C261" s="191"/>
      <c r="D261" s="191"/>
      <c r="E261" s="191"/>
      <c r="F261" s="191"/>
      <c r="G261" s="191"/>
      <c r="H261" s="191"/>
      <c r="I261" s="191"/>
      <c r="J261" s="191"/>
      <c r="K261" s="191"/>
      <c r="L261" s="191"/>
      <c r="M261" s="191"/>
      <c r="N261" s="155">
        <v>0</v>
      </c>
      <c r="O261" s="192">
        <f t="shared" si="9"/>
        <v>0</v>
      </c>
      <c r="P261" s="156">
        <v>0</v>
      </c>
      <c r="Q261" s="192">
        <f t="shared" si="10"/>
        <v>0</v>
      </c>
      <c r="R261" s="175"/>
      <c r="S261" s="193"/>
      <c r="T261" s="2"/>
      <c r="U261" s="4"/>
    </row>
    <row r="262" spans="1:21" ht="15.6" x14ac:dyDescent="0.3">
      <c r="A262" s="112"/>
      <c r="B262" s="155" t="s">
        <v>120</v>
      </c>
      <c r="C262" s="191"/>
      <c r="D262" s="191"/>
      <c r="E262" s="191"/>
      <c r="F262" s="191"/>
      <c r="G262" s="191"/>
      <c r="H262" s="191"/>
      <c r="I262" s="191"/>
      <c r="J262" s="191"/>
      <c r="K262" s="191"/>
      <c r="L262" s="191"/>
      <c r="M262" s="191"/>
      <c r="N262" s="155">
        <v>0</v>
      </c>
      <c r="O262" s="192">
        <f t="shared" si="9"/>
        <v>0</v>
      </c>
      <c r="P262" s="156">
        <v>0</v>
      </c>
      <c r="Q262" s="192">
        <f t="shared" si="10"/>
        <v>0</v>
      </c>
      <c r="R262" s="175"/>
      <c r="S262" s="193"/>
      <c r="T262" s="2"/>
    </row>
    <row r="263" spans="1:21" ht="15.6" x14ac:dyDescent="0.3">
      <c r="A263" s="112"/>
      <c r="B263" s="155" t="s">
        <v>121</v>
      </c>
      <c r="C263" s="191"/>
      <c r="D263" s="191"/>
      <c r="E263" s="191"/>
      <c r="F263" s="191"/>
      <c r="G263" s="191"/>
      <c r="H263" s="191"/>
      <c r="I263" s="191"/>
      <c r="J263" s="191"/>
      <c r="K263" s="191"/>
      <c r="L263" s="191"/>
      <c r="M263" s="191"/>
      <c r="N263" s="155">
        <v>0</v>
      </c>
      <c r="O263" s="192">
        <f t="shared" si="9"/>
        <v>0</v>
      </c>
      <c r="P263" s="156">
        <v>0</v>
      </c>
      <c r="Q263" s="192">
        <f t="shared" si="10"/>
        <v>0</v>
      </c>
      <c r="R263" s="175"/>
      <c r="S263" s="193"/>
      <c r="T263" s="2"/>
      <c r="U263" s="4"/>
    </row>
    <row r="264" spans="1:21" ht="15.6" x14ac:dyDescent="0.3">
      <c r="A264" s="112"/>
      <c r="B264" s="155" t="s">
        <v>122</v>
      </c>
      <c r="C264" s="191"/>
      <c r="D264" s="191"/>
      <c r="E264" s="191"/>
      <c r="F264" s="191"/>
      <c r="G264" s="191"/>
      <c r="H264" s="191"/>
      <c r="I264" s="191"/>
      <c r="J264" s="191"/>
      <c r="K264" s="191"/>
      <c r="L264" s="191"/>
      <c r="M264" s="191"/>
      <c r="N264" s="155">
        <v>0</v>
      </c>
      <c r="O264" s="192">
        <f t="shared" si="9"/>
        <v>0</v>
      </c>
      <c r="P264" s="156">
        <v>0</v>
      </c>
      <c r="Q264" s="192">
        <f t="shared" si="10"/>
        <v>0</v>
      </c>
      <c r="R264" s="175"/>
      <c r="S264" s="193"/>
      <c r="T264" s="2"/>
    </row>
    <row r="265" spans="1:21" ht="15.6" x14ac:dyDescent="0.3">
      <c r="A265" s="112"/>
      <c r="B265" s="155" t="s">
        <v>123</v>
      </c>
      <c r="C265" s="191"/>
      <c r="D265" s="191"/>
      <c r="E265" s="191"/>
      <c r="F265" s="191"/>
      <c r="G265" s="191"/>
      <c r="H265" s="191"/>
      <c r="I265" s="191"/>
      <c r="J265" s="191"/>
      <c r="K265" s="191"/>
      <c r="L265" s="191"/>
      <c r="M265" s="191"/>
      <c r="N265" s="155">
        <v>0</v>
      </c>
      <c r="O265" s="192">
        <f t="shared" si="9"/>
        <v>0</v>
      </c>
      <c r="P265" s="156">
        <v>0</v>
      </c>
      <c r="Q265" s="192">
        <f t="shared" si="10"/>
        <v>0</v>
      </c>
      <c r="R265" s="175"/>
      <c r="S265" s="193"/>
      <c r="T265" s="2"/>
      <c r="U265" s="4"/>
    </row>
    <row r="266" spans="1:21" ht="15.6" x14ac:dyDescent="0.3">
      <c r="A266" s="112"/>
      <c r="B266" s="155"/>
      <c r="C266" s="191"/>
      <c r="D266" s="191"/>
      <c r="E266" s="191"/>
      <c r="F266" s="191"/>
      <c r="G266" s="191"/>
      <c r="H266" s="191"/>
      <c r="I266" s="191"/>
      <c r="J266" s="191"/>
      <c r="K266" s="191"/>
      <c r="L266" s="191"/>
      <c r="M266" s="191"/>
      <c r="N266" s="155"/>
      <c r="O266" s="192"/>
      <c r="P266" s="156"/>
      <c r="Q266" s="192"/>
      <c r="R266" s="175"/>
      <c r="S266" s="193"/>
      <c r="T266" s="2"/>
    </row>
    <row r="267" spans="1:21" ht="15.6" x14ac:dyDescent="0.3">
      <c r="A267" s="112"/>
      <c r="B267" s="113" t="s">
        <v>94</v>
      </c>
      <c r="C267" s="113"/>
      <c r="D267" s="194"/>
      <c r="E267" s="194"/>
      <c r="F267" s="194"/>
      <c r="G267" s="194"/>
      <c r="H267" s="194"/>
      <c r="I267" s="194"/>
      <c r="J267" s="194"/>
      <c r="K267" s="194"/>
      <c r="L267" s="194"/>
      <c r="M267" s="194"/>
      <c r="N267" s="155">
        <f>SUM(N258:N266)</f>
        <v>1854</v>
      </c>
      <c r="O267" s="192">
        <f>SUM(O258:O266)</f>
        <v>1</v>
      </c>
      <c r="P267" s="156">
        <f>SUM(P258:P266)</f>
        <v>296725</v>
      </c>
      <c r="Q267" s="192">
        <f>SUM(Q258:Q266)</f>
        <v>1</v>
      </c>
      <c r="R267" s="113"/>
      <c r="S267" s="116"/>
      <c r="T267" s="2"/>
    </row>
    <row r="268" spans="1:21" ht="15.6" x14ac:dyDescent="0.3">
      <c r="A268" s="12"/>
      <c r="B268" s="43"/>
      <c r="C268" s="43"/>
      <c r="D268" s="188"/>
      <c r="E268" s="188"/>
      <c r="F268" s="188"/>
      <c r="G268" s="188"/>
      <c r="H268" s="188"/>
      <c r="I268" s="188"/>
      <c r="J268" s="188"/>
      <c r="K268" s="188"/>
      <c r="L268" s="188"/>
      <c r="M268" s="188"/>
      <c r="N268" s="153"/>
      <c r="O268" s="189"/>
      <c r="P268" s="190"/>
      <c r="Q268" s="189"/>
      <c r="R268" s="43"/>
      <c r="S268" s="217"/>
      <c r="T268" s="2"/>
    </row>
    <row r="269" spans="1:21" ht="15.6" x14ac:dyDescent="0.3">
      <c r="A269" s="73"/>
      <c r="B269" s="61" t="s">
        <v>146</v>
      </c>
      <c r="C269" s="62"/>
      <c r="D269" s="62"/>
      <c r="E269" s="62"/>
      <c r="F269" s="62"/>
      <c r="G269" s="62"/>
      <c r="H269" s="62"/>
      <c r="I269" s="62"/>
      <c r="J269" s="62"/>
      <c r="K269" s="62"/>
      <c r="L269" s="62"/>
      <c r="M269" s="62"/>
      <c r="N269" s="72" t="s">
        <v>83</v>
      </c>
      <c r="O269" s="62" t="s">
        <v>84</v>
      </c>
      <c r="P269" s="72" t="s">
        <v>89</v>
      </c>
      <c r="Q269" s="62" t="s">
        <v>84</v>
      </c>
      <c r="R269" s="74"/>
      <c r="S269" s="75"/>
      <c r="T269" s="2"/>
    </row>
    <row r="270" spans="1:21" ht="15.6" x14ac:dyDescent="0.3">
      <c r="A270" s="24"/>
      <c r="B270" s="78" t="s">
        <v>72</v>
      </c>
      <c r="C270" s="93"/>
      <c r="D270" s="93"/>
      <c r="E270" s="93"/>
      <c r="F270" s="93"/>
      <c r="G270" s="93"/>
      <c r="H270" s="93"/>
      <c r="I270" s="93"/>
      <c r="J270" s="93"/>
      <c r="K270" s="93"/>
      <c r="L270" s="93"/>
      <c r="M270" s="93"/>
      <c r="N270" s="78">
        <v>0</v>
      </c>
      <c r="O270" s="81">
        <v>0</v>
      </c>
      <c r="P270" s="82">
        <v>0</v>
      </c>
      <c r="Q270" s="81">
        <v>0</v>
      </c>
      <c r="R270" s="79"/>
      <c r="S270" s="220"/>
      <c r="T270" s="2"/>
    </row>
    <row r="271" spans="1:21" ht="15.6" x14ac:dyDescent="0.3">
      <c r="A271" s="112"/>
      <c r="B271" s="155" t="s">
        <v>73</v>
      </c>
      <c r="C271" s="191"/>
      <c r="D271" s="191"/>
      <c r="E271" s="191"/>
      <c r="F271" s="191"/>
      <c r="G271" s="191"/>
      <c r="H271" s="191"/>
      <c r="I271" s="191"/>
      <c r="J271" s="191"/>
      <c r="K271" s="191"/>
      <c r="L271" s="191"/>
      <c r="M271" s="191"/>
      <c r="N271" s="155">
        <v>0</v>
      </c>
      <c r="O271" s="192">
        <v>0</v>
      </c>
      <c r="P271" s="156">
        <v>0</v>
      </c>
      <c r="Q271" s="192">
        <v>0</v>
      </c>
      <c r="R271" s="113"/>
      <c r="S271" s="116"/>
      <c r="T271" s="2"/>
    </row>
    <row r="272" spans="1:21" ht="15.6" x14ac:dyDescent="0.3">
      <c r="A272" s="112"/>
      <c r="B272" s="155" t="s">
        <v>74</v>
      </c>
      <c r="C272" s="191"/>
      <c r="D272" s="191"/>
      <c r="E272" s="191"/>
      <c r="F272" s="191"/>
      <c r="G272" s="191"/>
      <c r="H272" s="191"/>
      <c r="I272" s="191"/>
      <c r="J272" s="191"/>
      <c r="K272" s="191"/>
      <c r="L272" s="191"/>
      <c r="M272" s="191"/>
      <c r="N272" s="155">
        <v>0</v>
      </c>
      <c r="O272" s="192">
        <v>0</v>
      </c>
      <c r="P272" s="156">
        <v>0</v>
      </c>
      <c r="Q272" s="192">
        <v>0</v>
      </c>
      <c r="R272" s="113"/>
      <c r="S272" s="116"/>
      <c r="T272" s="2"/>
    </row>
    <row r="273" spans="1:20" ht="15.6" x14ac:dyDescent="0.3">
      <c r="A273" s="112"/>
      <c r="B273" s="155" t="s">
        <v>119</v>
      </c>
      <c r="C273" s="191"/>
      <c r="D273" s="191"/>
      <c r="E273" s="191"/>
      <c r="F273" s="191"/>
      <c r="G273" s="191"/>
      <c r="H273" s="191"/>
      <c r="I273" s="191"/>
      <c r="J273" s="191"/>
      <c r="K273" s="191"/>
      <c r="L273" s="191"/>
      <c r="M273" s="191"/>
      <c r="N273" s="155">
        <v>0</v>
      </c>
      <c r="O273" s="192">
        <v>0</v>
      </c>
      <c r="P273" s="156">
        <v>0</v>
      </c>
      <c r="Q273" s="192">
        <v>0</v>
      </c>
      <c r="R273" s="113"/>
      <c r="S273" s="116"/>
      <c r="T273" s="2"/>
    </row>
    <row r="274" spans="1:20" ht="15.6" x14ac:dyDescent="0.3">
      <c r="A274" s="112"/>
      <c r="B274" s="155" t="s">
        <v>120</v>
      </c>
      <c r="C274" s="191"/>
      <c r="D274" s="191"/>
      <c r="E274" s="191"/>
      <c r="F274" s="191"/>
      <c r="G274" s="191"/>
      <c r="H274" s="191"/>
      <c r="I274" s="191"/>
      <c r="J274" s="191"/>
      <c r="K274" s="191"/>
      <c r="L274" s="191"/>
      <c r="M274" s="191"/>
      <c r="N274" s="155">
        <v>0</v>
      </c>
      <c r="O274" s="192">
        <v>0</v>
      </c>
      <c r="P274" s="156">
        <v>0</v>
      </c>
      <c r="Q274" s="192">
        <v>0</v>
      </c>
      <c r="R274" s="113"/>
      <c r="S274" s="116"/>
      <c r="T274" s="2"/>
    </row>
    <row r="275" spans="1:20" ht="15.6" x14ac:dyDescent="0.3">
      <c r="A275" s="112"/>
      <c r="B275" s="155" t="s">
        <v>121</v>
      </c>
      <c r="C275" s="191"/>
      <c r="D275" s="191"/>
      <c r="E275" s="191"/>
      <c r="F275" s="191"/>
      <c r="G275" s="191"/>
      <c r="H275" s="191"/>
      <c r="I275" s="191"/>
      <c r="J275" s="191"/>
      <c r="K275" s="191"/>
      <c r="L275" s="191"/>
      <c r="M275" s="191"/>
      <c r="N275" s="155">
        <v>0</v>
      </c>
      <c r="O275" s="192">
        <v>0</v>
      </c>
      <c r="P275" s="156">
        <v>0</v>
      </c>
      <c r="Q275" s="192">
        <v>0</v>
      </c>
      <c r="R275" s="113"/>
      <c r="S275" s="116"/>
      <c r="T275" s="2"/>
    </row>
    <row r="276" spans="1:20" ht="15.6" x14ac:dyDescent="0.3">
      <c r="A276" s="112"/>
      <c r="B276" s="155" t="s">
        <v>122</v>
      </c>
      <c r="C276" s="191"/>
      <c r="D276" s="191"/>
      <c r="E276" s="191"/>
      <c r="F276" s="191"/>
      <c r="G276" s="191"/>
      <c r="H276" s="191"/>
      <c r="I276" s="191"/>
      <c r="J276" s="191"/>
      <c r="K276" s="191"/>
      <c r="L276" s="191"/>
      <c r="M276" s="191"/>
      <c r="N276" s="155">
        <v>0</v>
      </c>
      <c r="O276" s="192">
        <v>0</v>
      </c>
      <c r="P276" s="156">
        <v>0</v>
      </c>
      <c r="Q276" s="192">
        <v>0</v>
      </c>
      <c r="R276" s="113"/>
      <c r="S276" s="116"/>
      <c r="T276" s="2"/>
    </row>
    <row r="277" spans="1:20" ht="15.6" x14ac:dyDescent="0.3">
      <c r="A277" s="112"/>
      <c r="B277" s="155" t="s">
        <v>123</v>
      </c>
      <c r="C277" s="191"/>
      <c r="D277" s="191"/>
      <c r="E277" s="191"/>
      <c r="F277" s="191"/>
      <c r="G277" s="191"/>
      <c r="H277" s="191"/>
      <c r="I277" s="191"/>
      <c r="J277" s="191"/>
      <c r="K277" s="191"/>
      <c r="L277" s="191"/>
      <c r="M277" s="191"/>
      <c r="N277" s="155">
        <v>0</v>
      </c>
      <c r="O277" s="192">
        <v>0</v>
      </c>
      <c r="P277" s="156">
        <v>0</v>
      </c>
      <c r="Q277" s="192">
        <v>0</v>
      </c>
      <c r="R277" s="113"/>
      <c r="S277" s="116"/>
      <c r="T277" s="2"/>
    </row>
    <row r="278" spans="1:20" ht="15.6" x14ac:dyDescent="0.3">
      <c r="A278" s="112"/>
      <c r="B278" s="155"/>
      <c r="C278" s="191"/>
      <c r="D278" s="191"/>
      <c r="E278" s="191"/>
      <c r="F278" s="191"/>
      <c r="G278" s="191"/>
      <c r="H278" s="191"/>
      <c r="I278" s="191"/>
      <c r="J278" s="191"/>
      <c r="K278" s="191"/>
      <c r="L278" s="191"/>
      <c r="M278" s="191"/>
      <c r="N278" s="155"/>
      <c r="O278" s="192"/>
      <c r="P278" s="156"/>
      <c r="Q278" s="192"/>
      <c r="R278" s="113"/>
      <c r="S278" s="116"/>
      <c r="T278" s="2"/>
    </row>
    <row r="279" spans="1:20" ht="15.6" x14ac:dyDescent="0.3">
      <c r="A279" s="112"/>
      <c r="B279" s="113" t="s">
        <v>94</v>
      </c>
      <c r="C279" s="113"/>
      <c r="D279" s="194"/>
      <c r="E279" s="194"/>
      <c r="F279" s="194"/>
      <c r="G279" s="194"/>
      <c r="H279" s="194"/>
      <c r="I279" s="194"/>
      <c r="J279" s="194"/>
      <c r="K279" s="194"/>
      <c r="L279" s="194"/>
      <c r="M279" s="194"/>
      <c r="N279" s="155">
        <f>SUM(N270:N278)</f>
        <v>0</v>
      </c>
      <c r="O279" s="192">
        <f>SUM(O270:O278)</f>
        <v>0</v>
      </c>
      <c r="P279" s="156">
        <f>SUM(P270:P278)</f>
        <v>0</v>
      </c>
      <c r="Q279" s="192">
        <f>SUM(Q270:Q278)</f>
        <v>0</v>
      </c>
      <c r="R279" s="113"/>
      <c r="S279" s="116"/>
      <c r="T279" s="2"/>
    </row>
    <row r="280" spans="1:20" ht="15.6" x14ac:dyDescent="0.3">
      <c r="A280" s="12"/>
      <c r="B280" s="43"/>
      <c r="C280" s="43"/>
      <c r="D280" s="188"/>
      <c r="E280" s="188"/>
      <c r="F280" s="188"/>
      <c r="G280" s="188"/>
      <c r="H280" s="188"/>
      <c r="I280" s="188"/>
      <c r="J280" s="188"/>
      <c r="K280" s="188"/>
      <c r="L280" s="188"/>
      <c r="M280" s="188"/>
      <c r="N280" s="153"/>
      <c r="O280" s="189"/>
      <c r="P280" s="190"/>
      <c r="Q280" s="189"/>
      <c r="R280" s="43"/>
      <c r="S280" s="217"/>
      <c r="T280" s="2"/>
    </row>
    <row r="281" spans="1:20" ht="15.6" x14ac:dyDescent="0.3">
      <c r="A281" s="73"/>
      <c r="B281" s="61" t="s">
        <v>125</v>
      </c>
      <c r="C281" s="74"/>
      <c r="D281" s="76"/>
      <c r="E281" s="76"/>
      <c r="F281" s="76"/>
      <c r="G281" s="76"/>
      <c r="H281" s="76"/>
      <c r="I281" s="76"/>
      <c r="J281" s="76"/>
      <c r="K281" s="76"/>
      <c r="L281" s="76"/>
      <c r="M281" s="76"/>
      <c r="N281" s="72" t="s">
        <v>83</v>
      </c>
      <c r="O281" s="62" t="s">
        <v>84</v>
      </c>
      <c r="P281" s="72" t="s">
        <v>89</v>
      </c>
      <c r="Q281" s="62" t="s">
        <v>84</v>
      </c>
      <c r="R281" s="74"/>
      <c r="S281" s="75"/>
      <c r="T281" s="2"/>
    </row>
    <row r="282" spans="1:20" ht="15.6" x14ac:dyDescent="0.3">
      <c r="A282" s="77"/>
      <c r="B282" s="78" t="s">
        <v>72</v>
      </c>
      <c r="C282" s="79"/>
      <c r="D282" s="80"/>
      <c r="E282" s="80"/>
      <c r="F282" s="80"/>
      <c r="G282" s="80"/>
      <c r="H282" s="80"/>
      <c r="I282" s="80"/>
      <c r="J282" s="80"/>
      <c r="K282" s="80"/>
      <c r="L282" s="80"/>
      <c r="M282" s="80"/>
      <c r="N282" s="78">
        <v>0</v>
      </c>
      <c r="O282" s="81">
        <v>0</v>
      </c>
      <c r="P282" s="82">
        <v>0</v>
      </c>
      <c r="Q282" s="81">
        <v>0</v>
      </c>
      <c r="R282" s="79"/>
      <c r="S282" s="220"/>
      <c r="T282" s="2"/>
    </row>
    <row r="283" spans="1:20" ht="15.6" x14ac:dyDescent="0.3">
      <c r="A283" s="122"/>
      <c r="B283" s="155" t="s">
        <v>73</v>
      </c>
      <c r="C283" s="113"/>
      <c r="D283" s="194"/>
      <c r="E283" s="194"/>
      <c r="F283" s="194"/>
      <c r="G283" s="194"/>
      <c r="H283" s="194"/>
      <c r="I283" s="194"/>
      <c r="J283" s="194"/>
      <c r="K283" s="194"/>
      <c r="L283" s="194"/>
      <c r="M283" s="194"/>
      <c r="N283" s="155">
        <v>0</v>
      </c>
      <c r="O283" s="192">
        <v>0</v>
      </c>
      <c r="P283" s="156">
        <v>0</v>
      </c>
      <c r="Q283" s="192">
        <v>0</v>
      </c>
      <c r="R283" s="113"/>
      <c r="S283" s="116"/>
      <c r="T283" s="2"/>
    </row>
    <row r="284" spans="1:20" ht="15.6" x14ac:dyDescent="0.3">
      <c r="A284" s="122"/>
      <c r="B284" s="155" t="s">
        <v>74</v>
      </c>
      <c r="C284" s="113"/>
      <c r="D284" s="194"/>
      <c r="E284" s="194"/>
      <c r="F284" s="194"/>
      <c r="G284" s="194"/>
      <c r="H284" s="194"/>
      <c r="I284" s="194"/>
      <c r="J284" s="194"/>
      <c r="K284" s="194"/>
      <c r="L284" s="194"/>
      <c r="M284" s="194"/>
      <c r="N284" s="155">
        <v>0</v>
      </c>
      <c r="O284" s="192">
        <v>0</v>
      </c>
      <c r="P284" s="156">
        <v>0</v>
      </c>
      <c r="Q284" s="192">
        <v>0</v>
      </c>
      <c r="R284" s="113"/>
      <c r="S284" s="116"/>
      <c r="T284" s="2"/>
    </row>
    <row r="285" spans="1:20" ht="15.6" x14ac:dyDescent="0.3">
      <c r="A285" s="122"/>
      <c r="B285" s="155" t="s">
        <v>119</v>
      </c>
      <c r="C285" s="113"/>
      <c r="D285" s="194"/>
      <c r="E285" s="194"/>
      <c r="F285" s="194"/>
      <c r="G285" s="194"/>
      <c r="H285" s="194"/>
      <c r="I285" s="194"/>
      <c r="J285" s="194"/>
      <c r="K285" s="194"/>
      <c r="L285" s="194"/>
      <c r="M285" s="194"/>
      <c r="N285" s="155">
        <v>0</v>
      </c>
      <c r="O285" s="192">
        <v>0</v>
      </c>
      <c r="P285" s="156">
        <v>0</v>
      </c>
      <c r="Q285" s="192">
        <v>0</v>
      </c>
      <c r="R285" s="113"/>
      <c r="S285" s="116"/>
      <c r="T285" s="2"/>
    </row>
    <row r="286" spans="1:20" ht="15.6" x14ac:dyDescent="0.3">
      <c r="A286" s="122"/>
      <c r="B286" s="155" t="s">
        <v>120</v>
      </c>
      <c r="C286" s="113"/>
      <c r="D286" s="194"/>
      <c r="E286" s="194"/>
      <c r="F286" s="194"/>
      <c r="G286" s="194"/>
      <c r="H286" s="194"/>
      <c r="I286" s="194"/>
      <c r="J286" s="194"/>
      <c r="K286" s="194"/>
      <c r="L286" s="194"/>
      <c r="M286" s="194"/>
      <c r="N286" s="155">
        <v>0</v>
      </c>
      <c r="O286" s="192">
        <v>0</v>
      </c>
      <c r="P286" s="156">
        <v>0</v>
      </c>
      <c r="Q286" s="192">
        <v>0</v>
      </c>
      <c r="R286" s="113"/>
      <c r="S286" s="116"/>
      <c r="T286" s="2"/>
    </row>
    <row r="287" spans="1:20" ht="15.6" x14ac:dyDescent="0.3">
      <c r="A287" s="122"/>
      <c r="B287" s="155" t="s">
        <v>121</v>
      </c>
      <c r="C287" s="113"/>
      <c r="D287" s="194"/>
      <c r="E287" s="194"/>
      <c r="F287" s="194"/>
      <c r="G287" s="194"/>
      <c r="H287" s="194"/>
      <c r="I287" s="194"/>
      <c r="J287" s="194"/>
      <c r="K287" s="194"/>
      <c r="L287" s="194"/>
      <c r="M287" s="194"/>
      <c r="N287" s="155">
        <v>0</v>
      </c>
      <c r="O287" s="192">
        <v>0</v>
      </c>
      <c r="P287" s="156">
        <v>0</v>
      </c>
      <c r="Q287" s="192">
        <v>0</v>
      </c>
      <c r="R287" s="113"/>
      <c r="S287" s="116"/>
      <c r="T287" s="2"/>
    </row>
    <row r="288" spans="1:20" ht="15.6" x14ac:dyDescent="0.3">
      <c r="A288" s="122"/>
      <c r="B288" s="155" t="s">
        <v>122</v>
      </c>
      <c r="C288" s="113"/>
      <c r="D288" s="194"/>
      <c r="E288" s="194"/>
      <c r="F288" s="194"/>
      <c r="G288" s="194"/>
      <c r="H288" s="194"/>
      <c r="I288" s="194"/>
      <c r="J288" s="194"/>
      <c r="K288" s="194"/>
      <c r="L288" s="194"/>
      <c r="M288" s="194"/>
      <c r="N288" s="155">
        <v>0</v>
      </c>
      <c r="O288" s="192">
        <v>0</v>
      </c>
      <c r="P288" s="156">
        <v>0</v>
      </c>
      <c r="Q288" s="192">
        <v>0</v>
      </c>
      <c r="R288" s="113"/>
      <c r="S288" s="116"/>
      <c r="T288" s="2"/>
    </row>
    <row r="289" spans="1:20" ht="15.6" x14ac:dyDescent="0.3">
      <c r="A289" s="122"/>
      <c r="B289" s="155" t="s">
        <v>123</v>
      </c>
      <c r="C289" s="113"/>
      <c r="D289" s="194"/>
      <c r="E289" s="194"/>
      <c r="F289" s="194"/>
      <c r="G289" s="194"/>
      <c r="H289" s="194"/>
      <c r="I289" s="194"/>
      <c r="J289" s="194"/>
      <c r="K289" s="194"/>
      <c r="L289" s="194"/>
      <c r="M289" s="194"/>
      <c r="N289" s="155">
        <v>0</v>
      </c>
      <c r="O289" s="192">
        <v>0</v>
      </c>
      <c r="P289" s="156">
        <v>0</v>
      </c>
      <c r="Q289" s="192">
        <v>0</v>
      </c>
      <c r="R289" s="113"/>
      <c r="S289" s="116"/>
      <c r="T289" s="2"/>
    </row>
    <row r="290" spans="1:20" ht="15.6" x14ac:dyDescent="0.3">
      <c r="A290" s="122"/>
      <c r="B290" s="155"/>
      <c r="C290" s="113"/>
      <c r="D290" s="194"/>
      <c r="E290" s="194"/>
      <c r="F290" s="194"/>
      <c r="G290" s="194"/>
      <c r="H290" s="194"/>
      <c r="I290" s="194"/>
      <c r="J290" s="194"/>
      <c r="K290" s="194"/>
      <c r="L290" s="194"/>
      <c r="M290" s="194"/>
      <c r="N290" s="155"/>
      <c r="O290" s="192"/>
      <c r="P290" s="156"/>
      <c r="Q290" s="192"/>
      <c r="R290" s="113"/>
      <c r="S290" s="116"/>
      <c r="T290" s="2"/>
    </row>
    <row r="291" spans="1:20" ht="15.6" x14ac:dyDescent="0.3">
      <c r="A291" s="122"/>
      <c r="B291" s="113" t="s">
        <v>94</v>
      </c>
      <c r="C291" s="113"/>
      <c r="D291" s="194"/>
      <c r="E291" s="194"/>
      <c r="F291" s="194"/>
      <c r="G291" s="194"/>
      <c r="H291" s="194"/>
      <c r="I291" s="194"/>
      <c r="J291" s="194"/>
      <c r="K291" s="194"/>
      <c r="L291" s="194"/>
      <c r="M291" s="194"/>
      <c r="N291" s="155">
        <f>SUM(N282:N289)</f>
        <v>0</v>
      </c>
      <c r="O291" s="192">
        <f>SUM(O282:O289)</f>
        <v>0</v>
      </c>
      <c r="P291" s="156">
        <f>SUM(P282:P289)</f>
        <v>0</v>
      </c>
      <c r="Q291" s="192">
        <f>SUM(Q282:Q289)</f>
        <v>0</v>
      </c>
      <c r="R291" s="113"/>
      <c r="S291" s="116"/>
      <c r="T291" s="2"/>
    </row>
    <row r="292" spans="1:20" ht="15.6" x14ac:dyDescent="0.3">
      <c r="A292" s="122"/>
      <c r="B292" s="113"/>
      <c r="C292" s="113"/>
      <c r="D292" s="194"/>
      <c r="E292" s="194"/>
      <c r="F292" s="194"/>
      <c r="G292" s="194"/>
      <c r="H292" s="194"/>
      <c r="I292" s="194"/>
      <c r="J292" s="194"/>
      <c r="K292" s="194"/>
      <c r="L292" s="194"/>
      <c r="M292" s="194"/>
      <c r="N292" s="155"/>
      <c r="O292" s="192"/>
      <c r="P292" s="156"/>
      <c r="Q292" s="192"/>
      <c r="R292" s="113"/>
      <c r="S292" s="116"/>
      <c r="T292" s="2"/>
    </row>
    <row r="293" spans="1:20" ht="15.6" x14ac:dyDescent="0.3">
      <c r="A293" s="122"/>
      <c r="B293" s="124" t="s">
        <v>177</v>
      </c>
      <c r="C293" s="113"/>
      <c r="D293" s="194"/>
      <c r="E293" s="194"/>
      <c r="F293" s="194"/>
      <c r="G293" s="194"/>
      <c r="H293" s="194"/>
      <c r="I293" s="194"/>
      <c r="J293" s="194"/>
      <c r="K293" s="194"/>
      <c r="L293" s="194"/>
      <c r="M293" s="194"/>
      <c r="N293" s="196">
        <f>N291+N279+N267</f>
        <v>1854</v>
      </c>
      <c r="O293" s="192"/>
      <c r="P293" s="197">
        <f>+P291+P279+P267</f>
        <v>296725</v>
      </c>
      <c r="Q293" s="192"/>
      <c r="R293" s="113"/>
      <c r="S293" s="116"/>
      <c r="T293" s="2"/>
    </row>
    <row r="294" spans="1:20" ht="15.6" x14ac:dyDescent="0.3">
      <c r="A294" s="122"/>
      <c r="B294" s="124" t="s">
        <v>217</v>
      </c>
      <c r="C294" s="124"/>
      <c r="D294" s="205"/>
      <c r="E294" s="205"/>
      <c r="F294" s="205"/>
      <c r="G294" s="205"/>
      <c r="H294" s="205"/>
      <c r="I294" s="205"/>
      <c r="J294" s="205"/>
      <c r="K294" s="205"/>
      <c r="L294" s="205"/>
      <c r="M294" s="205"/>
      <c r="N294" s="196"/>
      <c r="O294" s="206"/>
      <c r="P294" s="207">
        <f>+R180</f>
        <v>2610</v>
      </c>
      <c r="Q294" s="192"/>
      <c r="R294" s="113"/>
      <c r="S294" s="116"/>
      <c r="T294" s="2"/>
    </row>
    <row r="295" spans="1:20" ht="15.6" x14ac:dyDescent="0.3">
      <c r="A295" s="122"/>
      <c r="B295" s="124" t="s">
        <v>126</v>
      </c>
      <c r="C295" s="124"/>
      <c r="D295" s="205"/>
      <c r="E295" s="205"/>
      <c r="F295" s="205"/>
      <c r="G295" s="205"/>
      <c r="H295" s="205"/>
      <c r="I295" s="205"/>
      <c r="J295" s="205"/>
      <c r="K295" s="205"/>
      <c r="L295" s="205"/>
      <c r="M295" s="205"/>
      <c r="N295" s="196"/>
      <c r="O295" s="206"/>
      <c r="P295" s="207">
        <f>+P293+P294</f>
        <v>299335</v>
      </c>
      <c r="Q295" s="192"/>
      <c r="R295" s="113"/>
      <c r="S295" s="116"/>
      <c r="T295" s="2"/>
    </row>
    <row r="296" spans="1:20" ht="15.6" x14ac:dyDescent="0.3">
      <c r="A296" s="122"/>
      <c r="B296" s="124" t="s">
        <v>176</v>
      </c>
      <c r="C296" s="113"/>
      <c r="D296" s="194"/>
      <c r="E296" s="194"/>
      <c r="F296" s="194"/>
      <c r="G296" s="194"/>
      <c r="H296" s="194"/>
      <c r="I296" s="194"/>
      <c r="J296" s="194"/>
      <c r="K296" s="194"/>
      <c r="L296" s="194"/>
      <c r="M296" s="194"/>
      <c r="N296" s="196"/>
      <c r="O296" s="192"/>
      <c r="P296" s="197">
        <f>+R80</f>
        <v>299335</v>
      </c>
      <c r="Q296" s="192"/>
      <c r="R296" s="113"/>
      <c r="S296" s="116"/>
      <c r="T296" s="2"/>
    </row>
    <row r="297" spans="1:20" ht="15.6" x14ac:dyDescent="0.3">
      <c r="A297" s="122"/>
      <c r="B297" s="124"/>
      <c r="C297" s="113"/>
      <c r="D297" s="194"/>
      <c r="E297" s="194"/>
      <c r="F297" s="194"/>
      <c r="G297" s="194"/>
      <c r="H297" s="194"/>
      <c r="I297" s="194"/>
      <c r="J297" s="194"/>
      <c r="K297" s="194"/>
      <c r="L297" s="194"/>
      <c r="M297" s="194"/>
      <c r="N297" s="196"/>
      <c r="O297" s="192"/>
      <c r="P297" s="197"/>
      <c r="Q297" s="192"/>
      <c r="R297" s="113"/>
      <c r="S297" s="116"/>
      <c r="T297" s="2"/>
    </row>
    <row r="298" spans="1:20" ht="15.6" x14ac:dyDescent="0.3">
      <c r="A298" s="122"/>
      <c r="B298" s="124" t="s">
        <v>202</v>
      </c>
      <c r="C298" s="113"/>
      <c r="D298" s="194"/>
      <c r="E298" s="194"/>
      <c r="F298" s="194"/>
      <c r="G298" s="194"/>
      <c r="H298" s="194"/>
      <c r="I298" s="194"/>
      <c r="J298" s="194"/>
      <c r="K298" s="194"/>
      <c r="L298" s="194"/>
      <c r="M298" s="194"/>
      <c r="N298" s="196"/>
      <c r="O298" s="192"/>
      <c r="P298" s="214">
        <f>(L33+R148)/R33</f>
        <v>5.0117762927555265E-2</v>
      </c>
      <c r="Q298" s="192"/>
      <c r="R298" s="113"/>
      <c r="S298" s="116"/>
      <c r="T298" s="2"/>
    </row>
    <row r="299" spans="1:20" ht="15.6" x14ac:dyDescent="0.3">
      <c r="A299" s="83"/>
      <c r="B299" s="84"/>
      <c r="C299" s="84"/>
      <c r="D299" s="85"/>
      <c r="E299" s="85"/>
      <c r="F299" s="85"/>
      <c r="G299" s="85"/>
      <c r="H299" s="85"/>
      <c r="I299" s="85"/>
      <c r="J299" s="85"/>
      <c r="K299" s="85"/>
      <c r="L299" s="85"/>
      <c r="M299" s="85"/>
      <c r="N299" s="85"/>
      <c r="O299" s="85"/>
      <c r="P299" s="86"/>
      <c r="Q299" s="85"/>
      <c r="R299" s="84"/>
      <c r="S299" s="218"/>
      <c r="T299" s="2"/>
    </row>
    <row r="300" spans="1:20" ht="15.6" x14ac:dyDescent="0.3">
      <c r="A300" s="87"/>
      <c r="B300" s="88" t="s">
        <v>75</v>
      </c>
      <c r="C300" s="84"/>
      <c r="D300" s="89" t="s">
        <v>79</v>
      </c>
      <c r="E300" s="88"/>
      <c r="F300" s="88" t="s">
        <v>80</v>
      </c>
      <c r="G300" s="84"/>
      <c r="H300" s="88"/>
      <c r="I300" s="90"/>
      <c r="J300" s="90"/>
      <c r="K300" s="90"/>
      <c r="L300" s="90"/>
      <c r="M300" s="90"/>
      <c r="N300" s="90"/>
      <c r="O300" s="90"/>
      <c r="P300" s="90"/>
      <c r="Q300" s="90"/>
      <c r="R300" s="90"/>
      <c r="S300" s="229"/>
      <c r="T300" s="2"/>
    </row>
    <row r="301" spans="1:20" ht="15.6" x14ac:dyDescent="0.3">
      <c r="A301" s="87"/>
      <c r="B301" s="90"/>
      <c r="C301" s="84"/>
      <c r="D301" s="84"/>
      <c r="E301" s="84"/>
      <c r="F301" s="84"/>
      <c r="G301" s="84"/>
      <c r="H301" s="84"/>
      <c r="I301" s="90"/>
      <c r="J301" s="90"/>
      <c r="K301" s="90"/>
      <c r="L301" s="90"/>
      <c r="M301" s="90"/>
      <c r="N301" s="90"/>
      <c r="O301" s="90"/>
      <c r="P301" s="90"/>
      <c r="Q301" s="90"/>
      <c r="R301" s="90"/>
      <c r="S301" s="229"/>
      <c r="T301" s="2"/>
    </row>
    <row r="302" spans="1:20" ht="15.6" x14ac:dyDescent="0.3">
      <c r="A302" s="87"/>
      <c r="B302" s="213" t="s">
        <v>192</v>
      </c>
      <c r="C302" s="88"/>
      <c r="D302" s="91" t="s">
        <v>115</v>
      </c>
      <c r="E302" s="88"/>
      <c r="F302" s="88" t="s">
        <v>116</v>
      </c>
      <c r="G302" s="88"/>
      <c r="H302" s="88"/>
      <c r="I302" s="90"/>
      <c r="J302" s="90"/>
      <c r="K302" s="90"/>
      <c r="L302" s="90"/>
      <c r="M302" s="90"/>
      <c r="N302" s="90"/>
      <c r="O302" s="90"/>
      <c r="P302" s="90"/>
      <c r="Q302" s="90"/>
      <c r="R302" s="90"/>
      <c r="S302" s="229"/>
      <c r="T302" s="2"/>
    </row>
    <row r="303" spans="1:20" ht="15.6" x14ac:dyDescent="0.3">
      <c r="A303" s="87"/>
      <c r="B303" s="213" t="s">
        <v>193</v>
      </c>
      <c r="C303" s="88"/>
      <c r="D303" s="91" t="s">
        <v>147</v>
      </c>
      <c r="E303" s="88"/>
      <c r="F303" s="88" t="s">
        <v>148</v>
      </c>
      <c r="G303" s="88"/>
      <c r="H303" s="88"/>
      <c r="I303" s="90"/>
      <c r="J303" s="90"/>
      <c r="K303" s="90"/>
      <c r="L303" s="90"/>
      <c r="M303" s="90"/>
      <c r="N303" s="90"/>
      <c r="O303" s="90"/>
      <c r="P303" s="90"/>
      <c r="Q303" s="90"/>
      <c r="R303" s="90"/>
      <c r="S303" s="229"/>
      <c r="T303" s="2"/>
    </row>
    <row r="304" spans="1:20" ht="15.6" x14ac:dyDescent="0.3">
      <c r="A304" s="87"/>
      <c r="B304" s="213" t="s">
        <v>194</v>
      </c>
      <c r="C304" s="88"/>
      <c r="D304" s="91" t="s">
        <v>114</v>
      </c>
      <c r="E304" s="88"/>
      <c r="F304" s="88" t="s">
        <v>117</v>
      </c>
      <c r="G304" s="88"/>
      <c r="H304" s="88"/>
      <c r="I304" s="90"/>
      <c r="J304" s="90"/>
      <c r="K304" s="90"/>
      <c r="L304" s="90"/>
      <c r="M304" s="90"/>
      <c r="N304" s="90"/>
      <c r="O304" s="90"/>
      <c r="P304" s="90"/>
      <c r="Q304" s="90"/>
      <c r="R304" s="90"/>
      <c r="S304" s="229"/>
      <c r="T304" s="2"/>
    </row>
    <row r="305" spans="1:20" ht="15.6" x14ac:dyDescent="0.3">
      <c r="A305" s="87"/>
      <c r="B305" s="88"/>
      <c r="C305" s="88"/>
      <c r="D305" s="90"/>
      <c r="E305" s="90"/>
      <c r="F305" s="90"/>
      <c r="G305" s="90"/>
      <c r="H305" s="90"/>
      <c r="I305" s="90"/>
      <c r="J305" s="90"/>
      <c r="K305" s="90"/>
      <c r="L305" s="90"/>
      <c r="M305" s="90"/>
      <c r="N305" s="90"/>
      <c r="O305" s="90"/>
      <c r="P305" s="90"/>
      <c r="Q305" s="90"/>
      <c r="R305" s="90"/>
      <c r="S305" s="229"/>
      <c r="T305" s="2"/>
    </row>
    <row r="306" spans="1:20" ht="15.6" x14ac:dyDescent="0.3">
      <c r="A306" s="87"/>
      <c r="B306" s="88"/>
      <c r="C306" s="88"/>
      <c r="D306" s="90"/>
      <c r="E306" s="90"/>
      <c r="F306" s="90"/>
      <c r="G306" s="90"/>
      <c r="H306" s="90"/>
      <c r="I306" s="90"/>
      <c r="J306" s="90"/>
      <c r="K306" s="90"/>
      <c r="L306" s="90"/>
      <c r="M306" s="90"/>
      <c r="N306" s="90"/>
      <c r="O306" s="90"/>
      <c r="P306" s="90"/>
      <c r="Q306" s="90"/>
      <c r="R306" s="90"/>
      <c r="S306" s="229"/>
      <c r="T306" s="2"/>
    </row>
    <row r="307" spans="1:20" ht="18" thickBot="1" x14ac:dyDescent="0.35">
      <c r="A307" s="87"/>
      <c r="B307" s="92" t="str">
        <f>B205</f>
        <v>PM22 INVESTOR REPORT QUARTER ENDING MAY 2015</v>
      </c>
      <c r="C307" s="88"/>
      <c r="D307" s="90"/>
      <c r="E307" s="90"/>
      <c r="F307" s="90"/>
      <c r="G307" s="90"/>
      <c r="H307" s="90"/>
      <c r="I307" s="90"/>
      <c r="J307" s="90"/>
      <c r="K307" s="90"/>
      <c r="L307" s="90"/>
      <c r="M307" s="90"/>
      <c r="N307" s="90"/>
      <c r="O307" s="90"/>
      <c r="P307" s="90"/>
      <c r="Q307" s="90"/>
      <c r="R307" s="90"/>
      <c r="S307" s="99"/>
      <c r="T307" s="2"/>
    </row>
    <row r="308" spans="1:20" x14ac:dyDescent="0.25">
      <c r="A308" s="3"/>
      <c r="B308" s="3"/>
      <c r="C308" s="3"/>
      <c r="D308" s="3"/>
      <c r="E308" s="3"/>
      <c r="F308" s="3"/>
      <c r="G308" s="3"/>
      <c r="H308" s="3"/>
      <c r="I308" s="3"/>
      <c r="J308" s="3"/>
      <c r="K308" s="3"/>
      <c r="L308" s="3"/>
      <c r="M308" s="3"/>
      <c r="N308" s="3"/>
      <c r="O308" s="3"/>
      <c r="P308" s="3"/>
      <c r="Q308" s="3"/>
      <c r="R308" s="3"/>
      <c r="S308" s="3"/>
    </row>
  </sheetData>
  <phoneticPr fontId="0" type="noConversion"/>
  <hyperlinks>
    <hyperlink ref="N243"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3" max="18" man="1"/>
    <brk id="205" max="18" man="1"/>
  </rowBreaks>
  <colBreaks count="1" manualBreakCount="1">
    <brk id="19" max="299" man="1"/>
  </col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R307"/>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221</v>
      </c>
      <c r="C1" s="11"/>
      <c r="D1" s="11"/>
      <c r="E1" s="11"/>
      <c r="F1" s="11"/>
      <c r="G1" s="11"/>
      <c r="H1" s="11"/>
      <c r="I1" s="11"/>
      <c r="J1" s="11"/>
      <c r="K1" s="11"/>
      <c r="L1" s="11"/>
      <c r="M1" s="11"/>
      <c r="N1" s="11"/>
      <c r="O1" s="11"/>
      <c r="P1" s="11"/>
      <c r="Q1" s="11"/>
      <c r="R1" s="11"/>
      <c r="S1" s="216"/>
      <c r="T1" s="2"/>
    </row>
    <row r="2" spans="1:20" ht="15.6" x14ac:dyDescent="0.3">
      <c r="A2" s="12"/>
      <c r="B2" s="13"/>
      <c r="C2" s="14"/>
      <c r="D2" s="14"/>
      <c r="E2" s="14"/>
      <c r="F2" s="14"/>
      <c r="G2" s="14"/>
      <c r="H2" s="14"/>
      <c r="I2" s="14"/>
      <c r="J2" s="14"/>
      <c r="K2" s="14"/>
      <c r="L2" s="14"/>
      <c r="M2" s="14"/>
      <c r="N2" s="14"/>
      <c r="O2" s="14"/>
      <c r="P2" s="14"/>
      <c r="Q2" s="14"/>
      <c r="R2" s="14"/>
      <c r="S2" s="217"/>
      <c r="T2" s="2"/>
    </row>
    <row r="3" spans="1:20" ht="15.6" x14ac:dyDescent="0.3">
      <c r="A3" s="15"/>
      <c r="B3" s="16" t="s">
        <v>222</v>
      </c>
      <c r="C3" s="14"/>
      <c r="D3" s="14"/>
      <c r="E3" s="14"/>
      <c r="F3" s="14"/>
      <c r="G3" s="14"/>
      <c r="H3" s="14"/>
      <c r="I3" s="14"/>
      <c r="J3" s="14"/>
      <c r="K3" s="14"/>
      <c r="L3" s="14"/>
      <c r="M3" s="14"/>
      <c r="N3" s="14"/>
      <c r="O3" s="14"/>
      <c r="P3" s="14"/>
      <c r="Q3" s="14"/>
      <c r="R3" s="14"/>
      <c r="S3" s="217"/>
      <c r="T3" s="2"/>
    </row>
    <row r="4" spans="1:20" ht="15.6" x14ac:dyDescent="0.3">
      <c r="A4" s="12"/>
      <c r="B4" s="13"/>
      <c r="C4" s="14"/>
      <c r="D4" s="14"/>
      <c r="E4" s="14"/>
      <c r="F4" s="14"/>
      <c r="G4" s="14"/>
      <c r="H4" s="14"/>
      <c r="I4" s="14"/>
      <c r="J4" s="14"/>
      <c r="K4" s="14"/>
      <c r="L4" s="14"/>
      <c r="M4" s="14"/>
      <c r="N4" s="14"/>
      <c r="O4" s="14"/>
      <c r="P4" s="14"/>
      <c r="Q4" s="14"/>
      <c r="R4" s="14"/>
      <c r="S4" s="217"/>
      <c r="T4" s="2"/>
    </row>
    <row r="5" spans="1:20" ht="15.6" x14ac:dyDescent="0.3">
      <c r="A5" s="12"/>
      <c r="B5" s="102" t="s">
        <v>109</v>
      </c>
      <c r="C5" s="14"/>
      <c r="D5" s="14"/>
      <c r="E5" s="14"/>
      <c r="F5" s="14"/>
      <c r="G5" s="14"/>
      <c r="H5" s="14"/>
      <c r="I5" s="14"/>
      <c r="J5" s="14"/>
      <c r="K5" s="14"/>
      <c r="L5" s="14"/>
      <c r="M5" s="14"/>
      <c r="N5" s="14"/>
      <c r="O5" s="14"/>
      <c r="P5" s="14"/>
      <c r="Q5" s="14"/>
      <c r="R5" s="14"/>
      <c r="S5" s="217"/>
      <c r="T5" s="2"/>
    </row>
    <row r="6" spans="1:20" ht="15.6" x14ac:dyDescent="0.3">
      <c r="A6" s="12"/>
      <c r="B6" s="102" t="s">
        <v>111</v>
      </c>
      <c r="C6" s="14"/>
      <c r="D6" s="14"/>
      <c r="E6" s="14"/>
      <c r="F6" s="14"/>
      <c r="G6" s="14"/>
      <c r="H6" s="14"/>
      <c r="I6" s="14"/>
      <c r="J6" s="14"/>
      <c r="K6" s="14"/>
      <c r="L6" s="14"/>
      <c r="M6" s="14"/>
      <c r="N6" s="14"/>
      <c r="O6" s="14"/>
      <c r="P6" s="14"/>
      <c r="Q6" s="14"/>
      <c r="R6" s="14"/>
      <c r="S6" s="217"/>
      <c r="T6" s="2"/>
    </row>
    <row r="7" spans="1:20" ht="15.6" x14ac:dyDescent="0.3">
      <c r="A7" s="12"/>
      <c r="B7" s="102" t="s">
        <v>110</v>
      </c>
      <c r="C7" s="14"/>
      <c r="D7" s="14"/>
      <c r="E7" s="14"/>
      <c r="F7" s="14"/>
      <c r="G7" s="14"/>
      <c r="H7" s="14"/>
      <c r="I7" s="14"/>
      <c r="J7" s="14"/>
      <c r="K7" s="14"/>
      <c r="L7" s="14"/>
      <c r="M7" s="14"/>
      <c r="N7" s="14"/>
      <c r="O7" s="14"/>
      <c r="P7" s="14"/>
      <c r="Q7" s="14"/>
      <c r="R7" s="14"/>
      <c r="S7" s="217"/>
      <c r="T7" s="2"/>
    </row>
    <row r="8" spans="1:20" ht="15.6" x14ac:dyDescent="0.3">
      <c r="A8" s="12"/>
      <c r="B8" s="17"/>
      <c r="C8" s="14"/>
      <c r="D8" s="14"/>
      <c r="E8" s="14"/>
      <c r="F8" s="14"/>
      <c r="G8" s="14"/>
      <c r="H8" s="14"/>
      <c r="I8" s="14"/>
      <c r="J8" s="14"/>
      <c r="K8" s="14"/>
      <c r="L8" s="14"/>
      <c r="M8" s="14"/>
      <c r="N8" s="14"/>
      <c r="O8" s="14"/>
      <c r="P8" s="14"/>
      <c r="Q8" s="14"/>
      <c r="R8" s="14"/>
      <c r="S8" s="217"/>
      <c r="T8" s="2"/>
    </row>
    <row r="9" spans="1:20" ht="17.399999999999999" x14ac:dyDescent="0.3">
      <c r="A9" s="12"/>
      <c r="B9" s="18" t="s">
        <v>127</v>
      </c>
      <c r="C9" s="14"/>
      <c r="D9" s="14"/>
      <c r="E9" s="19"/>
      <c r="F9" s="14"/>
      <c r="G9" s="14"/>
      <c r="H9" s="19"/>
      <c r="I9" s="14"/>
      <c r="J9" s="19"/>
      <c r="K9" s="19" t="s">
        <v>128</v>
      </c>
      <c r="L9" s="19"/>
      <c r="M9" s="14"/>
      <c r="N9" s="14"/>
      <c r="O9" s="14"/>
      <c r="P9" s="14"/>
      <c r="Q9" s="14"/>
      <c r="R9" s="14"/>
      <c r="S9" s="217"/>
      <c r="T9" s="2"/>
    </row>
    <row r="10" spans="1:20" ht="15.6" x14ac:dyDescent="0.3">
      <c r="A10" s="12"/>
      <c r="B10" s="17"/>
      <c r="C10" s="20"/>
      <c r="D10" s="14"/>
      <c r="E10" s="14"/>
      <c r="F10" s="14"/>
      <c r="G10" s="14"/>
      <c r="H10" s="14"/>
      <c r="I10" s="14"/>
      <c r="J10" s="14"/>
      <c r="K10" s="14"/>
      <c r="L10" s="14"/>
      <c r="M10" s="14"/>
      <c r="N10" s="14"/>
      <c r="O10" s="14"/>
      <c r="P10" s="14"/>
      <c r="Q10" s="14"/>
      <c r="R10" s="14"/>
      <c r="S10" s="217"/>
      <c r="T10" s="2"/>
    </row>
    <row r="11" spans="1:20" ht="15.6" x14ac:dyDescent="0.3">
      <c r="A11" s="12"/>
      <c r="B11" s="88" t="s">
        <v>0</v>
      </c>
      <c r="C11" s="14"/>
      <c r="D11" s="14"/>
      <c r="E11" s="14"/>
      <c r="F11" s="14"/>
      <c r="G11" s="14"/>
      <c r="H11" s="14"/>
      <c r="I11" s="14"/>
      <c r="J11" s="14"/>
      <c r="K11" s="14"/>
      <c r="L11" s="14"/>
      <c r="M11" s="14"/>
      <c r="N11" s="14"/>
      <c r="O11" s="14"/>
      <c r="P11" s="14"/>
      <c r="Q11" s="14"/>
      <c r="R11" s="14"/>
      <c r="S11" s="217"/>
      <c r="T11" s="2"/>
    </row>
    <row r="12" spans="1:20" ht="16.2" thickBot="1" x14ac:dyDescent="0.35">
      <c r="A12" s="12"/>
      <c r="B12" s="20"/>
      <c r="C12" s="14"/>
      <c r="D12" s="14"/>
      <c r="E12" s="14"/>
      <c r="F12" s="14"/>
      <c r="G12" s="14"/>
      <c r="H12" s="14"/>
      <c r="I12" s="14"/>
      <c r="J12" s="14"/>
      <c r="K12" s="14"/>
      <c r="L12" s="14"/>
      <c r="M12" s="14"/>
      <c r="N12" s="14"/>
      <c r="O12" s="14"/>
      <c r="P12" s="14"/>
      <c r="Q12" s="14"/>
      <c r="R12" s="14"/>
      <c r="S12" s="217"/>
      <c r="T12" s="2"/>
    </row>
    <row r="13" spans="1:20" ht="15.6" x14ac:dyDescent="0.3">
      <c r="A13" s="10"/>
      <c r="B13" s="11"/>
      <c r="C13" s="11"/>
      <c r="D13" s="11"/>
      <c r="E13" s="11"/>
      <c r="F13" s="11"/>
      <c r="G13" s="11"/>
      <c r="H13" s="11"/>
      <c r="I13" s="11"/>
      <c r="J13" s="11"/>
      <c r="K13" s="11"/>
      <c r="L13" s="11"/>
      <c r="M13" s="11"/>
      <c r="N13" s="11"/>
      <c r="O13" s="11"/>
      <c r="P13" s="11"/>
      <c r="Q13" s="11"/>
      <c r="R13" s="11"/>
      <c r="S13" s="216"/>
      <c r="T13" s="2"/>
    </row>
    <row r="14" spans="1:20" ht="15.6" x14ac:dyDescent="0.3">
      <c r="A14" s="12"/>
      <c r="B14" s="88" t="s">
        <v>1</v>
      </c>
      <c r="C14" s="84"/>
      <c r="D14" s="84"/>
      <c r="E14" s="84"/>
      <c r="F14" s="84"/>
      <c r="G14" s="84"/>
      <c r="H14" s="84"/>
      <c r="I14" s="84"/>
      <c r="J14" s="84"/>
      <c r="K14" s="84"/>
      <c r="L14" s="84"/>
      <c r="M14" s="84"/>
      <c r="N14" s="84"/>
      <c r="O14" s="84"/>
      <c r="P14" s="84"/>
      <c r="Q14" s="84"/>
      <c r="R14" s="103" t="s">
        <v>223</v>
      </c>
      <c r="S14" s="218"/>
      <c r="T14" s="2"/>
    </row>
    <row r="15" spans="1:20" ht="15.6" x14ac:dyDescent="0.3">
      <c r="A15" s="12"/>
      <c r="B15" s="88" t="s">
        <v>2</v>
      </c>
      <c r="C15" s="84"/>
      <c r="D15" s="104"/>
      <c r="E15" s="104"/>
      <c r="F15" s="104"/>
      <c r="G15" s="104"/>
      <c r="H15" s="104"/>
      <c r="I15" s="104"/>
      <c r="J15" s="104"/>
      <c r="K15" s="104"/>
      <c r="L15" s="104"/>
      <c r="M15" s="104"/>
      <c r="N15" s="105"/>
      <c r="O15" s="105"/>
      <c r="P15" s="105" t="s">
        <v>154</v>
      </c>
      <c r="Q15" s="105">
        <v>1</v>
      </c>
      <c r="R15" s="103"/>
      <c r="S15" s="218"/>
      <c r="T15" s="2"/>
    </row>
    <row r="16" spans="1:20" ht="15.6" x14ac:dyDescent="0.3">
      <c r="A16" s="12"/>
      <c r="B16" s="88" t="s">
        <v>3</v>
      </c>
      <c r="C16" s="84"/>
      <c r="D16" s="104"/>
      <c r="E16" s="104"/>
      <c r="F16" s="104"/>
      <c r="G16" s="104"/>
      <c r="H16" s="104"/>
      <c r="I16" s="104"/>
      <c r="J16" s="104"/>
      <c r="K16" s="104"/>
      <c r="L16" s="104"/>
      <c r="M16" s="104"/>
      <c r="N16" s="105"/>
      <c r="O16" s="230"/>
      <c r="P16" s="105" t="s">
        <v>154</v>
      </c>
      <c r="Q16" s="230">
        <v>1</v>
      </c>
      <c r="R16" s="103"/>
      <c r="S16" s="218"/>
      <c r="T16" s="2"/>
    </row>
    <row r="17" spans="1:23" ht="15.6" x14ac:dyDescent="0.3">
      <c r="A17" s="12"/>
      <c r="B17" s="88" t="s">
        <v>4</v>
      </c>
      <c r="C17" s="84"/>
      <c r="D17" s="84"/>
      <c r="E17" s="84"/>
      <c r="F17" s="84"/>
      <c r="G17" s="84"/>
      <c r="H17" s="84"/>
      <c r="I17" s="84"/>
      <c r="J17" s="84"/>
      <c r="K17" s="84"/>
      <c r="L17" s="84"/>
      <c r="M17" s="84"/>
      <c r="N17" s="84"/>
      <c r="O17" s="84"/>
      <c r="P17" s="84"/>
      <c r="Q17" s="84"/>
      <c r="R17" s="106">
        <v>42088</v>
      </c>
      <c r="S17" s="218"/>
      <c r="T17" s="2"/>
    </row>
    <row r="18" spans="1:23" ht="15.6" x14ac:dyDescent="0.3">
      <c r="A18" s="12"/>
      <c r="B18" s="88" t="s">
        <v>5</v>
      </c>
      <c r="C18" s="84"/>
      <c r="D18" s="84"/>
      <c r="E18" s="84"/>
      <c r="F18" s="84"/>
      <c r="G18" s="84"/>
      <c r="H18" s="84"/>
      <c r="I18" s="84"/>
      <c r="J18" s="84"/>
      <c r="K18" s="84"/>
      <c r="L18" s="84"/>
      <c r="M18" s="84"/>
      <c r="N18" s="84"/>
      <c r="O18" s="84"/>
      <c r="P18" s="84"/>
      <c r="Q18" s="84"/>
      <c r="R18" s="215">
        <v>42996</v>
      </c>
      <c r="S18" s="218"/>
      <c r="T18" s="2"/>
    </row>
    <row r="19" spans="1:23" ht="15.6" x14ac:dyDescent="0.3">
      <c r="A19" s="12"/>
      <c r="B19" s="14"/>
      <c r="C19" s="14"/>
      <c r="D19" s="14"/>
      <c r="E19" s="14"/>
      <c r="F19" s="14"/>
      <c r="G19" s="14"/>
      <c r="H19" s="14"/>
      <c r="I19" s="14"/>
      <c r="J19" s="14"/>
      <c r="K19" s="14"/>
      <c r="L19" s="14"/>
      <c r="M19" s="14"/>
      <c r="N19" s="14"/>
      <c r="O19" s="14"/>
      <c r="P19" s="14"/>
      <c r="Q19" s="14"/>
      <c r="R19" s="21"/>
      <c r="S19" s="217"/>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7"/>
      <c r="T20" s="2"/>
    </row>
    <row r="21" spans="1:23" ht="15.6" x14ac:dyDescent="0.3">
      <c r="A21" s="12"/>
      <c r="B21" s="14"/>
      <c r="C21" s="14"/>
      <c r="D21" s="14"/>
      <c r="E21" s="14"/>
      <c r="F21" s="14"/>
      <c r="G21" s="14"/>
      <c r="H21" s="14"/>
      <c r="I21" s="14"/>
      <c r="J21" s="14"/>
      <c r="K21" s="14"/>
      <c r="L21" s="14"/>
      <c r="M21" s="14"/>
      <c r="N21" s="14"/>
      <c r="O21" s="14"/>
      <c r="P21" s="14"/>
      <c r="Q21" s="14"/>
      <c r="R21" s="23"/>
      <c r="S21" s="217"/>
      <c r="T21" s="2"/>
    </row>
    <row r="22" spans="1:23" ht="15.6" x14ac:dyDescent="0.3">
      <c r="A22" s="53"/>
      <c r="B22" s="54"/>
      <c r="C22" s="55"/>
      <c r="D22" s="55" t="s">
        <v>232</v>
      </c>
      <c r="E22" s="55"/>
      <c r="F22" s="55" t="s">
        <v>233</v>
      </c>
      <c r="G22" s="55"/>
      <c r="H22" s="55" t="s">
        <v>179</v>
      </c>
      <c r="I22" s="55"/>
      <c r="J22" s="55" t="s">
        <v>180</v>
      </c>
      <c r="K22" s="55"/>
      <c r="L22" s="55" t="s">
        <v>234</v>
      </c>
      <c r="M22" s="55"/>
      <c r="N22" s="55"/>
      <c r="O22" s="56"/>
      <c r="P22" s="57"/>
      <c r="Q22" s="58"/>
      <c r="R22" s="58"/>
      <c r="S22" s="219"/>
      <c r="T22" s="2"/>
    </row>
    <row r="23" spans="1:23" ht="15.6" x14ac:dyDescent="0.3">
      <c r="A23" s="24"/>
      <c r="B23" s="79" t="s">
        <v>226</v>
      </c>
      <c r="C23" s="109"/>
      <c r="D23" s="109" t="s">
        <v>112</v>
      </c>
      <c r="E23" s="109"/>
      <c r="F23" s="109" t="s">
        <v>112</v>
      </c>
      <c r="G23" s="109"/>
      <c r="H23" s="109" t="s">
        <v>178</v>
      </c>
      <c r="I23" s="109"/>
      <c r="J23" s="109" t="s">
        <v>249</v>
      </c>
      <c r="K23" s="109"/>
      <c r="L23" s="109" t="s">
        <v>153</v>
      </c>
      <c r="M23" s="109"/>
      <c r="N23" s="109"/>
      <c r="O23" s="109"/>
      <c r="P23" s="109"/>
      <c r="Q23" s="100"/>
      <c r="R23" s="100"/>
      <c r="S23" s="220"/>
      <c r="T23" s="2"/>
    </row>
    <row r="24" spans="1:23" ht="15.6" x14ac:dyDescent="0.3">
      <c r="A24" s="117"/>
      <c r="B24" s="113" t="s">
        <v>197</v>
      </c>
      <c r="C24" s="119"/>
      <c r="D24" s="114" t="s">
        <v>199</v>
      </c>
      <c r="E24" s="114"/>
      <c r="F24" s="114" t="s">
        <v>199</v>
      </c>
      <c r="G24" s="114"/>
      <c r="H24" s="114" t="s">
        <v>200</v>
      </c>
      <c r="I24" s="114"/>
      <c r="J24" s="114" t="s">
        <v>201</v>
      </c>
      <c r="K24" s="114"/>
      <c r="L24" s="114" t="s">
        <v>153</v>
      </c>
      <c r="M24" s="114"/>
      <c r="N24" s="114"/>
      <c r="O24" s="119"/>
      <c r="P24" s="114"/>
      <c r="Q24" s="115"/>
      <c r="R24" s="115"/>
      <c r="S24" s="116"/>
      <c r="T24" s="2"/>
    </row>
    <row r="25" spans="1:23" ht="15.6" x14ac:dyDescent="0.3">
      <c r="A25" s="120"/>
      <c r="B25" s="124" t="s">
        <v>227</v>
      </c>
      <c r="C25" s="119"/>
      <c r="D25" s="119" t="s">
        <v>112</v>
      </c>
      <c r="E25" s="119"/>
      <c r="F25" s="119" t="s">
        <v>112</v>
      </c>
      <c r="G25" s="119"/>
      <c r="H25" s="119" t="s">
        <v>178</v>
      </c>
      <c r="I25" s="119"/>
      <c r="J25" s="119" t="s">
        <v>249</v>
      </c>
      <c r="K25" s="119"/>
      <c r="L25" s="119" t="s">
        <v>153</v>
      </c>
      <c r="M25" s="119"/>
      <c r="N25" s="119"/>
      <c r="O25" s="119"/>
      <c r="P25" s="114"/>
      <c r="Q25" s="115"/>
      <c r="R25" s="115"/>
      <c r="S25" s="116"/>
      <c r="T25" s="2"/>
      <c r="U25" s="211"/>
      <c r="W25" s="212"/>
    </row>
    <row r="26" spans="1:23" ht="15.6" x14ac:dyDescent="0.3">
      <c r="A26" s="122"/>
      <c r="B26" s="124" t="s">
        <v>198</v>
      </c>
      <c r="C26" s="114"/>
      <c r="D26" s="119" t="s">
        <v>199</v>
      </c>
      <c r="E26" s="119"/>
      <c r="F26" s="119" t="s">
        <v>199</v>
      </c>
      <c r="G26" s="119"/>
      <c r="H26" s="119" t="s">
        <v>200</v>
      </c>
      <c r="I26" s="119"/>
      <c r="J26" s="119" t="s">
        <v>201</v>
      </c>
      <c r="K26" s="119"/>
      <c r="L26" s="119" t="s">
        <v>153</v>
      </c>
      <c r="M26" s="119"/>
      <c r="N26" s="119"/>
      <c r="O26" s="114"/>
      <c r="P26" s="123"/>
      <c r="Q26" s="115"/>
      <c r="R26" s="115"/>
      <c r="S26" s="116"/>
      <c r="T26" s="2"/>
      <c r="U26" s="211"/>
      <c r="W26" s="212"/>
    </row>
    <row r="27" spans="1:23" ht="15.6" x14ac:dyDescent="0.3">
      <c r="A27" s="122"/>
      <c r="B27" s="113" t="s">
        <v>7</v>
      </c>
      <c r="C27" s="125"/>
      <c r="D27" s="114" t="s">
        <v>228</v>
      </c>
      <c r="E27" s="114"/>
      <c r="F27" s="114" t="s">
        <v>242</v>
      </c>
      <c r="G27" s="114"/>
      <c r="H27" s="114" t="s">
        <v>243</v>
      </c>
      <c r="I27" s="114"/>
      <c r="J27" s="114" t="s">
        <v>244</v>
      </c>
      <c r="K27" s="114"/>
      <c r="L27" s="114" t="s">
        <v>245</v>
      </c>
      <c r="M27" s="114"/>
      <c r="N27" s="114"/>
      <c r="O27" s="126"/>
      <c r="P27" s="126"/>
      <c r="Q27" s="127"/>
      <c r="R27" s="126"/>
      <c r="S27" s="128"/>
      <c r="T27" s="2"/>
      <c r="U27" s="211"/>
      <c r="W27" s="212"/>
    </row>
    <row r="28" spans="1:23" ht="15.6" x14ac:dyDescent="0.3">
      <c r="A28" s="120"/>
      <c r="B28" s="113" t="s">
        <v>106</v>
      </c>
      <c r="C28" s="129"/>
      <c r="D28" s="235">
        <v>164000</v>
      </c>
      <c r="E28" s="130"/>
      <c r="F28" s="201">
        <v>151700</v>
      </c>
      <c r="G28" s="198"/>
      <c r="H28" s="201">
        <v>12000</v>
      </c>
      <c r="I28" s="198"/>
      <c r="J28" s="201">
        <v>12000</v>
      </c>
      <c r="K28" s="126"/>
      <c r="L28" s="201">
        <v>7500</v>
      </c>
      <c r="M28" s="126"/>
      <c r="N28" s="130"/>
      <c r="O28" s="131"/>
      <c r="P28" s="131"/>
      <c r="Q28" s="132"/>
      <c r="R28" s="126"/>
      <c r="S28" s="128"/>
      <c r="T28" s="2"/>
    </row>
    <row r="29" spans="1:23" ht="15.6" x14ac:dyDescent="0.3">
      <c r="A29" s="122"/>
      <c r="B29" s="113" t="s">
        <v>105</v>
      </c>
      <c r="C29" s="125"/>
      <c r="D29" s="235">
        <f>D28*D35</f>
        <v>82521.388800000015</v>
      </c>
      <c r="E29" s="130"/>
      <c r="F29" s="201">
        <f>F28*F35</f>
        <v>76332.284640000013</v>
      </c>
      <c r="G29" s="201"/>
      <c r="H29" s="201">
        <f>H28</f>
        <v>12000</v>
      </c>
      <c r="I29" s="201"/>
      <c r="J29" s="201">
        <f>J28</f>
        <v>12000</v>
      </c>
      <c r="K29" s="126"/>
      <c r="L29" s="201">
        <f>L28</f>
        <v>7500</v>
      </c>
      <c r="M29" s="126"/>
      <c r="N29" s="130"/>
      <c r="O29" s="126"/>
      <c r="P29" s="126"/>
      <c r="Q29" s="127"/>
      <c r="R29" s="126"/>
      <c r="S29" s="128"/>
      <c r="T29" s="2"/>
    </row>
    <row r="30" spans="1:23" ht="15.6" x14ac:dyDescent="0.3">
      <c r="A30" s="122"/>
      <c r="B30" s="121" t="s">
        <v>107</v>
      </c>
      <c r="C30" s="125"/>
      <c r="D30" s="236">
        <f>D28*D34</f>
        <v>58361.253199999999</v>
      </c>
      <c r="E30" s="202"/>
      <c r="F30" s="202">
        <f t="shared" ref="F30" si="0">F28*F34</f>
        <v>53984.159209999998</v>
      </c>
      <c r="G30" s="202"/>
      <c r="H30" s="202">
        <f t="shared" ref="H30" si="1">H28*H34</f>
        <v>12000</v>
      </c>
      <c r="I30" s="202"/>
      <c r="J30" s="202">
        <f t="shared" ref="J30" si="2">J28*J34</f>
        <v>12000</v>
      </c>
      <c r="K30" s="202"/>
      <c r="L30" s="202">
        <f t="shared" ref="L30" si="3">L28*L34</f>
        <v>7500</v>
      </c>
      <c r="M30" s="131"/>
      <c r="N30" s="133"/>
      <c r="O30" s="126"/>
      <c r="P30" s="126"/>
      <c r="Q30" s="127"/>
      <c r="R30" s="203"/>
      <c r="S30" s="128"/>
      <c r="T30" s="2"/>
    </row>
    <row r="31" spans="1:23" ht="15.6" x14ac:dyDescent="0.3">
      <c r="A31" s="122"/>
      <c r="B31" s="113" t="s">
        <v>229</v>
      </c>
      <c r="C31" s="125"/>
      <c r="D31" s="201">
        <v>116809</v>
      </c>
      <c r="E31" s="201"/>
      <c r="F31" s="201">
        <v>151700</v>
      </c>
      <c r="G31" s="201"/>
      <c r="H31" s="201">
        <v>12000</v>
      </c>
      <c r="I31" s="201"/>
      <c r="J31" s="201">
        <v>12000</v>
      </c>
      <c r="K31" s="201"/>
      <c r="L31" s="201">
        <v>7500</v>
      </c>
      <c r="M31" s="126"/>
      <c r="N31" s="133"/>
      <c r="O31" s="126"/>
      <c r="P31" s="126"/>
      <c r="Q31" s="127"/>
      <c r="R31" s="126">
        <f>SUM(D31:L31)</f>
        <v>300009</v>
      </c>
      <c r="S31" s="128"/>
      <c r="T31" s="2"/>
    </row>
    <row r="32" spans="1:23" ht="15.6" x14ac:dyDescent="0.3">
      <c r="A32" s="122"/>
      <c r="B32" s="113" t="s">
        <v>230</v>
      </c>
      <c r="C32" s="125"/>
      <c r="D32" s="201">
        <f>D31*D35</f>
        <v>58775.859172800003</v>
      </c>
      <c r="E32" s="201"/>
      <c r="F32" s="201">
        <f>F31*F35</f>
        <v>76332.284640000013</v>
      </c>
      <c r="G32" s="201"/>
      <c r="H32" s="201">
        <f>H31</f>
        <v>12000</v>
      </c>
      <c r="I32" s="201"/>
      <c r="J32" s="201">
        <f>+J31</f>
        <v>12000</v>
      </c>
      <c r="K32" s="201"/>
      <c r="L32" s="201">
        <f>L31</f>
        <v>7500</v>
      </c>
      <c r="M32" s="126"/>
      <c r="N32" s="133"/>
      <c r="O32" s="126"/>
      <c r="P32" s="126"/>
      <c r="Q32" s="127"/>
      <c r="R32" s="126">
        <f>SUM(D32:L32)</f>
        <v>166608.1438128</v>
      </c>
      <c r="S32" s="128"/>
      <c r="T32" s="2"/>
    </row>
    <row r="33" spans="1:20" ht="15.6" x14ac:dyDescent="0.3">
      <c r="A33" s="122"/>
      <c r="B33" s="124" t="s">
        <v>231</v>
      </c>
      <c r="C33" s="125"/>
      <c r="D33" s="237">
        <f>D31*D34</f>
        <v>41567.802591699998</v>
      </c>
      <c r="E33" s="237"/>
      <c r="F33" s="237">
        <f>F31*F34</f>
        <v>53984.159209999998</v>
      </c>
      <c r="G33" s="237"/>
      <c r="H33" s="237">
        <f t="shared" ref="H33:L33" si="4">H31*H34</f>
        <v>12000</v>
      </c>
      <c r="I33" s="237"/>
      <c r="J33" s="237">
        <f t="shared" si="4"/>
        <v>12000</v>
      </c>
      <c r="K33" s="237"/>
      <c r="L33" s="237">
        <f t="shared" si="4"/>
        <v>7500</v>
      </c>
      <c r="M33" s="131"/>
      <c r="N33" s="133"/>
      <c r="O33" s="126"/>
      <c r="P33" s="126"/>
      <c r="Q33" s="127"/>
      <c r="R33" s="203">
        <f>SUM(D33:L33)</f>
        <v>127051.9618017</v>
      </c>
      <c r="S33" s="128"/>
      <c r="T33" s="2"/>
    </row>
    <row r="34" spans="1:20" ht="15.6" x14ac:dyDescent="0.3">
      <c r="A34" s="112"/>
      <c r="B34" s="134" t="s">
        <v>103</v>
      </c>
      <c r="C34" s="135"/>
      <c r="D34" s="136">
        <v>0.35586129999999999</v>
      </c>
      <c r="E34" s="136"/>
      <c r="F34" s="136">
        <v>0.35586129999999999</v>
      </c>
      <c r="G34" s="136"/>
      <c r="H34" s="136">
        <v>1</v>
      </c>
      <c r="I34" s="136"/>
      <c r="J34" s="136">
        <v>1</v>
      </c>
      <c r="K34" s="136"/>
      <c r="L34" s="136">
        <v>1</v>
      </c>
      <c r="M34" s="136"/>
      <c r="N34" s="136"/>
      <c r="O34" s="137"/>
      <c r="P34" s="137"/>
      <c r="Q34" s="138"/>
      <c r="R34" s="204"/>
      <c r="S34" s="139"/>
      <c r="T34" s="2"/>
    </row>
    <row r="35" spans="1:20" ht="15.6" x14ac:dyDescent="0.3">
      <c r="A35" s="112"/>
      <c r="B35" s="134" t="s">
        <v>104</v>
      </c>
      <c r="C35" s="135"/>
      <c r="D35" s="136">
        <v>0.50317920000000005</v>
      </c>
      <c r="E35" s="136"/>
      <c r="F35" s="136">
        <v>0.50317920000000005</v>
      </c>
      <c r="G35" s="136"/>
      <c r="H35" s="136">
        <v>1</v>
      </c>
      <c r="I35" s="136"/>
      <c r="J35" s="136">
        <v>1</v>
      </c>
      <c r="K35" s="136"/>
      <c r="L35" s="136">
        <v>1</v>
      </c>
      <c r="M35" s="136"/>
      <c r="N35" s="136"/>
      <c r="O35" s="140"/>
      <c r="P35" s="141"/>
      <c r="Q35" s="138"/>
      <c r="R35" s="140"/>
      <c r="S35" s="139"/>
      <c r="T35" s="2"/>
    </row>
    <row r="36" spans="1:20" ht="15.6" x14ac:dyDescent="0.3">
      <c r="A36" s="112"/>
      <c r="B36" s="113" t="s">
        <v>8</v>
      </c>
      <c r="C36" s="113"/>
      <c r="D36" s="123" t="s">
        <v>240</v>
      </c>
      <c r="E36" s="123"/>
      <c r="F36" s="123" t="s">
        <v>220</v>
      </c>
      <c r="G36" s="123"/>
      <c r="H36" s="123" t="s">
        <v>247</v>
      </c>
      <c r="I36" s="123"/>
      <c r="J36" s="123" t="s">
        <v>250</v>
      </c>
      <c r="K36" s="123"/>
      <c r="L36" s="123" t="s">
        <v>252</v>
      </c>
      <c r="M36" s="123"/>
      <c r="N36" s="123"/>
      <c r="O36" s="142"/>
      <c r="P36" s="143"/>
      <c r="Q36" s="115"/>
      <c r="R36" s="115"/>
      <c r="S36" s="116"/>
      <c r="T36" s="2"/>
    </row>
    <row r="37" spans="1:20" ht="15.6" x14ac:dyDescent="0.3">
      <c r="A37" s="112"/>
      <c r="B37" s="113" t="s">
        <v>9</v>
      </c>
      <c r="C37" s="144"/>
      <c r="D37" s="143">
        <v>1.6900000000000001E-3</v>
      </c>
      <c r="E37" s="143"/>
      <c r="F37" s="143">
        <v>1.08869E-2</v>
      </c>
      <c r="G37" s="143"/>
      <c r="H37" s="143">
        <v>1.6386899999999999E-2</v>
      </c>
      <c r="I37" s="143"/>
      <c r="J37" s="143">
        <v>1.9386899999999999E-2</v>
      </c>
      <c r="K37" s="143"/>
      <c r="L37" s="143">
        <v>2.2886900000000002E-2</v>
      </c>
      <c r="M37" s="142"/>
      <c r="N37" s="143"/>
      <c r="O37" s="123"/>
      <c r="P37" s="123"/>
      <c r="Q37" s="115"/>
      <c r="R37" s="142"/>
      <c r="S37" s="116"/>
      <c r="T37" s="2"/>
    </row>
    <row r="38" spans="1:20" ht="15.6" x14ac:dyDescent="0.3">
      <c r="A38" s="112"/>
      <c r="B38" s="113" t="s">
        <v>10</v>
      </c>
      <c r="C38" s="144"/>
      <c r="D38" s="143">
        <v>1.6999999999999999E-3</v>
      </c>
      <c r="E38" s="143"/>
      <c r="F38" s="143">
        <v>1.1438800000000001E-2</v>
      </c>
      <c r="G38" s="143"/>
      <c r="H38" s="143">
        <v>1.69388E-2</v>
      </c>
      <c r="I38" s="143"/>
      <c r="J38" s="143">
        <v>1.99388E-2</v>
      </c>
      <c r="K38" s="143"/>
      <c r="L38" s="143">
        <v>2.3438799999999999E-2</v>
      </c>
      <c r="M38" s="142"/>
      <c r="N38" s="143"/>
      <c r="O38" s="123"/>
      <c r="P38" s="123"/>
      <c r="Q38" s="115"/>
      <c r="R38" s="115"/>
      <c r="S38" s="116"/>
      <c r="T38" s="2"/>
    </row>
    <row r="39" spans="1:20" ht="15.6" x14ac:dyDescent="0.3">
      <c r="A39" s="112"/>
      <c r="B39" s="113" t="s">
        <v>235</v>
      </c>
      <c r="C39" s="144"/>
      <c r="D39" s="240" t="s">
        <v>260</v>
      </c>
      <c r="E39" s="143"/>
      <c r="F39" s="143" t="s">
        <v>220</v>
      </c>
      <c r="G39" s="143"/>
      <c r="H39" s="143" t="s">
        <v>247</v>
      </c>
      <c r="I39" s="143"/>
      <c r="J39" s="123" t="s">
        <v>250</v>
      </c>
      <c r="K39" s="143"/>
      <c r="L39" s="143" t="s">
        <v>252</v>
      </c>
      <c r="M39" s="142"/>
      <c r="N39" s="143"/>
      <c r="O39" s="123"/>
      <c r="P39" s="123"/>
      <c r="Q39" s="115"/>
      <c r="R39" s="115"/>
      <c r="S39" s="116"/>
      <c r="T39" s="2"/>
    </row>
    <row r="40" spans="1:20" ht="15.6" x14ac:dyDescent="0.3">
      <c r="A40" s="112"/>
      <c r="B40" s="113" t="s">
        <v>236</v>
      </c>
      <c r="C40" s="144"/>
      <c r="D40" s="143">
        <v>1.3286900000000001E-2</v>
      </c>
      <c r="E40" s="143"/>
      <c r="F40" s="143">
        <f>+F37</f>
        <v>1.08869E-2</v>
      </c>
      <c r="G40" s="143"/>
      <c r="H40" s="143">
        <f>+H37</f>
        <v>1.6386899999999999E-2</v>
      </c>
      <c r="I40" s="143"/>
      <c r="J40" s="143">
        <f>+J37</f>
        <v>1.9386899999999999E-2</v>
      </c>
      <c r="K40" s="143"/>
      <c r="L40" s="143">
        <f>+L37</f>
        <v>2.2886900000000002E-2</v>
      </c>
      <c r="M40" s="142"/>
      <c r="N40" s="143"/>
      <c r="O40" s="123"/>
      <c r="P40" s="123"/>
      <c r="Q40" s="115"/>
      <c r="R40" s="142">
        <f>SUMPRODUCT(D40:L40,D32:L32)/R32</f>
        <v>1.3282113420438226E-2</v>
      </c>
      <c r="S40" s="116"/>
      <c r="T40" s="2"/>
    </row>
    <row r="41" spans="1:20" ht="15.6" x14ac:dyDescent="0.3">
      <c r="A41" s="112"/>
      <c r="B41" s="113" t="s">
        <v>237</v>
      </c>
      <c r="C41" s="144"/>
      <c r="D41" s="143">
        <v>1.38388E-2</v>
      </c>
      <c r="E41" s="143"/>
      <c r="F41" s="143">
        <f>+F38</f>
        <v>1.1438800000000001E-2</v>
      </c>
      <c r="G41" s="143"/>
      <c r="H41" s="143">
        <f>+H38</f>
        <v>1.69388E-2</v>
      </c>
      <c r="I41" s="143"/>
      <c r="J41" s="143">
        <f>+J38</f>
        <v>1.99388E-2</v>
      </c>
      <c r="K41" s="143"/>
      <c r="L41" s="143">
        <f>+L38</f>
        <v>2.3438799999999999E-2</v>
      </c>
      <c r="M41" s="142"/>
      <c r="N41" s="143"/>
      <c r="O41" s="123"/>
      <c r="P41" s="123"/>
      <c r="Q41" s="115"/>
      <c r="R41" s="115"/>
      <c r="S41" s="116"/>
      <c r="T41" s="2"/>
    </row>
    <row r="42" spans="1:20" ht="15.6" x14ac:dyDescent="0.3">
      <c r="A42" s="112"/>
      <c r="B42" s="113" t="s">
        <v>238</v>
      </c>
      <c r="C42" s="113"/>
      <c r="D42" s="144">
        <v>43631</v>
      </c>
      <c r="E42" s="144"/>
      <c r="F42" s="144">
        <v>43631</v>
      </c>
      <c r="G42" s="144"/>
      <c r="H42" s="144">
        <v>43631</v>
      </c>
      <c r="I42" s="144"/>
      <c r="J42" s="144">
        <v>43631</v>
      </c>
      <c r="K42" s="144"/>
      <c r="L42" s="144">
        <v>43631</v>
      </c>
      <c r="M42" s="144"/>
      <c r="N42" s="144"/>
      <c r="O42" s="123"/>
      <c r="P42" s="123"/>
      <c r="Q42" s="115"/>
      <c r="R42" s="115"/>
      <c r="S42" s="116"/>
      <c r="T42" s="2"/>
    </row>
    <row r="43" spans="1:20" ht="15.6" x14ac:dyDescent="0.3">
      <c r="A43" s="112"/>
      <c r="B43" s="113" t="s">
        <v>11</v>
      </c>
      <c r="C43" s="113"/>
      <c r="D43" s="144">
        <v>43631</v>
      </c>
      <c r="E43" s="144"/>
      <c r="F43" s="144">
        <v>43631</v>
      </c>
      <c r="G43" s="123"/>
      <c r="H43" s="144">
        <v>43631</v>
      </c>
      <c r="I43" s="123"/>
      <c r="J43" s="144">
        <v>43631</v>
      </c>
      <c r="K43" s="123"/>
      <c r="L43" s="144" t="s">
        <v>97</v>
      </c>
      <c r="M43" s="123"/>
      <c r="N43" s="144"/>
      <c r="O43" s="123"/>
      <c r="P43" s="123"/>
      <c r="Q43" s="115"/>
      <c r="R43" s="115"/>
      <c r="S43" s="116"/>
      <c r="T43" s="2"/>
    </row>
    <row r="44" spans="1:20" ht="15.6" x14ac:dyDescent="0.3">
      <c r="A44" s="112"/>
      <c r="B44" s="113" t="s">
        <v>98</v>
      </c>
      <c r="C44" s="113"/>
      <c r="D44" s="123" t="s">
        <v>241</v>
      </c>
      <c r="E44" s="123"/>
      <c r="F44" s="123" t="s">
        <v>246</v>
      </c>
      <c r="G44" s="123"/>
      <c r="H44" s="123" t="s">
        <v>248</v>
      </c>
      <c r="I44" s="123"/>
      <c r="J44" s="123" t="s">
        <v>251</v>
      </c>
      <c r="K44" s="123"/>
      <c r="L44" s="123" t="s">
        <v>97</v>
      </c>
      <c r="M44" s="123"/>
      <c r="N44" s="123"/>
      <c r="O44" s="145"/>
      <c r="P44" s="145"/>
      <c r="Q44" s="145"/>
      <c r="R44" s="145"/>
      <c r="S44" s="116"/>
      <c r="T44" s="2"/>
    </row>
    <row r="45" spans="1:20" ht="15.6" x14ac:dyDescent="0.3">
      <c r="A45" s="112"/>
      <c r="B45" s="113" t="s">
        <v>239</v>
      </c>
      <c r="C45" s="113"/>
      <c r="D45" s="123" t="s">
        <v>273</v>
      </c>
      <c r="E45" s="123"/>
      <c r="F45" s="123" t="s">
        <v>246</v>
      </c>
      <c r="G45" s="123"/>
      <c r="H45" s="123" t="s">
        <v>248</v>
      </c>
      <c r="I45" s="123"/>
      <c r="J45" s="123" t="s">
        <v>251</v>
      </c>
      <c r="K45" s="123"/>
      <c r="L45" s="123" t="s">
        <v>97</v>
      </c>
      <c r="M45" s="123"/>
      <c r="N45" s="123"/>
      <c r="O45" s="145"/>
      <c r="P45" s="145"/>
      <c r="Q45" s="145"/>
      <c r="R45" s="145"/>
      <c r="S45" s="116"/>
      <c r="T45" s="2"/>
    </row>
    <row r="46" spans="1:20" ht="15.6" x14ac:dyDescent="0.3">
      <c r="A46" s="112"/>
      <c r="B46" s="113"/>
      <c r="C46" s="113"/>
      <c r="D46" s="123"/>
      <c r="E46" s="123"/>
      <c r="F46" s="123"/>
      <c r="G46" s="123"/>
      <c r="H46" s="123"/>
      <c r="I46" s="123"/>
      <c r="J46" s="123"/>
      <c r="K46" s="123"/>
      <c r="L46" s="123"/>
      <c r="M46" s="123"/>
      <c r="N46" s="123"/>
      <c r="O46" s="113"/>
      <c r="P46" s="113"/>
      <c r="Q46" s="113"/>
      <c r="R46" s="142" t="s">
        <v>130</v>
      </c>
      <c r="S46" s="116"/>
      <c r="T46" s="2"/>
    </row>
    <row r="47" spans="1:20" ht="15.6" x14ac:dyDescent="0.3">
      <c r="A47" s="112"/>
      <c r="B47" s="113" t="s">
        <v>253</v>
      </c>
      <c r="C47" s="113"/>
      <c r="D47" s="123"/>
      <c r="E47" s="123"/>
      <c r="F47" s="123"/>
      <c r="G47" s="123"/>
      <c r="H47" s="123"/>
      <c r="I47" s="123"/>
      <c r="J47" s="123"/>
      <c r="K47" s="123"/>
      <c r="L47" s="123"/>
      <c r="M47" s="123"/>
      <c r="N47" s="123"/>
      <c r="O47" s="113"/>
      <c r="P47" s="113"/>
      <c r="Q47" s="113"/>
      <c r="R47" s="238">
        <f>SUM(H31:L31)/(D31+F31)</f>
        <v>0.11731450342446621</v>
      </c>
      <c r="S47" s="116"/>
      <c r="T47" s="2"/>
    </row>
    <row r="48" spans="1:20" ht="15.6" x14ac:dyDescent="0.3">
      <c r="A48" s="112"/>
      <c r="B48" s="113" t="s">
        <v>254</v>
      </c>
      <c r="C48" s="113"/>
      <c r="D48" s="113"/>
      <c r="E48" s="113"/>
      <c r="F48" s="113"/>
      <c r="G48" s="113"/>
      <c r="H48" s="113"/>
      <c r="I48" s="113"/>
      <c r="J48" s="113"/>
      <c r="K48" s="113"/>
      <c r="L48" s="113"/>
      <c r="M48" s="113"/>
      <c r="N48" s="113"/>
      <c r="O48" s="113"/>
      <c r="P48" s="113"/>
      <c r="Q48" s="113"/>
      <c r="R48" s="238">
        <f>SUM(H33:L33)/(D33+F33)</f>
        <v>0.32966356112470285</v>
      </c>
      <c r="S48" s="116"/>
      <c r="T48" s="2"/>
    </row>
    <row r="49" spans="1:21" ht="15.6" x14ac:dyDescent="0.3">
      <c r="A49" s="112"/>
      <c r="B49" s="113" t="s">
        <v>255</v>
      </c>
      <c r="C49" s="113"/>
      <c r="D49" s="113"/>
      <c r="E49" s="113"/>
      <c r="F49" s="113"/>
      <c r="G49" s="113"/>
      <c r="H49" s="113"/>
      <c r="I49" s="113"/>
      <c r="J49" s="113"/>
      <c r="K49" s="113"/>
      <c r="L49" s="113"/>
      <c r="M49" s="113"/>
      <c r="N49" s="113"/>
      <c r="O49" s="113"/>
      <c r="P49" s="123"/>
      <c r="Q49" s="123"/>
      <c r="R49" s="126" t="s">
        <v>149</v>
      </c>
      <c r="S49" s="116"/>
      <c r="T49" s="2"/>
    </row>
    <row r="50" spans="1:21" ht="15.6" x14ac:dyDescent="0.3">
      <c r="A50" s="112"/>
      <c r="B50" s="113"/>
      <c r="C50" s="113"/>
      <c r="D50" s="113"/>
      <c r="E50" s="113"/>
      <c r="F50" s="113"/>
      <c r="G50" s="113"/>
      <c r="H50" s="113"/>
      <c r="I50" s="113"/>
      <c r="J50" s="113"/>
      <c r="K50" s="113"/>
      <c r="L50" s="113"/>
      <c r="M50" s="113"/>
      <c r="N50" s="113"/>
      <c r="O50" s="113"/>
      <c r="P50" s="113"/>
      <c r="Q50" s="113"/>
      <c r="R50" s="146"/>
      <c r="S50" s="116"/>
      <c r="T50" s="2"/>
    </row>
    <row r="51" spans="1:21" ht="15.6" x14ac:dyDescent="0.3">
      <c r="A51" s="112"/>
      <c r="B51" s="113" t="s">
        <v>225</v>
      </c>
      <c r="C51" s="113"/>
      <c r="D51" s="113"/>
      <c r="E51" s="113"/>
      <c r="F51" s="113"/>
      <c r="G51" s="113"/>
      <c r="H51" s="113"/>
      <c r="I51" s="113"/>
      <c r="J51" s="113"/>
      <c r="K51" s="113"/>
      <c r="L51" s="113"/>
      <c r="M51" s="113"/>
      <c r="N51" s="113"/>
      <c r="O51" s="113"/>
      <c r="P51" s="113"/>
      <c r="Q51" s="113"/>
      <c r="R51" s="147" t="s">
        <v>91</v>
      </c>
      <c r="S51" s="116"/>
      <c r="T51" s="2"/>
    </row>
    <row r="52" spans="1:21" ht="15.6" x14ac:dyDescent="0.3">
      <c r="A52" s="112"/>
      <c r="B52" s="121" t="s">
        <v>131</v>
      </c>
      <c r="C52" s="121"/>
      <c r="D52" s="121"/>
      <c r="E52" s="121"/>
      <c r="F52" s="121"/>
      <c r="G52" s="121"/>
      <c r="H52" s="121"/>
      <c r="I52" s="121"/>
      <c r="J52" s="121"/>
      <c r="K52" s="121"/>
      <c r="L52" s="121"/>
      <c r="M52" s="121"/>
      <c r="N52" s="121"/>
      <c r="O52" s="121"/>
      <c r="P52" s="148"/>
      <c r="Q52" s="148"/>
      <c r="R52" s="149">
        <v>42993</v>
      </c>
      <c r="S52" s="116"/>
      <c r="T52" s="2"/>
    </row>
    <row r="53" spans="1:21" ht="15.6" x14ac:dyDescent="0.3">
      <c r="A53" s="112"/>
      <c r="B53" s="113" t="s">
        <v>99</v>
      </c>
      <c r="C53" s="113"/>
      <c r="D53" s="150"/>
      <c r="E53" s="150"/>
      <c r="F53" s="150"/>
      <c r="G53" s="150"/>
      <c r="H53" s="150"/>
      <c r="I53" s="150"/>
      <c r="J53" s="150"/>
      <c r="K53" s="150"/>
      <c r="L53" s="150"/>
      <c r="M53" s="150"/>
      <c r="N53" s="113">
        <f>+R53-P53+1</f>
        <v>92</v>
      </c>
      <c r="O53" s="113"/>
      <c r="P53" s="151">
        <v>42809</v>
      </c>
      <c r="Q53" s="152"/>
      <c r="R53" s="151">
        <v>42900</v>
      </c>
      <c r="S53" s="116"/>
      <c r="T53" s="2"/>
    </row>
    <row r="54" spans="1:21" ht="15.6" x14ac:dyDescent="0.3">
      <c r="A54" s="112"/>
      <c r="B54" s="113" t="s">
        <v>100</v>
      </c>
      <c r="C54" s="113"/>
      <c r="D54" s="113"/>
      <c r="E54" s="113"/>
      <c r="F54" s="113"/>
      <c r="G54" s="113"/>
      <c r="H54" s="113"/>
      <c r="I54" s="113"/>
      <c r="J54" s="113"/>
      <c r="K54" s="113"/>
      <c r="L54" s="113"/>
      <c r="M54" s="113"/>
      <c r="N54" s="113">
        <f>+R54-P54+1</f>
        <v>92</v>
      </c>
      <c r="O54" s="113"/>
      <c r="P54" s="151">
        <v>42901</v>
      </c>
      <c r="Q54" s="152"/>
      <c r="R54" s="151">
        <v>42992</v>
      </c>
      <c r="S54" s="116"/>
      <c r="T54" s="2"/>
    </row>
    <row r="55" spans="1:21" ht="15.6" x14ac:dyDescent="0.3">
      <c r="A55" s="112"/>
      <c r="B55" s="113" t="s">
        <v>261</v>
      </c>
      <c r="C55" s="113"/>
      <c r="D55" s="113"/>
      <c r="E55" s="113"/>
      <c r="F55" s="113"/>
      <c r="G55" s="113"/>
      <c r="H55" s="113"/>
      <c r="I55" s="113"/>
      <c r="J55" s="113"/>
      <c r="K55" s="113"/>
      <c r="L55" s="113"/>
      <c r="M55" s="113"/>
      <c r="N55" s="113"/>
      <c r="O55" s="113"/>
      <c r="P55" s="151"/>
      <c r="Q55" s="152"/>
      <c r="R55" s="151" t="s">
        <v>263</v>
      </c>
      <c r="S55" s="116"/>
      <c r="T55" s="2"/>
    </row>
    <row r="56" spans="1:21" ht="15.6" x14ac:dyDescent="0.3">
      <c r="A56" s="112"/>
      <c r="B56" s="113" t="s">
        <v>262</v>
      </c>
      <c r="C56" s="113"/>
      <c r="D56" s="113"/>
      <c r="E56" s="113"/>
      <c r="F56" s="113"/>
      <c r="G56" s="113"/>
      <c r="H56" s="113"/>
      <c r="I56" s="113"/>
      <c r="J56" s="113"/>
      <c r="K56" s="113"/>
      <c r="L56" s="113"/>
      <c r="M56" s="113"/>
      <c r="N56" s="113"/>
      <c r="O56" s="113"/>
      <c r="P56" s="151"/>
      <c r="Q56" s="152"/>
      <c r="R56" s="151" t="s">
        <v>118</v>
      </c>
      <c r="S56" s="116"/>
      <c r="T56" s="2"/>
      <c r="U56" s="5"/>
    </row>
    <row r="57" spans="1:21" ht="15.6" x14ac:dyDescent="0.3">
      <c r="A57" s="112"/>
      <c r="B57" s="113" t="s">
        <v>12</v>
      </c>
      <c r="C57" s="113"/>
      <c r="D57" s="113"/>
      <c r="E57" s="113"/>
      <c r="F57" s="113"/>
      <c r="G57" s="113"/>
      <c r="H57" s="113"/>
      <c r="I57" s="113"/>
      <c r="J57" s="113"/>
      <c r="K57" s="113"/>
      <c r="L57" s="113"/>
      <c r="M57" s="113"/>
      <c r="N57" s="113"/>
      <c r="O57" s="113"/>
      <c r="P57" s="151"/>
      <c r="Q57" s="152"/>
      <c r="R57" s="239">
        <v>42979</v>
      </c>
      <c r="S57" s="116"/>
      <c r="T57" s="2"/>
    </row>
    <row r="58" spans="1:21" ht="15.6" x14ac:dyDescent="0.3">
      <c r="A58" s="12"/>
      <c r="B58" s="43"/>
      <c r="C58" s="43"/>
      <c r="D58" s="43"/>
      <c r="E58" s="43"/>
      <c r="F58" s="43"/>
      <c r="G58" s="43"/>
      <c r="H58" s="43"/>
      <c r="I58" s="43"/>
      <c r="J58" s="43"/>
      <c r="K58" s="43"/>
      <c r="L58" s="43"/>
      <c r="M58" s="43"/>
      <c r="N58" s="43"/>
      <c r="O58" s="43"/>
      <c r="P58" s="110"/>
      <c r="Q58" s="111"/>
      <c r="R58" s="110"/>
      <c r="S58" s="217"/>
      <c r="T58" s="2"/>
    </row>
    <row r="59" spans="1:21" ht="15.6" x14ac:dyDescent="0.3">
      <c r="A59" s="12"/>
      <c r="B59" s="14"/>
      <c r="C59" s="14"/>
      <c r="D59" s="14"/>
      <c r="E59" s="14"/>
      <c r="F59" s="14"/>
      <c r="G59" s="14"/>
      <c r="H59" s="14"/>
      <c r="I59" s="14"/>
      <c r="J59" s="14"/>
      <c r="K59" s="14"/>
      <c r="L59" s="14"/>
      <c r="M59" s="14"/>
      <c r="N59" s="14"/>
      <c r="O59" s="14"/>
      <c r="P59" s="26"/>
      <c r="Q59" s="27"/>
      <c r="R59" s="26"/>
      <c r="S59" s="217"/>
      <c r="T59" s="2"/>
    </row>
    <row r="60" spans="1:21" ht="18" thickBot="1" x14ac:dyDescent="0.35">
      <c r="A60" s="28"/>
      <c r="B60" s="97" t="s">
        <v>290</v>
      </c>
      <c r="C60" s="29"/>
      <c r="D60" s="29"/>
      <c r="E60" s="29"/>
      <c r="F60" s="29"/>
      <c r="G60" s="29"/>
      <c r="H60" s="29"/>
      <c r="I60" s="29"/>
      <c r="J60" s="29"/>
      <c r="K60" s="29"/>
      <c r="L60" s="29"/>
      <c r="M60" s="29"/>
      <c r="N60" s="29"/>
      <c r="O60" s="29"/>
      <c r="P60" s="29"/>
      <c r="Q60" s="29"/>
      <c r="R60" s="30"/>
      <c r="S60" s="31"/>
      <c r="T60" s="2"/>
    </row>
    <row r="61" spans="1:21" ht="15.6" x14ac:dyDescent="0.3">
      <c r="A61" s="53"/>
      <c r="B61" s="59" t="s">
        <v>13</v>
      </c>
      <c r="C61" s="54"/>
      <c r="D61" s="54"/>
      <c r="E61" s="54"/>
      <c r="F61" s="54"/>
      <c r="G61" s="54"/>
      <c r="H61" s="54"/>
      <c r="I61" s="54"/>
      <c r="J61" s="54"/>
      <c r="K61" s="54"/>
      <c r="L61" s="54"/>
      <c r="M61" s="54"/>
      <c r="N61" s="54"/>
      <c r="O61" s="54"/>
      <c r="P61" s="54"/>
      <c r="Q61" s="54"/>
      <c r="R61" s="60"/>
      <c r="S61" s="54"/>
      <c r="T61" s="2"/>
    </row>
    <row r="62" spans="1:21" ht="15.6" x14ac:dyDescent="0.3">
      <c r="A62" s="12"/>
      <c r="B62" s="20"/>
      <c r="C62" s="14"/>
      <c r="D62" s="14"/>
      <c r="E62" s="14"/>
      <c r="F62" s="14"/>
      <c r="G62" s="14"/>
      <c r="H62" s="14"/>
      <c r="I62" s="14"/>
      <c r="J62" s="14"/>
      <c r="K62" s="14"/>
      <c r="L62" s="14"/>
      <c r="M62" s="14"/>
      <c r="N62" s="14"/>
      <c r="O62" s="14"/>
      <c r="P62" s="14"/>
      <c r="Q62" s="14"/>
      <c r="R62" s="33"/>
      <c r="S62" s="217"/>
      <c r="T62" s="2"/>
    </row>
    <row r="63" spans="1:21" ht="46.8" x14ac:dyDescent="0.3">
      <c r="A63" s="12"/>
      <c r="B63" s="34" t="s">
        <v>14</v>
      </c>
      <c r="C63" s="35"/>
      <c r="D63" s="35"/>
      <c r="E63" s="35"/>
      <c r="F63" s="35" t="s">
        <v>76</v>
      </c>
      <c r="G63" s="35"/>
      <c r="H63" s="35" t="s">
        <v>78</v>
      </c>
      <c r="I63" s="35"/>
      <c r="J63" s="35" t="s">
        <v>162</v>
      </c>
      <c r="K63" s="35"/>
      <c r="L63" s="35" t="s">
        <v>163</v>
      </c>
      <c r="M63" s="35"/>
      <c r="N63" s="35" t="s">
        <v>81</v>
      </c>
      <c r="O63" s="35"/>
      <c r="P63" s="35" t="s">
        <v>86</v>
      </c>
      <c r="Q63" s="35"/>
      <c r="R63" s="36" t="s">
        <v>92</v>
      </c>
      <c r="S63" s="221"/>
      <c r="T63" s="2"/>
    </row>
    <row r="64" spans="1:21" ht="15.6" x14ac:dyDescent="0.3">
      <c r="A64" s="112"/>
      <c r="B64" s="113" t="s">
        <v>15</v>
      </c>
      <c r="C64" s="155"/>
      <c r="D64" s="155"/>
      <c r="E64" s="155"/>
      <c r="F64" s="155">
        <v>244234</v>
      </c>
      <c r="G64" s="155"/>
      <c r="H64" s="156">
        <v>166608</v>
      </c>
      <c r="I64" s="155"/>
      <c r="J64" s="156">
        <v>123</v>
      </c>
      <c r="K64" s="155"/>
      <c r="L64" s="155">
        <v>29931</v>
      </c>
      <c r="M64" s="155"/>
      <c r="N64" s="155">
        <v>3</v>
      </c>
      <c r="O64" s="155"/>
      <c r="P64" s="155">
        <f>1591+2096+5818</f>
        <v>9505</v>
      </c>
      <c r="Q64" s="155"/>
      <c r="R64" s="156">
        <f>H64-J64-L64+N64-P64</f>
        <v>127052</v>
      </c>
      <c r="S64" s="116"/>
      <c r="T64" s="2"/>
    </row>
    <row r="65" spans="1:20" ht="15.6" x14ac:dyDescent="0.3">
      <c r="A65" s="112"/>
      <c r="B65" s="113" t="s">
        <v>16</v>
      </c>
      <c r="C65" s="155"/>
      <c r="D65" s="155"/>
      <c r="E65" s="155"/>
      <c r="F65" s="155">
        <v>0</v>
      </c>
      <c r="G65" s="155"/>
      <c r="H65" s="156">
        <v>0</v>
      </c>
      <c r="I65" s="155"/>
      <c r="J65" s="156">
        <v>0</v>
      </c>
      <c r="K65" s="155"/>
      <c r="L65" s="155">
        <v>0</v>
      </c>
      <c r="M65" s="155"/>
      <c r="N65" s="155">
        <v>0</v>
      </c>
      <c r="O65" s="155"/>
      <c r="P65" s="155">
        <v>0</v>
      </c>
      <c r="Q65" s="155"/>
      <c r="R65" s="156">
        <f>F65-J65-L65</f>
        <v>0</v>
      </c>
      <c r="S65" s="116"/>
      <c r="T65" s="2"/>
    </row>
    <row r="66" spans="1:20" ht="15.6" x14ac:dyDescent="0.3">
      <c r="A66" s="112"/>
      <c r="B66" s="113"/>
      <c r="C66" s="155"/>
      <c r="D66" s="155"/>
      <c r="E66" s="155"/>
      <c r="F66" s="155"/>
      <c r="G66" s="155"/>
      <c r="H66" s="156"/>
      <c r="I66" s="155"/>
      <c r="J66" s="156"/>
      <c r="K66" s="155"/>
      <c r="L66" s="155"/>
      <c r="M66" s="155"/>
      <c r="N66" s="155"/>
      <c r="O66" s="155"/>
      <c r="P66" s="155"/>
      <c r="Q66" s="155"/>
      <c r="R66" s="156"/>
      <c r="S66" s="116"/>
      <c r="T66" s="2"/>
    </row>
    <row r="67" spans="1:20" ht="15.6" x14ac:dyDescent="0.3">
      <c r="A67" s="112"/>
      <c r="B67" s="113" t="s">
        <v>17</v>
      </c>
      <c r="C67" s="155"/>
      <c r="D67" s="155"/>
      <c r="E67" s="155"/>
      <c r="F67" s="155">
        <f>SUM(F64:F66)</f>
        <v>244234</v>
      </c>
      <c r="G67" s="155"/>
      <c r="H67" s="155">
        <f>H64+H65</f>
        <v>166608</v>
      </c>
      <c r="I67" s="155"/>
      <c r="J67" s="155">
        <f>J64+J65</f>
        <v>123</v>
      </c>
      <c r="K67" s="155"/>
      <c r="L67" s="155">
        <f>SUM(L64:L66)</f>
        <v>29931</v>
      </c>
      <c r="M67" s="155"/>
      <c r="N67" s="155">
        <f>SUM(N64:N66)</f>
        <v>3</v>
      </c>
      <c r="O67" s="155"/>
      <c r="P67" s="155">
        <f>SUM(P64:P66)</f>
        <v>9505</v>
      </c>
      <c r="Q67" s="155"/>
      <c r="R67" s="155">
        <f>SUM(R64:R66)</f>
        <v>127052</v>
      </c>
      <c r="S67" s="116"/>
      <c r="T67" s="2"/>
    </row>
    <row r="68" spans="1:20" ht="15.6" x14ac:dyDescent="0.3">
      <c r="A68" s="12"/>
      <c r="B68" s="43"/>
      <c r="C68" s="153"/>
      <c r="D68" s="153"/>
      <c r="E68" s="153"/>
      <c r="F68" s="153"/>
      <c r="G68" s="153"/>
      <c r="H68" s="153"/>
      <c r="I68" s="153"/>
      <c r="J68" s="153"/>
      <c r="K68" s="153"/>
      <c r="L68" s="153"/>
      <c r="M68" s="153"/>
      <c r="N68" s="153"/>
      <c r="O68" s="153"/>
      <c r="P68" s="153"/>
      <c r="Q68" s="153"/>
      <c r="R68" s="154"/>
      <c r="S68" s="217"/>
      <c r="T68" s="2"/>
    </row>
    <row r="69" spans="1:20" ht="15.6" x14ac:dyDescent="0.3">
      <c r="A69" s="12"/>
      <c r="B69" s="16" t="s">
        <v>18</v>
      </c>
      <c r="C69" s="38"/>
      <c r="D69" s="38"/>
      <c r="E69" s="38"/>
      <c r="F69" s="38"/>
      <c r="G69" s="38"/>
      <c r="H69" s="38"/>
      <c r="I69" s="38"/>
      <c r="J69" s="38"/>
      <c r="K69" s="38"/>
      <c r="L69" s="38"/>
      <c r="M69" s="38"/>
      <c r="N69" s="38"/>
      <c r="O69" s="38"/>
      <c r="P69" s="38"/>
      <c r="Q69" s="38"/>
      <c r="R69" s="39"/>
      <c r="S69" s="217"/>
      <c r="T69" s="2"/>
    </row>
    <row r="70" spans="1:20" ht="15.6" x14ac:dyDescent="0.3">
      <c r="A70" s="12"/>
      <c r="B70" s="14"/>
      <c r="C70" s="38"/>
      <c r="D70" s="38"/>
      <c r="E70" s="38"/>
      <c r="F70" s="38"/>
      <c r="G70" s="38"/>
      <c r="H70" s="38"/>
      <c r="I70" s="38"/>
      <c r="J70" s="38"/>
      <c r="K70" s="38"/>
      <c r="L70" s="38"/>
      <c r="M70" s="38"/>
      <c r="N70" s="38"/>
      <c r="O70" s="38"/>
      <c r="P70" s="38"/>
      <c r="Q70" s="38"/>
      <c r="R70" s="39"/>
      <c r="S70" s="217"/>
      <c r="T70" s="2"/>
    </row>
    <row r="71" spans="1:20" ht="15.6" x14ac:dyDescent="0.3">
      <c r="A71" s="112"/>
      <c r="B71" s="113" t="s">
        <v>15</v>
      </c>
      <c r="C71" s="155"/>
      <c r="D71" s="155"/>
      <c r="E71" s="155"/>
      <c r="F71" s="155"/>
      <c r="G71" s="155"/>
      <c r="H71" s="155"/>
      <c r="I71" s="155"/>
      <c r="J71" s="155"/>
      <c r="K71" s="155"/>
      <c r="L71" s="155"/>
      <c r="M71" s="155"/>
      <c r="N71" s="155"/>
      <c r="O71" s="155"/>
      <c r="P71" s="155"/>
      <c r="Q71" s="155"/>
      <c r="R71" s="155"/>
      <c r="S71" s="116"/>
      <c r="T71" s="2"/>
    </row>
    <row r="72" spans="1:20" ht="15.6" x14ac:dyDescent="0.3">
      <c r="A72" s="112"/>
      <c r="B72" s="113" t="s">
        <v>16</v>
      </c>
      <c r="C72" s="155"/>
      <c r="D72" s="155"/>
      <c r="E72" s="155"/>
      <c r="F72" s="155"/>
      <c r="G72" s="155"/>
      <c r="H72" s="155"/>
      <c r="I72" s="155"/>
      <c r="J72" s="155"/>
      <c r="K72" s="155"/>
      <c r="L72" s="155"/>
      <c r="M72" s="155"/>
      <c r="N72" s="155"/>
      <c r="O72" s="155"/>
      <c r="P72" s="155"/>
      <c r="Q72" s="155"/>
      <c r="R72" s="155"/>
      <c r="S72" s="116"/>
      <c r="T72" s="2"/>
    </row>
    <row r="73" spans="1:20" ht="15.6" x14ac:dyDescent="0.3">
      <c r="A73" s="112"/>
      <c r="B73" s="113"/>
      <c r="C73" s="155"/>
      <c r="D73" s="155"/>
      <c r="E73" s="155"/>
      <c r="F73" s="155"/>
      <c r="G73" s="155"/>
      <c r="H73" s="155"/>
      <c r="I73" s="155"/>
      <c r="J73" s="155"/>
      <c r="K73" s="155"/>
      <c r="L73" s="155"/>
      <c r="M73" s="155"/>
      <c r="N73" s="155"/>
      <c r="O73" s="155"/>
      <c r="P73" s="155"/>
      <c r="Q73" s="155"/>
      <c r="R73" s="155"/>
      <c r="S73" s="116"/>
      <c r="T73" s="2"/>
    </row>
    <row r="74" spans="1:20" ht="15.6" x14ac:dyDescent="0.3">
      <c r="A74" s="112"/>
      <c r="B74" s="113" t="s">
        <v>17</v>
      </c>
      <c r="C74" s="155"/>
      <c r="D74" s="155"/>
      <c r="E74" s="155"/>
      <c r="F74" s="155"/>
      <c r="G74" s="155"/>
      <c r="H74" s="155"/>
      <c r="I74" s="155"/>
      <c r="J74" s="155"/>
      <c r="K74" s="155"/>
      <c r="L74" s="155"/>
      <c r="M74" s="155"/>
      <c r="N74" s="155"/>
      <c r="O74" s="155"/>
      <c r="P74" s="155"/>
      <c r="Q74" s="155"/>
      <c r="R74" s="155"/>
      <c r="S74" s="116"/>
      <c r="T74" s="2"/>
    </row>
    <row r="75" spans="1:20" ht="15.6" x14ac:dyDescent="0.3">
      <c r="A75" s="112"/>
      <c r="B75" s="113"/>
      <c r="C75" s="155"/>
      <c r="D75" s="155"/>
      <c r="E75" s="155"/>
      <c r="F75" s="155"/>
      <c r="G75" s="155"/>
      <c r="H75" s="155"/>
      <c r="I75" s="155"/>
      <c r="J75" s="155"/>
      <c r="K75" s="155"/>
      <c r="L75" s="155"/>
      <c r="M75" s="155"/>
      <c r="N75" s="155"/>
      <c r="O75" s="155"/>
      <c r="P75" s="155"/>
      <c r="Q75" s="155"/>
      <c r="R75" s="155"/>
      <c r="S75" s="116"/>
      <c r="T75" s="2"/>
    </row>
    <row r="76" spans="1:20" ht="15.6" x14ac:dyDescent="0.3">
      <c r="A76" s="112"/>
      <c r="B76" s="113" t="s">
        <v>19</v>
      </c>
      <c r="C76" s="155"/>
      <c r="D76" s="155"/>
      <c r="E76" s="155"/>
      <c r="F76" s="155">
        <v>0</v>
      </c>
      <c r="G76" s="155"/>
      <c r="H76" s="155">
        <v>0</v>
      </c>
      <c r="I76" s="155"/>
      <c r="J76" s="155"/>
      <c r="K76" s="155"/>
      <c r="L76" s="155"/>
      <c r="M76" s="155"/>
      <c r="N76" s="155"/>
      <c r="O76" s="155"/>
      <c r="P76" s="155"/>
      <c r="Q76" s="155"/>
      <c r="R76" s="156">
        <v>0</v>
      </c>
      <c r="S76" s="116"/>
      <c r="T76" s="2"/>
    </row>
    <row r="77" spans="1:20" ht="15.6" x14ac:dyDescent="0.3">
      <c r="A77" s="112"/>
      <c r="B77" s="113" t="s">
        <v>196</v>
      </c>
      <c r="C77" s="155"/>
      <c r="D77" s="155"/>
      <c r="E77" s="155"/>
      <c r="F77" s="155">
        <v>53165</v>
      </c>
      <c r="G77" s="155"/>
      <c r="H77" s="155">
        <v>0</v>
      </c>
      <c r="I77" s="155"/>
      <c r="J77" s="155">
        <v>0</v>
      </c>
      <c r="K77" s="155"/>
      <c r="L77" s="155">
        <v>0</v>
      </c>
      <c r="M77" s="155"/>
      <c r="N77" s="155"/>
      <c r="O77" s="155"/>
      <c r="P77" s="155"/>
      <c r="Q77" s="155"/>
      <c r="R77" s="155">
        <v>0</v>
      </c>
      <c r="S77" s="116"/>
      <c r="T77" s="2"/>
    </row>
    <row r="78" spans="1:20" ht="15.6" x14ac:dyDescent="0.3">
      <c r="A78" s="112"/>
      <c r="B78" s="113" t="s">
        <v>206</v>
      </c>
      <c r="C78" s="155"/>
      <c r="D78" s="155"/>
      <c r="E78" s="155"/>
      <c r="F78" s="155">
        <v>2610</v>
      </c>
      <c r="G78" s="155"/>
      <c r="H78" s="155">
        <v>0</v>
      </c>
      <c r="I78" s="155"/>
      <c r="J78" s="155"/>
      <c r="K78" s="155"/>
      <c r="L78" s="155"/>
      <c r="M78" s="155"/>
      <c r="N78" s="155">
        <v>0</v>
      </c>
      <c r="O78" s="155"/>
      <c r="P78" s="155"/>
      <c r="Q78" s="155"/>
      <c r="R78" s="155">
        <f>H78+N78</f>
        <v>0</v>
      </c>
      <c r="S78" s="116"/>
      <c r="T78" s="2"/>
    </row>
    <row r="79" spans="1:20" ht="15.6" x14ac:dyDescent="0.3">
      <c r="A79" s="112"/>
      <c r="B79" s="113" t="s">
        <v>20</v>
      </c>
      <c r="C79" s="155"/>
      <c r="D79" s="155"/>
      <c r="E79" s="155"/>
      <c r="F79" s="155">
        <v>0</v>
      </c>
      <c r="G79" s="155"/>
      <c r="H79" s="155">
        <v>0</v>
      </c>
      <c r="I79" s="155"/>
      <c r="J79" s="155"/>
      <c r="K79" s="155"/>
      <c r="L79" s="155"/>
      <c r="M79" s="155"/>
      <c r="N79" s="155"/>
      <c r="O79" s="155"/>
      <c r="P79" s="155"/>
      <c r="Q79" s="155"/>
      <c r="R79" s="155">
        <v>0</v>
      </c>
      <c r="S79" s="116"/>
      <c r="T79" s="2"/>
    </row>
    <row r="80" spans="1:20" ht="15.6" x14ac:dyDescent="0.3">
      <c r="A80" s="112"/>
      <c r="B80" s="113" t="s">
        <v>21</v>
      </c>
      <c r="C80" s="155"/>
      <c r="D80" s="155"/>
      <c r="E80" s="155"/>
      <c r="F80" s="155">
        <f>SUM(F67:F79)</f>
        <v>300009</v>
      </c>
      <c r="G80" s="155"/>
      <c r="H80" s="155">
        <f>SUM(H67:H79)</f>
        <v>166608</v>
      </c>
      <c r="I80" s="155"/>
      <c r="J80" s="155"/>
      <c r="K80" s="155"/>
      <c r="L80" s="155"/>
      <c r="M80" s="155"/>
      <c r="N80" s="155"/>
      <c r="O80" s="155"/>
      <c r="P80" s="155"/>
      <c r="Q80" s="155"/>
      <c r="R80" s="155">
        <f>SUM(R67:R79)</f>
        <v>127052</v>
      </c>
      <c r="S80" s="116"/>
      <c r="T80" s="2"/>
    </row>
    <row r="81" spans="1:20" ht="15.6" x14ac:dyDescent="0.3">
      <c r="A81" s="12"/>
      <c r="B81" s="43"/>
      <c r="C81" s="153"/>
      <c r="D81" s="153"/>
      <c r="E81" s="153"/>
      <c r="F81" s="153"/>
      <c r="G81" s="153"/>
      <c r="H81" s="153"/>
      <c r="I81" s="153"/>
      <c r="J81" s="153"/>
      <c r="K81" s="153"/>
      <c r="L81" s="153"/>
      <c r="M81" s="153"/>
      <c r="N81" s="153"/>
      <c r="O81" s="153"/>
      <c r="P81" s="153"/>
      <c r="Q81" s="153"/>
      <c r="R81" s="154"/>
      <c r="S81" s="217"/>
      <c r="T81" s="2"/>
    </row>
    <row r="82" spans="1:20" ht="15.6" x14ac:dyDescent="0.3">
      <c r="A82" s="12"/>
      <c r="B82" s="14"/>
      <c r="C82" s="14"/>
      <c r="D82" s="14"/>
      <c r="E82" s="14"/>
      <c r="F82" s="14"/>
      <c r="G82" s="14"/>
      <c r="H82" s="14"/>
      <c r="I82" s="14"/>
      <c r="J82" s="14"/>
      <c r="K82" s="14"/>
      <c r="L82" s="14"/>
      <c r="M82" s="14"/>
      <c r="N82" s="14"/>
      <c r="O82" s="14"/>
      <c r="P82" s="14"/>
      <c r="Q82" s="14"/>
      <c r="R82" s="14"/>
      <c r="S82" s="217"/>
      <c r="T82" s="2"/>
    </row>
    <row r="83" spans="1:20" ht="15.6" x14ac:dyDescent="0.3">
      <c r="A83" s="53"/>
      <c r="B83" s="61" t="s">
        <v>22</v>
      </c>
      <c r="C83" s="61"/>
      <c r="D83" s="62"/>
      <c r="E83" s="62"/>
      <c r="F83" s="62"/>
      <c r="G83" s="62"/>
      <c r="H83" s="63" t="s">
        <v>77</v>
      </c>
      <c r="I83" s="62"/>
      <c r="J83" s="64">
        <f>+P206</f>
        <v>42978</v>
      </c>
      <c r="K83" s="62"/>
      <c r="L83" s="62"/>
      <c r="M83" s="62"/>
      <c r="N83" s="62"/>
      <c r="O83" s="62"/>
      <c r="P83" s="62" t="s">
        <v>87</v>
      </c>
      <c r="Q83" s="62"/>
      <c r="R83" s="62" t="s">
        <v>93</v>
      </c>
      <c r="S83" s="219"/>
      <c r="T83" s="2"/>
    </row>
    <row r="84" spans="1:20" ht="15.6" x14ac:dyDescent="0.3">
      <c r="A84" s="77"/>
      <c r="B84" s="79" t="s">
        <v>23</v>
      </c>
      <c r="C84" s="25"/>
      <c r="D84" s="25"/>
      <c r="E84" s="25"/>
      <c r="F84" s="25"/>
      <c r="G84" s="25"/>
      <c r="H84" s="25"/>
      <c r="I84" s="25"/>
      <c r="J84" s="25"/>
      <c r="K84" s="25"/>
      <c r="L84" s="25"/>
      <c r="M84" s="25"/>
      <c r="N84" s="25"/>
      <c r="O84" s="25"/>
      <c r="P84" s="78">
        <v>0</v>
      </c>
      <c r="Q84" s="79"/>
      <c r="R84" s="82">
        <v>0</v>
      </c>
      <c r="S84" s="222"/>
      <c r="T84" s="2"/>
    </row>
    <row r="85" spans="1:20" ht="15.6" x14ac:dyDescent="0.3">
      <c r="A85" s="122"/>
      <c r="B85" s="113" t="s">
        <v>218</v>
      </c>
      <c r="C85" s="135"/>
      <c r="D85" s="157"/>
      <c r="E85" s="157"/>
      <c r="F85" s="157"/>
      <c r="G85" s="158"/>
      <c r="H85" s="157"/>
      <c r="I85" s="135"/>
      <c r="J85" s="159"/>
      <c r="K85" s="135"/>
      <c r="L85" s="135"/>
      <c r="M85" s="135"/>
      <c r="N85" s="135"/>
      <c r="O85" s="135"/>
      <c r="P85" s="155">
        <f>-N78</f>
        <v>0</v>
      </c>
      <c r="Q85" s="113"/>
      <c r="R85" s="156"/>
      <c r="S85" s="139"/>
      <c r="T85" s="2"/>
    </row>
    <row r="86" spans="1:20" ht="15.6" x14ac:dyDescent="0.3">
      <c r="A86" s="122"/>
      <c r="B86" s="113" t="s">
        <v>219</v>
      </c>
      <c r="C86" s="135"/>
      <c r="D86" s="157"/>
      <c r="E86" s="157"/>
      <c r="F86" s="157"/>
      <c r="G86" s="158"/>
      <c r="H86" s="157"/>
      <c r="I86" s="135"/>
      <c r="J86" s="159"/>
      <c r="K86" s="135"/>
      <c r="L86" s="135"/>
      <c r="M86" s="135"/>
      <c r="N86" s="135"/>
      <c r="O86" s="135"/>
      <c r="P86" s="155">
        <v>0</v>
      </c>
      <c r="Q86" s="113"/>
      <c r="R86" s="156"/>
      <c r="S86" s="139"/>
      <c r="T86" s="2"/>
    </row>
    <row r="87" spans="1:20" ht="15.6" x14ac:dyDescent="0.3">
      <c r="A87" s="122"/>
      <c r="B87" s="113" t="s">
        <v>24</v>
      </c>
      <c r="C87" s="135"/>
      <c r="D87" s="157"/>
      <c r="E87" s="157"/>
      <c r="F87" s="157"/>
      <c r="G87" s="158"/>
      <c r="H87" s="157"/>
      <c r="I87" s="135"/>
      <c r="J87" s="159"/>
      <c r="K87" s="135"/>
      <c r="L87" s="135"/>
      <c r="M87" s="135"/>
      <c r="N87" s="135"/>
      <c r="O87" s="135"/>
      <c r="P87" s="155">
        <f>+J64+L64+P64</f>
        <v>39559</v>
      </c>
      <c r="Q87" s="113"/>
      <c r="R87" s="156"/>
      <c r="S87" s="139"/>
      <c r="T87" s="2"/>
    </row>
    <row r="88" spans="1:20" ht="15.6" x14ac:dyDescent="0.3">
      <c r="A88" s="122"/>
      <c r="B88" s="113" t="s">
        <v>135</v>
      </c>
      <c r="C88" s="135"/>
      <c r="D88" s="157"/>
      <c r="E88" s="157"/>
      <c r="F88" s="157"/>
      <c r="G88" s="158"/>
      <c r="H88" s="157"/>
      <c r="I88" s="135"/>
      <c r="J88" s="159"/>
      <c r="K88" s="135"/>
      <c r="L88" s="135"/>
      <c r="M88" s="135"/>
      <c r="N88" s="135"/>
      <c r="O88" s="135"/>
      <c r="P88" s="155"/>
      <c r="Q88" s="113"/>
      <c r="R88" s="156">
        <f>2293-639</f>
        <v>1654</v>
      </c>
      <c r="S88" s="139"/>
      <c r="T88" s="2"/>
    </row>
    <row r="89" spans="1:20" ht="15.6" x14ac:dyDescent="0.3">
      <c r="A89" s="122"/>
      <c r="B89" s="113" t="s">
        <v>133</v>
      </c>
      <c r="C89" s="135"/>
      <c r="D89" s="157"/>
      <c r="E89" s="157"/>
      <c r="F89" s="157"/>
      <c r="G89" s="158"/>
      <c r="H89" s="157"/>
      <c r="I89" s="135"/>
      <c r="J89" s="159"/>
      <c r="K89" s="135"/>
      <c r="L89" s="135"/>
      <c r="M89" s="135"/>
      <c r="N89" s="135"/>
      <c r="O89" s="135"/>
      <c r="P89" s="155"/>
      <c r="Q89" s="113"/>
      <c r="R89" s="156">
        <v>100</v>
      </c>
      <c r="S89" s="139"/>
      <c r="T89" s="2"/>
    </row>
    <row r="90" spans="1:20" ht="15.6" x14ac:dyDescent="0.3">
      <c r="A90" s="122"/>
      <c r="B90" s="113" t="s">
        <v>134</v>
      </c>
      <c r="C90" s="135"/>
      <c r="D90" s="157"/>
      <c r="E90" s="157"/>
      <c r="F90" s="157"/>
      <c r="G90" s="158"/>
      <c r="H90" s="157"/>
      <c r="I90" s="135"/>
      <c r="J90" s="159"/>
      <c r="K90" s="135"/>
      <c r="L90" s="135"/>
      <c r="M90" s="135"/>
      <c r="N90" s="135"/>
      <c r="O90" s="135"/>
      <c r="P90" s="155"/>
      <c r="Q90" s="113"/>
      <c r="R90" s="156">
        <v>32</v>
      </c>
      <c r="S90" s="139"/>
      <c r="T90" s="2"/>
    </row>
    <row r="91" spans="1:20" ht="15.6" x14ac:dyDescent="0.3">
      <c r="A91" s="122"/>
      <c r="B91" s="113" t="s">
        <v>143</v>
      </c>
      <c r="C91" s="135"/>
      <c r="D91" s="157"/>
      <c r="E91" s="157"/>
      <c r="F91" s="157"/>
      <c r="G91" s="158"/>
      <c r="H91" s="157"/>
      <c r="I91" s="135"/>
      <c r="J91" s="159"/>
      <c r="K91" s="135"/>
      <c r="L91" s="135"/>
      <c r="M91" s="135"/>
      <c r="N91" s="135"/>
      <c r="O91" s="135"/>
      <c r="P91" s="155"/>
      <c r="Q91" s="113"/>
      <c r="R91" s="156">
        <v>0</v>
      </c>
      <c r="S91" s="139"/>
      <c r="T91" s="2"/>
    </row>
    <row r="92" spans="1:20" ht="15.6" x14ac:dyDescent="0.3">
      <c r="A92" s="122"/>
      <c r="B92" s="113" t="s">
        <v>145</v>
      </c>
      <c r="C92" s="135"/>
      <c r="D92" s="157"/>
      <c r="E92" s="157"/>
      <c r="F92" s="157"/>
      <c r="G92" s="158"/>
      <c r="H92" s="157"/>
      <c r="I92" s="135"/>
      <c r="J92" s="159"/>
      <c r="K92" s="135"/>
      <c r="L92" s="135"/>
      <c r="M92" s="135"/>
      <c r="N92" s="135"/>
      <c r="O92" s="135"/>
      <c r="P92" s="155"/>
      <c r="Q92" s="113"/>
      <c r="R92" s="156">
        <v>153</v>
      </c>
      <c r="S92" s="139"/>
      <c r="T92" s="2"/>
    </row>
    <row r="93" spans="1:20" ht="15.6" x14ac:dyDescent="0.3">
      <c r="A93" s="122"/>
      <c r="B93" s="113" t="s">
        <v>164</v>
      </c>
      <c r="C93" s="135"/>
      <c r="D93" s="157"/>
      <c r="E93" s="157"/>
      <c r="F93" s="157"/>
      <c r="G93" s="158"/>
      <c r="H93" s="157"/>
      <c r="I93" s="135"/>
      <c r="J93" s="159"/>
      <c r="K93" s="135"/>
      <c r="L93" s="135"/>
      <c r="M93" s="135"/>
      <c r="N93" s="135"/>
      <c r="O93" s="135"/>
      <c r="P93" s="155"/>
      <c r="Q93" s="113"/>
      <c r="R93" s="156">
        <v>0</v>
      </c>
      <c r="S93" s="139"/>
      <c r="T93" s="2"/>
    </row>
    <row r="94" spans="1:20" ht="15.6" x14ac:dyDescent="0.3">
      <c r="A94" s="122"/>
      <c r="B94" s="113" t="s">
        <v>165</v>
      </c>
      <c r="C94" s="135"/>
      <c r="D94" s="157"/>
      <c r="E94" s="157"/>
      <c r="F94" s="157"/>
      <c r="G94" s="158"/>
      <c r="H94" s="157"/>
      <c r="I94" s="135"/>
      <c r="J94" s="159"/>
      <c r="K94" s="135"/>
      <c r="L94" s="135"/>
      <c r="M94" s="135"/>
      <c r="N94" s="135"/>
      <c r="O94" s="135"/>
      <c r="P94" s="155"/>
      <c r="Q94" s="113"/>
      <c r="R94" s="156">
        <v>0</v>
      </c>
      <c r="S94" s="139"/>
      <c r="T94" s="2"/>
    </row>
    <row r="95" spans="1:20" ht="15.6" x14ac:dyDescent="0.3">
      <c r="A95" s="122"/>
      <c r="B95" s="113" t="s">
        <v>166</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c r="B96" s="113" t="s">
        <v>264</v>
      </c>
      <c r="C96" s="135"/>
      <c r="D96" s="135"/>
      <c r="E96" s="135"/>
      <c r="F96" s="135"/>
      <c r="G96" s="135"/>
      <c r="H96" s="135"/>
      <c r="I96" s="135"/>
      <c r="J96" s="135"/>
      <c r="K96" s="135"/>
      <c r="L96" s="135"/>
      <c r="M96" s="135"/>
      <c r="N96" s="135"/>
      <c r="O96" s="135"/>
      <c r="P96" s="155"/>
      <c r="Q96" s="113"/>
      <c r="R96" s="156">
        <v>0</v>
      </c>
      <c r="S96" s="139"/>
      <c r="T96" s="2"/>
    </row>
    <row r="97" spans="1:21" ht="15.6" x14ac:dyDescent="0.3">
      <c r="A97" s="122"/>
      <c r="B97" s="113" t="s">
        <v>25</v>
      </c>
      <c r="C97" s="135"/>
      <c r="D97" s="135"/>
      <c r="E97" s="135"/>
      <c r="F97" s="135"/>
      <c r="G97" s="135"/>
      <c r="H97" s="135"/>
      <c r="I97" s="135"/>
      <c r="J97" s="135"/>
      <c r="K97" s="135"/>
      <c r="L97" s="135"/>
      <c r="M97" s="135"/>
      <c r="N97" s="135"/>
      <c r="O97" s="135"/>
      <c r="P97" s="155">
        <f>SUM(P84:P96)</f>
        <v>39559</v>
      </c>
      <c r="Q97" s="113"/>
      <c r="R97" s="155">
        <f>SUM(R84:R96)</f>
        <v>1939</v>
      </c>
      <c r="S97" s="139"/>
      <c r="T97" s="2"/>
    </row>
    <row r="98" spans="1:21" ht="15.6" x14ac:dyDescent="0.3">
      <c r="A98" s="122"/>
      <c r="B98" s="113" t="s">
        <v>26</v>
      </c>
      <c r="C98" s="135"/>
      <c r="D98" s="135"/>
      <c r="E98" s="135"/>
      <c r="F98" s="135"/>
      <c r="G98" s="135"/>
      <c r="H98" s="135"/>
      <c r="I98" s="135"/>
      <c r="J98" s="135"/>
      <c r="K98" s="135"/>
      <c r="L98" s="135"/>
      <c r="M98" s="135"/>
      <c r="N98" s="135"/>
      <c r="O98" s="135"/>
      <c r="P98" s="155">
        <f>-R98</f>
        <v>0</v>
      </c>
      <c r="Q98" s="113"/>
      <c r="R98" s="156">
        <v>0</v>
      </c>
      <c r="S98" s="139"/>
      <c r="T98" s="2"/>
    </row>
    <row r="99" spans="1:21" ht="15.6" x14ac:dyDescent="0.3">
      <c r="A99" s="122"/>
      <c r="B99" s="113" t="s">
        <v>150</v>
      </c>
      <c r="C99" s="135"/>
      <c r="D99" s="135"/>
      <c r="E99" s="135"/>
      <c r="F99" s="135"/>
      <c r="G99" s="135"/>
      <c r="H99" s="135"/>
      <c r="I99" s="135"/>
      <c r="J99" s="135"/>
      <c r="K99" s="135"/>
      <c r="L99" s="135"/>
      <c r="M99" s="135"/>
      <c r="N99" s="135"/>
      <c r="O99" s="135"/>
      <c r="P99" s="155"/>
      <c r="Q99" s="113"/>
      <c r="R99" s="156">
        <v>0</v>
      </c>
      <c r="S99" s="139"/>
      <c r="T99" s="2"/>
    </row>
    <row r="100" spans="1:21" ht="15.6" x14ac:dyDescent="0.3">
      <c r="A100" s="122"/>
      <c r="B100" s="113" t="s">
        <v>27</v>
      </c>
      <c r="C100" s="135"/>
      <c r="D100" s="135"/>
      <c r="E100" s="135"/>
      <c r="F100" s="135"/>
      <c r="G100" s="135"/>
      <c r="H100" s="135"/>
      <c r="I100" s="135"/>
      <c r="J100" s="135"/>
      <c r="K100" s="135"/>
      <c r="L100" s="135"/>
      <c r="M100" s="135"/>
      <c r="N100" s="135"/>
      <c r="O100" s="135"/>
      <c r="P100" s="155">
        <f>P97+P98</f>
        <v>39559</v>
      </c>
      <c r="Q100" s="113"/>
      <c r="R100" s="155">
        <f>R97+R98+R99</f>
        <v>1939</v>
      </c>
      <c r="S100" s="139"/>
      <c r="T100" s="2"/>
    </row>
    <row r="101" spans="1:21" ht="15.6" x14ac:dyDescent="0.3">
      <c r="A101" s="112"/>
      <c r="B101" s="160" t="s">
        <v>28</v>
      </c>
      <c r="C101" s="135"/>
      <c r="D101" s="135"/>
      <c r="E101" s="135"/>
      <c r="F101" s="135"/>
      <c r="G101" s="135"/>
      <c r="H101" s="135"/>
      <c r="I101" s="135"/>
      <c r="J101" s="135"/>
      <c r="K101" s="135"/>
      <c r="L101" s="135"/>
      <c r="M101" s="135"/>
      <c r="N101" s="135"/>
      <c r="O101" s="135"/>
      <c r="P101" s="155"/>
      <c r="Q101" s="113"/>
      <c r="R101" s="156"/>
      <c r="S101" s="139"/>
      <c r="T101" s="2"/>
    </row>
    <row r="102" spans="1:21" ht="15.6" x14ac:dyDescent="0.3">
      <c r="A102" s="122">
        <v>1</v>
      </c>
      <c r="B102" s="113" t="s">
        <v>175</v>
      </c>
      <c r="C102" s="135"/>
      <c r="D102" s="135"/>
      <c r="E102" s="135"/>
      <c r="F102" s="135"/>
      <c r="G102" s="135"/>
      <c r="H102" s="135"/>
      <c r="I102" s="135"/>
      <c r="J102" s="135"/>
      <c r="K102" s="135"/>
      <c r="L102" s="135"/>
      <c r="M102" s="135"/>
      <c r="N102" s="135"/>
      <c r="O102" s="135"/>
      <c r="P102" s="155"/>
      <c r="Q102" s="113"/>
      <c r="R102" s="156">
        <v>0</v>
      </c>
      <c r="S102" s="139"/>
      <c r="T102" s="2"/>
    </row>
    <row r="103" spans="1:21" ht="15.6" x14ac:dyDescent="0.3">
      <c r="A103" s="122">
        <v>2</v>
      </c>
      <c r="B103" s="113" t="s">
        <v>195</v>
      </c>
      <c r="C103" s="113"/>
      <c r="D103" s="135"/>
      <c r="E103" s="135"/>
      <c r="F103" s="135"/>
      <c r="G103" s="135"/>
      <c r="H103" s="135"/>
      <c r="I103" s="135"/>
      <c r="J103" s="135"/>
      <c r="K103" s="135"/>
      <c r="L103" s="135"/>
      <c r="M103" s="135"/>
      <c r="N103" s="135"/>
      <c r="O103" s="135"/>
      <c r="P103" s="113"/>
      <c r="Q103" s="113"/>
      <c r="R103" s="156">
        <v>-3</v>
      </c>
      <c r="S103" s="139"/>
      <c r="T103" s="2"/>
    </row>
    <row r="104" spans="1:21" ht="15.6" x14ac:dyDescent="0.3">
      <c r="A104" s="122">
        <v>3</v>
      </c>
      <c r="B104" s="113" t="s">
        <v>287</v>
      </c>
      <c r="C104" s="113"/>
      <c r="D104" s="135"/>
      <c r="E104" s="135"/>
      <c r="F104" s="135"/>
      <c r="G104" s="135"/>
      <c r="H104" s="135"/>
      <c r="I104" s="135"/>
      <c r="J104" s="135"/>
      <c r="K104" s="135"/>
      <c r="L104" s="135"/>
      <c r="M104" s="135"/>
      <c r="N104" s="135"/>
      <c r="O104" s="135"/>
      <c r="P104" s="113"/>
      <c r="Q104" s="113"/>
      <c r="R104" s="156">
        <f>-63-14-3</f>
        <v>-80</v>
      </c>
      <c r="S104" s="139"/>
      <c r="T104" s="2"/>
    </row>
    <row r="105" spans="1:21" ht="15.6" x14ac:dyDescent="0.3">
      <c r="A105" s="122">
        <v>4</v>
      </c>
      <c r="B105" s="113" t="s">
        <v>96</v>
      </c>
      <c r="C105" s="113"/>
      <c r="D105" s="135"/>
      <c r="E105" s="135"/>
      <c r="F105" s="135"/>
      <c r="G105" s="135"/>
      <c r="H105" s="135"/>
      <c r="I105" s="135"/>
      <c r="J105" s="135"/>
      <c r="K105" s="135"/>
      <c r="L105" s="135"/>
      <c r="M105" s="135"/>
      <c r="N105" s="135"/>
      <c r="O105" s="135"/>
      <c r="P105" s="113"/>
      <c r="Q105" s="113"/>
      <c r="R105" s="156">
        <v>-65</v>
      </c>
      <c r="S105" s="139"/>
      <c r="T105" s="2"/>
    </row>
    <row r="106" spans="1:21" ht="15.6" x14ac:dyDescent="0.3">
      <c r="A106" s="122" t="s">
        <v>274</v>
      </c>
      <c r="B106" s="113" t="s">
        <v>272</v>
      </c>
      <c r="C106" s="113"/>
      <c r="D106" s="135"/>
      <c r="E106" s="135"/>
      <c r="F106" s="135"/>
      <c r="G106" s="135"/>
      <c r="H106" s="135"/>
      <c r="I106" s="135"/>
      <c r="J106" s="135"/>
      <c r="K106" s="135"/>
      <c r="L106" s="135"/>
      <c r="M106" s="135"/>
      <c r="N106" s="135"/>
      <c r="O106" s="135"/>
      <c r="P106" s="113"/>
      <c r="Q106" s="113"/>
      <c r="R106" s="156">
        <v>-197</v>
      </c>
      <c r="S106" s="139"/>
      <c r="T106" s="2"/>
      <c r="U106" s="4"/>
    </row>
    <row r="107" spans="1:21" ht="15.6" x14ac:dyDescent="0.3">
      <c r="A107" s="122" t="s">
        <v>275</v>
      </c>
      <c r="B107" s="113" t="s">
        <v>266</v>
      </c>
      <c r="C107" s="113"/>
      <c r="D107" s="135"/>
      <c r="E107" s="135"/>
      <c r="F107" s="135"/>
      <c r="G107" s="135"/>
      <c r="H107" s="135"/>
      <c r="I107" s="135"/>
      <c r="J107" s="135"/>
      <c r="K107" s="135"/>
      <c r="L107" s="135"/>
      <c r="M107" s="135"/>
      <c r="N107" s="135"/>
      <c r="O107" s="135"/>
      <c r="P107" s="113"/>
      <c r="Q107" s="113"/>
      <c r="R107" s="156">
        <v>-209</v>
      </c>
      <c r="S107" s="139"/>
      <c r="T107" s="2"/>
      <c r="U107" s="4"/>
    </row>
    <row r="108" spans="1:21" ht="15.6" x14ac:dyDescent="0.3">
      <c r="A108" s="122">
        <v>6</v>
      </c>
      <c r="B108" s="113" t="s">
        <v>189</v>
      </c>
      <c r="C108" s="113"/>
      <c r="D108" s="135"/>
      <c r="E108" s="135"/>
      <c r="F108" s="135"/>
      <c r="G108" s="135"/>
      <c r="H108" s="135"/>
      <c r="I108" s="135"/>
      <c r="J108" s="135"/>
      <c r="K108" s="135"/>
      <c r="L108" s="135"/>
      <c r="M108" s="135"/>
      <c r="N108" s="135"/>
      <c r="O108" s="135"/>
      <c r="P108" s="113"/>
      <c r="Q108" s="113"/>
      <c r="R108" s="156">
        <v>-49</v>
      </c>
      <c r="S108" s="139"/>
      <c r="T108" s="2"/>
      <c r="U108" s="4"/>
    </row>
    <row r="109" spans="1:21" ht="15.6" x14ac:dyDescent="0.3">
      <c r="A109" s="122">
        <v>7</v>
      </c>
      <c r="B109" s="113" t="s">
        <v>190</v>
      </c>
      <c r="C109" s="113"/>
      <c r="D109" s="135"/>
      <c r="E109" s="135"/>
      <c r="F109" s="135"/>
      <c r="G109" s="135"/>
      <c r="H109" s="135"/>
      <c r="I109" s="135"/>
      <c r="J109" s="135"/>
      <c r="K109" s="135"/>
      <c r="L109" s="135"/>
      <c r="M109" s="135"/>
      <c r="N109" s="135"/>
      <c r="O109" s="135"/>
      <c r="P109" s="113"/>
      <c r="Q109" s="113"/>
      <c r="R109" s="156">
        <v>-59</v>
      </c>
      <c r="S109" s="139"/>
      <c r="T109" s="2"/>
      <c r="U109" s="4"/>
    </row>
    <row r="110" spans="1:21" ht="15.6" x14ac:dyDescent="0.3">
      <c r="A110" s="122">
        <v>8</v>
      </c>
      <c r="B110" s="113" t="s">
        <v>156</v>
      </c>
      <c r="C110" s="113"/>
      <c r="D110" s="135"/>
      <c r="E110" s="135"/>
      <c r="F110" s="135"/>
      <c r="G110" s="135"/>
      <c r="H110" s="135"/>
      <c r="I110" s="135"/>
      <c r="J110" s="135"/>
      <c r="K110" s="135"/>
      <c r="L110" s="135"/>
      <c r="M110" s="135"/>
      <c r="N110" s="135"/>
      <c r="O110" s="135"/>
      <c r="P110" s="113"/>
      <c r="Q110" s="113"/>
      <c r="R110" s="156">
        <v>0</v>
      </c>
      <c r="S110" s="139"/>
      <c r="T110" s="2"/>
      <c r="U110" s="4"/>
    </row>
    <row r="111" spans="1:21" ht="15.6" x14ac:dyDescent="0.3">
      <c r="A111" s="122">
        <v>9</v>
      </c>
      <c r="B111" s="113" t="s">
        <v>37</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22">
        <v>10</v>
      </c>
      <c r="B112" s="113" t="s">
        <v>101</v>
      </c>
      <c r="C112" s="113"/>
      <c r="D112" s="135"/>
      <c r="E112" s="135"/>
      <c r="F112" s="135"/>
      <c r="G112" s="135"/>
      <c r="H112" s="135"/>
      <c r="I112" s="135"/>
      <c r="J112" s="135"/>
      <c r="K112" s="135"/>
      <c r="L112" s="135"/>
      <c r="M112" s="135"/>
      <c r="N112" s="135"/>
      <c r="O112" s="135"/>
      <c r="P112" s="113"/>
      <c r="Q112" s="113"/>
      <c r="R112" s="156">
        <v>0</v>
      </c>
      <c r="S112" s="139"/>
      <c r="T112" s="2"/>
    </row>
    <row r="113" spans="1:20" ht="15.6" x14ac:dyDescent="0.3">
      <c r="A113" s="122">
        <v>11</v>
      </c>
      <c r="B113" s="113" t="s">
        <v>29</v>
      </c>
      <c r="C113" s="113"/>
      <c r="D113" s="135"/>
      <c r="E113" s="135"/>
      <c r="F113" s="135"/>
      <c r="G113" s="135"/>
      <c r="H113" s="135"/>
      <c r="I113" s="135"/>
      <c r="J113" s="135"/>
      <c r="K113" s="135"/>
      <c r="L113" s="135"/>
      <c r="M113" s="135"/>
      <c r="N113" s="135"/>
      <c r="O113" s="135"/>
      <c r="P113" s="113"/>
      <c r="Q113" s="113"/>
      <c r="R113" s="156">
        <v>-20</v>
      </c>
      <c r="S113" s="139"/>
      <c r="T113" s="2"/>
    </row>
    <row r="114" spans="1:20" ht="15.6" x14ac:dyDescent="0.3">
      <c r="A114" s="122">
        <v>12</v>
      </c>
      <c r="B114" s="113" t="s">
        <v>138</v>
      </c>
      <c r="C114" s="113"/>
      <c r="D114" s="135"/>
      <c r="E114" s="135"/>
      <c r="F114" s="135"/>
      <c r="G114" s="135"/>
      <c r="H114" s="135"/>
      <c r="I114" s="135"/>
      <c r="J114" s="135"/>
      <c r="K114" s="135"/>
      <c r="L114" s="135"/>
      <c r="M114" s="135"/>
      <c r="N114" s="135"/>
      <c r="O114" s="135"/>
      <c r="P114" s="113"/>
      <c r="Q114" s="113"/>
      <c r="R114" s="156">
        <v>0</v>
      </c>
      <c r="S114" s="139"/>
      <c r="T114" s="2"/>
    </row>
    <row r="115" spans="1:20" ht="15.6" x14ac:dyDescent="0.3">
      <c r="A115" s="122">
        <v>13</v>
      </c>
      <c r="B115" s="113" t="s">
        <v>267</v>
      </c>
      <c r="C115" s="113"/>
      <c r="D115" s="135"/>
      <c r="E115" s="135"/>
      <c r="F115" s="135"/>
      <c r="G115" s="135"/>
      <c r="H115" s="135"/>
      <c r="I115" s="135"/>
      <c r="J115" s="135"/>
      <c r="K115" s="135"/>
      <c r="L115" s="135"/>
      <c r="M115" s="135"/>
      <c r="N115" s="135"/>
      <c r="O115" s="135"/>
      <c r="P115" s="113"/>
      <c r="Q115" s="113"/>
      <c r="R115" s="156">
        <v>-43</v>
      </c>
      <c r="S115" s="139"/>
      <c r="T115" s="2"/>
    </row>
    <row r="116" spans="1:20" ht="15.6" x14ac:dyDescent="0.3">
      <c r="A116" s="122">
        <v>14</v>
      </c>
      <c r="B116" s="113" t="s">
        <v>157</v>
      </c>
      <c r="C116" s="113"/>
      <c r="D116" s="135"/>
      <c r="E116" s="135"/>
      <c r="F116" s="135"/>
      <c r="G116" s="135"/>
      <c r="H116" s="135"/>
      <c r="I116" s="135"/>
      <c r="J116" s="135"/>
      <c r="K116" s="135"/>
      <c r="L116" s="135"/>
      <c r="M116" s="135"/>
      <c r="N116" s="135"/>
      <c r="O116" s="135"/>
      <c r="P116" s="113"/>
      <c r="Q116" s="113"/>
      <c r="R116" s="156">
        <v>0</v>
      </c>
      <c r="S116" s="139"/>
      <c r="T116" s="2"/>
    </row>
    <row r="117" spans="1:20" ht="15.6" x14ac:dyDescent="0.3">
      <c r="A117" s="122">
        <v>15</v>
      </c>
      <c r="B117" s="113" t="s">
        <v>207</v>
      </c>
      <c r="C117" s="113"/>
      <c r="D117" s="135"/>
      <c r="E117" s="135"/>
      <c r="F117" s="135"/>
      <c r="G117" s="135"/>
      <c r="H117" s="135"/>
      <c r="I117" s="135"/>
      <c r="J117" s="135"/>
      <c r="K117" s="135"/>
      <c r="L117" s="135"/>
      <c r="M117" s="135"/>
      <c r="N117" s="135"/>
      <c r="O117" s="135"/>
      <c r="P117" s="113"/>
      <c r="Q117" s="113"/>
      <c r="R117" s="156">
        <v>-63</v>
      </c>
      <c r="S117" s="139"/>
      <c r="T117" s="2"/>
    </row>
    <row r="118" spans="1:20" ht="15.6" x14ac:dyDescent="0.3">
      <c r="A118" s="122">
        <v>16</v>
      </c>
      <c r="B118" s="113" t="s">
        <v>167</v>
      </c>
      <c r="C118" s="113"/>
      <c r="D118" s="135"/>
      <c r="E118" s="135"/>
      <c r="F118" s="135"/>
      <c r="G118" s="135"/>
      <c r="H118" s="135"/>
      <c r="I118" s="135"/>
      <c r="J118" s="135"/>
      <c r="K118" s="135"/>
      <c r="L118" s="135"/>
      <c r="M118" s="135"/>
      <c r="N118" s="135"/>
      <c r="O118" s="135"/>
      <c r="P118" s="113"/>
      <c r="Q118" s="113"/>
      <c r="R118" s="156">
        <f>-16-177</f>
        <v>-193</v>
      </c>
      <c r="S118" s="139"/>
      <c r="T118" s="2"/>
    </row>
    <row r="119" spans="1:20" ht="15.6" x14ac:dyDescent="0.3">
      <c r="A119" s="122">
        <v>17</v>
      </c>
      <c r="B119" s="113" t="s">
        <v>268</v>
      </c>
      <c r="C119" s="113"/>
      <c r="D119" s="135"/>
      <c r="E119" s="135"/>
      <c r="F119" s="135"/>
      <c r="G119" s="135"/>
      <c r="H119" s="135"/>
      <c r="I119" s="135"/>
      <c r="J119" s="135"/>
      <c r="K119" s="135"/>
      <c r="L119" s="135"/>
      <c r="M119" s="135"/>
      <c r="N119" s="135"/>
      <c r="O119" s="135"/>
      <c r="P119" s="113"/>
      <c r="Q119" s="113"/>
      <c r="R119" s="156">
        <f>-R100-SUM(R102:R118)</f>
        <v>-958</v>
      </c>
      <c r="S119" s="139"/>
      <c r="T119" s="2"/>
    </row>
    <row r="120" spans="1:20" ht="15.6" x14ac:dyDescent="0.3">
      <c r="A120" s="112"/>
      <c r="B120" s="160" t="s">
        <v>30</v>
      </c>
      <c r="C120" s="135"/>
      <c r="D120" s="135"/>
      <c r="E120" s="135"/>
      <c r="F120" s="135"/>
      <c r="G120" s="135"/>
      <c r="H120" s="135"/>
      <c r="I120" s="135"/>
      <c r="J120" s="135"/>
      <c r="K120" s="135"/>
      <c r="L120" s="135"/>
      <c r="M120" s="135"/>
      <c r="N120" s="135"/>
      <c r="O120" s="135"/>
      <c r="P120" s="113"/>
      <c r="Q120" s="113"/>
      <c r="R120" s="161"/>
      <c r="S120" s="139"/>
      <c r="T120" s="2"/>
    </row>
    <row r="121" spans="1:20" ht="15.6" x14ac:dyDescent="0.3">
      <c r="A121" s="112"/>
      <c r="B121" s="113" t="s">
        <v>208</v>
      </c>
      <c r="C121" s="135"/>
      <c r="D121" s="135"/>
      <c r="E121" s="135"/>
      <c r="F121" s="135"/>
      <c r="G121" s="135"/>
      <c r="H121" s="135"/>
      <c r="I121" s="135"/>
      <c r="J121" s="135"/>
      <c r="K121" s="135"/>
      <c r="L121" s="135"/>
      <c r="M121" s="135"/>
      <c r="N121" s="135"/>
      <c r="O121" s="135"/>
      <c r="P121" s="155">
        <f>-P188</f>
        <v>-3</v>
      </c>
      <c r="Q121" s="155"/>
      <c r="R121" s="156"/>
      <c r="S121" s="139"/>
      <c r="T121" s="2"/>
    </row>
    <row r="122" spans="1:20" ht="15.6" x14ac:dyDescent="0.3">
      <c r="A122" s="112"/>
      <c r="B122" s="113" t="s">
        <v>209</v>
      </c>
      <c r="C122" s="135"/>
      <c r="D122" s="135"/>
      <c r="E122" s="135"/>
      <c r="F122" s="135"/>
      <c r="G122" s="135"/>
      <c r="H122" s="135"/>
      <c r="I122" s="135"/>
      <c r="J122" s="135"/>
      <c r="K122" s="135"/>
      <c r="L122" s="135"/>
      <c r="M122" s="135"/>
      <c r="N122" s="135"/>
      <c r="O122" s="135"/>
      <c r="P122" s="155">
        <f>-O188</f>
        <v>0</v>
      </c>
      <c r="Q122" s="155"/>
      <c r="R122" s="156"/>
      <c r="S122" s="139"/>
      <c r="T122" s="2"/>
    </row>
    <row r="123" spans="1:20" ht="15.6" x14ac:dyDescent="0.3">
      <c r="A123" s="112"/>
      <c r="B123" s="113" t="s">
        <v>270</v>
      </c>
      <c r="C123" s="135"/>
      <c r="D123" s="135"/>
      <c r="E123" s="135"/>
      <c r="F123" s="135"/>
      <c r="G123" s="135"/>
      <c r="H123" s="135"/>
      <c r="I123" s="135"/>
      <c r="J123" s="135"/>
      <c r="K123" s="135"/>
      <c r="L123" s="135"/>
      <c r="M123" s="135"/>
      <c r="N123" s="135"/>
      <c r="O123" s="135"/>
      <c r="P123" s="155">
        <v>-17208</v>
      </c>
      <c r="Q123" s="155"/>
      <c r="R123" s="156"/>
      <c r="S123" s="139"/>
      <c r="T123" s="2"/>
    </row>
    <row r="124" spans="1:20" ht="15.6" x14ac:dyDescent="0.3">
      <c r="A124" s="112"/>
      <c r="B124" s="113" t="s">
        <v>269</v>
      </c>
      <c r="C124" s="135"/>
      <c r="D124" s="135"/>
      <c r="E124" s="135"/>
      <c r="F124" s="135"/>
      <c r="G124" s="135"/>
      <c r="H124" s="135"/>
      <c r="I124" s="135"/>
      <c r="J124" s="135"/>
      <c r="K124" s="135"/>
      <c r="L124" s="135"/>
      <c r="M124" s="135"/>
      <c r="N124" s="135"/>
      <c r="O124" s="135"/>
      <c r="P124" s="155">
        <v>-22348</v>
      </c>
      <c r="Q124" s="155"/>
      <c r="R124" s="156"/>
      <c r="S124" s="139"/>
      <c r="T124" s="2"/>
    </row>
    <row r="125" spans="1:20" ht="15.6" x14ac:dyDescent="0.3">
      <c r="A125" s="112"/>
      <c r="B125" s="113" t="s">
        <v>181</v>
      </c>
      <c r="C125" s="135"/>
      <c r="D125" s="135"/>
      <c r="E125" s="135"/>
      <c r="F125" s="135"/>
      <c r="G125" s="135"/>
      <c r="H125" s="135"/>
      <c r="I125" s="135"/>
      <c r="J125" s="135"/>
      <c r="K125" s="135"/>
      <c r="L125" s="135"/>
      <c r="M125" s="135"/>
      <c r="N125" s="135"/>
      <c r="O125" s="135"/>
      <c r="P125" s="155">
        <v>0</v>
      </c>
      <c r="Q125" s="155"/>
      <c r="R125" s="156"/>
      <c r="S125" s="139"/>
      <c r="T125" s="2"/>
    </row>
    <row r="126" spans="1:20" ht="15.6" x14ac:dyDescent="0.3">
      <c r="A126" s="112"/>
      <c r="B126" s="113" t="s">
        <v>182</v>
      </c>
      <c r="C126" s="135"/>
      <c r="D126" s="135"/>
      <c r="E126" s="135"/>
      <c r="F126" s="135"/>
      <c r="G126" s="135"/>
      <c r="H126" s="135"/>
      <c r="I126" s="135"/>
      <c r="J126" s="135"/>
      <c r="K126" s="135"/>
      <c r="L126" s="135"/>
      <c r="M126" s="135"/>
      <c r="N126" s="135"/>
      <c r="O126" s="135"/>
      <c r="P126" s="155">
        <v>0</v>
      </c>
      <c r="Q126" s="155"/>
      <c r="R126" s="156"/>
      <c r="S126" s="139"/>
      <c r="T126" s="2"/>
    </row>
    <row r="127" spans="1:20" ht="15.6" x14ac:dyDescent="0.3">
      <c r="A127" s="112"/>
      <c r="B127" s="113" t="s">
        <v>271</v>
      </c>
      <c r="C127" s="135"/>
      <c r="D127" s="135"/>
      <c r="E127" s="135"/>
      <c r="F127" s="135"/>
      <c r="G127" s="135"/>
      <c r="H127" s="135"/>
      <c r="I127" s="135"/>
      <c r="J127" s="135"/>
      <c r="K127" s="135"/>
      <c r="L127" s="135"/>
      <c r="M127" s="135"/>
      <c r="N127" s="135"/>
      <c r="O127" s="135"/>
      <c r="P127" s="155">
        <v>0</v>
      </c>
      <c r="Q127" s="155"/>
      <c r="R127" s="156"/>
      <c r="S127" s="139"/>
      <c r="T127" s="2"/>
    </row>
    <row r="128" spans="1:20" ht="15.6" x14ac:dyDescent="0.3">
      <c r="A128" s="112"/>
      <c r="B128" s="113" t="s">
        <v>31</v>
      </c>
      <c r="C128" s="135"/>
      <c r="D128" s="135"/>
      <c r="E128" s="135"/>
      <c r="F128" s="135"/>
      <c r="G128" s="135"/>
      <c r="H128" s="135"/>
      <c r="I128" s="135"/>
      <c r="J128" s="135"/>
      <c r="K128" s="135"/>
      <c r="L128" s="135"/>
      <c r="M128" s="135"/>
      <c r="N128" s="135"/>
      <c r="O128" s="135"/>
      <c r="P128" s="155">
        <f>SUM(P121:P127)</f>
        <v>-39559</v>
      </c>
      <c r="Q128" s="155"/>
      <c r="R128" s="155">
        <f>SUM(R101:R127)</f>
        <v>-1939</v>
      </c>
      <c r="S128" s="139"/>
      <c r="T128" s="2"/>
    </row>
    <row r="129" spans="1:20" ht="15.6" x14ac:dyDescent="0.3">
      <c r="A129" s="112"/>
      <c r="B129" s="113" t="s">
        <v>32</v>
      </c>
      <c r="C129" s="135"/>
      <c r="D129" s="135"/>
      <c r="E129" s="135"/>
      <c r="F129" s="135"/>
      <c r="G129" s="135"/>
      <c r="H129" s="135"/>
      <c r="I129" s="135"/>
      <c r="J129" s="135"/>
      <c r="K129" s="135"/>
      <c r="L129" s="135"/>
      <c r="M129" s="135"/>
      <c r="N129" s="135"/>
      <c r="O129" s="135"/>
      <c r="P129" s="155">
        <f>P100+P128+P111</f>
        <v>0</v>
      </c>
      <c r="Q129" s="155"/>
      <c r="R129" s="155">
        <f>R100+R128</f>
        <v>0</v>
      </c>
      <c r="S129" s="139"/>
      <c r="T129" s="2"/>
    </row>
    <row r="130" spans="1:20" ht="15.6" x14ac:dyDescent="0.3">
      <c r="A130" s="12"/>
      <c r="B130" s="43"/>
      <c r="C130" s="43"/>
      <c r="D130" s="43"/>
      <c r="E130" s="43"/>
      <c r="F130" s="43"/>
      <c r="G130" s="43"/>
      <c r="H130" s="43"/>
      <c r="I130" s="43"/>
      <c r="J130" s="43"/>
      <c r="K130" s="43"/>
      <c r="L130" s="43"/>
      <c r="M130" s="43"/>
      <c r="N130" s="43"/>
      <c r="O130" s="43"/>
      <c r="P130" s="153"/>
      <c r="Q130" s="153"/>
      <c r="R130" s="153"/>
      <c r="S130" s="217"/>
      <c r="T130" s="2"/>
    </row>
    <row r="131" spans="1:20" ht="15.6" x14ac:dyDescent="0.3">
      <c r="A131" s="12"/>
      <c r="B131" s="14"/>
      <c r="C131" s="14"/>
      <c r="D131" s="14"/>
      <c r="E131" s="14"/>
      <c r="F131" s="14"/>
      <c r="G131" s="14"/>
      <c r="H131" s="14"/>
      <c r="I131" s="14"/>
      <c r="J131" s="14"/>
      <c r="K131" s="14"/>
      <c r="L131" s="14"/>
      <c r="M131" s="14"/>
      <c r="N131" s="14"/>
      <c r="O131" s="14"/>
      <c r="P131" s="14"/>
      <c r="Q131" s="14"/>
      <c r="R131" s="33"/>
      <c r="S131" s="217"/>
      <c r="T131" s="2"/>
    </row>
    <row r="132" spans="1:20" ht="18" thickBot="1" x14ac:dyDescent="0.35">
      <c r="A132" s="28"/>
      <c r="B132" s="97" t="str">
        <f>B60</f>
        <v>PM22 INVESTOR REPORT QUARTER ENDING AUGUST 2017</v>
      </c>
      <c r="C132" s="29"/>
      <c r="D132" s="29"/>
      <c r="E132" s="29"/>
      <c r="F132" s="29"/>
      <c r="G132" s="29"/>
      <c r="H132" s="29"/>
      <c r="I132" s="29"/>
      <c r="J132" s="29"/>
      <c r="K132" s="29"/>
      <c r="L132" s="29"/>
      <c r="M132" s="29"/>
      <c r="N132" s="29"/>
      <c r="O132" s="29"/>
      <c r="P132" s="29"/>
      <c r="Q132" s="29"/>
      <c r="R132" s="40"/>
      <c r="S132" s="31"/>
      <c r="T132" s="2"/>
    </row>
    <row r="133" spans="1:20" ht="15.6" x14ac:dyDescent="0.3">
      <c r="A133" s="65"/>
      <c r="B133" s="66" t="s">
        <v>33</v>
      </c>
      <c r="C133" s="67"/>
      <c r="D133" s="67"/>
      <c r="E133" s="67"/>
      <c r="F133" s="67"/>
      <c r="G133" s="67"/>
      <c r="H133" s="67"/>
      <c r="I133" s="67"/>
      <c r="J133" s="67"/>
      <c r="K133" s="67"/>
      <c r="L133" s="67"/>
      <c r="M133" s="67"/>
      <c r="N133" s="67"/>
      <c r="O133" s="67"/>
      <c r="P133" s="67"/>
      <c r="Q133" s="67"/>
      <c r="R133" s="68"/>
      <c r="S133" s="223"/>
      <c r="T133" s="2"/>
    </row>
    <row r="134" spans="1:20" ht="15.6" x14ac:dyDescent="0.3">
      <c r="A134" s="12"/>
      <c r="B134" s="22"/>
      <c r="C134" s="14"/>
      <c r="D134" s="14"/>
      <c r="E134" s="14"/>
      <c r="F134" s="14"/>
      <c r="G134" s="14"/>
      <c r="H134" s="14"/>
      <c r="I134" s="14"/>
      <c r="J134" s="14"/>
      <c r="K134" s="14"/>
      <c r="L134" s="14"/>
      <c r="M134" s="14"/>
      <c r="N134" s="14"/>
      <c r="O134" s="14"/>
      <c r="P134" s="14"/>
      <c r="Q134" s="14"/>
      <c r="R134" s="33"/>
      <c r="S134" s="217"/>
      <c r="T134" s="2"/>
    </row>
    <row r="135" spans="1:20" ht="15.6" x14ac:dyDescent="0.3">
      <c r="A135" s="12"/>
      <c r="B135" s="41" t="s">
        <v>34</v>
      </c>
      <c r="C135" s="14"/>
      <c r="D135" s="14"/>
      <c r="E135" s="14"/>
      <c r="F135" s="14"/>
      <c r="G135" s="14"/>
      <c r="H135" s="14"/>
      <c r="I135" s="14"/>
      <c r="J135" s="14"/>
      <c r="K135" s="14"/>
      <c r="L135" s="14"/>
      <c r="M135" s="14"/>
      <c r="N135" s="14"/>
      <c r="O135" s="14"/>
      <c r="P135" s="14"/>
      <c r="Q135" s="14"/>
      <c r="R135" s="33"/>
      <c r="S135" s="217"/>
      <c r="T135" s="2"/>
    </row>
    <row r="136" spans="1:20" ht="15.6" x14ac:dyDescent="0.3">
      <c r="A136" s="112"/>
      <c r="B136" s="113" t="s">
        <v>35</v>
      </c>
      <c r="C136" s="113"/>
      <c r="D136" s="113"/>
      <c r="E136" s="113"/>
      <c r="F136" s="113"/>
      <c r="G136" s="113"/>
      <c r="H136" s="113"/>
      <c r="I136" s="113"/>
      <c r="J136" s="113"/>
      <c r="K136" s="113"/>
      <c r="L136" s="113"/>
      <c r="M136" s="113"/>
      <c r="N136" s="113"/>
      <c r="O136" s="113"/>
      <c r="P136" s="113"/>
      <c r="Q136" s="113"/>
      <c r="R136" s="156">
        <v>7502</v>
      </c>
      <c r="S136" s="116"/>
      <c r="T136" s="2"/>
    </row>
    <row r="137" spans="1:20" ht="15.6" x14ac:dyDescent="0.3">
      <c r="A137" s="112"/>
      <c r="B137" s="113" t="s">
        <v>36</v>
      </c>
      <c r="C137" s="113"/>
      <c r="D137" s="113"/>
      <c r="E137" s="113"/>
      <c r="F137" s="113"/>
      <c r="G137" s="113"/>
      <c r="H137" s="113"/>
      <c r="I137" s="113"/>
      <c r="J137" s="113"/>
      <c r="K137" s="113"/>
      <c r="L137" s="113"/>
      <c r="M137" s="113"/>
      <c r="N137" s="113"/>
      <c r="O137" s="113"/>
      <c r="P137" s="113"/>
      <c r="Q137" s="113"/>
      <c r="R137" s="156">
        <v>0</v>
      </c>
      <c r="S137" s="116"/>
      <c r="T137" s="2"/>
    </row>
    <row r="138" spans="1:20" ht="15.6" x14ac:dyDescent="0.3">
      <c r="A138" s="112"/>
      <c r="B138" s="113" t="s">
        <v>169</v>
      </c>
      <c r="C138" s="113"/>
      <c r="D138" s="113"/>
      <c r="E138" s="113"/>
      <c r="F138" s="113"/>
      <c r="G138" s="113"/>
      <c r="H138" s="113"/>
      <c r="I138" s="113"/>
      <c r="J138" s="113"/>
      <c r="K138" s="113"/>
      <c r="L138" s="113"/>
      <c r="M138" s="113"/>
      <c r="N138" s="113"/>
      <c r="O138" s="113"/>
      <c r="P138" s="113"/>
      <c r="Q138" s="113"/>
      <c r="R138" s="156">
        <f>R136-R139</f>
        <v>4513.2009549574996</v>
      </c>
      <c r="S138" s="116"/>
      <c r="T138" s="2"/>
    </row>
    <row r="139" spans="1:20" ht="15.6" x14ac:dyDescent="0.3">
      <c r="A139" s="112"/>
      <c r="B139" s="113" t="s">
        <v>210</v>
      </c>
      <c r="C139" s="113"/>
      <c r="D139" s="113"/>
      <c r="E139" s="113"/>
      <c r="F139" s="113"/>
      <c r="G139" s="113"/>
      <c r="H139" s="113"/>
      <c r="I139" s="113"/>
      <c r="J139" s="113"/>
      <c r="K139" s="113"/>
      <c r="L139" s="113"/>
      <c r="M139" s="113"/>
      <c r="N139" s="113"/>
      <c r="O139" s="113"/>
      <c r="P139" s="113"/>
      <c r="Q139" s="113"/>
      <c r="R139" s="156">
        <f>SUM(D33:J33)*0.025</f>
        <v>2988.7990450425004</v>
      </c>
      <c r="S139" s="116"/>
      <c r="T139" s="2"/>
    </row>
    <row r="140" spans="1:20" ht="15.6" x14ac:dyDescent="0.3">
      <c r="A140" s="112"/>
      <c r="B140" s="113" t="s">
        <v>108</v>
      </c>
      <c r="C140" s="113"/>
      <c r="D140" s="113"/>
      <c r="E140" s="113"/>
      <c r="F140" s="113"/>
      <c r="G140" s="113"/>
      <c r="H140" s="113"/>
      <c r="I140" s="113"/>
      <c r="J140" s="113"/>
      <c r="K140" s="113"/>
      <c r="L140" s="113"/>
      <c r="M140" s="113"/>
      <c r="N140" s="113"/>
      <c r="O140" s="113"/>
      <c r="P140" s="113"/>
      <c r="Q140" s="113"/>
      <c r="R140" s="156"/>
      <c r="S140" s="116"/>
      <c r="T140" s="2"/>
    </row>
    <row r="141" spans="1:20" ht="15.6" x14ac:dyDescent="0.3">
      <c r="A141" s="112"/>
      <c r="B141" s="113" t="s">
        <v>155</v>
      </c>
      <c r="C141" s="113"/>
      <c r="D141" s="113"/>
      <c r="E141" s="113"/>
      <c r="F141" s="113"/>
      <c r="G141" s="113"/>
      <c r="H141" s="113"/>
      <c r="I141" s="113"/>
      <c r="J141" s="113"/>
      <c r="K141" s="113"/>
      <c r="L141" s="113"/>
      <c r="M141" s="113"/>
      <c r="N141" s="113"/>
      <c r="O141" s="113"/>
      <c r="P141" s="113"/>
      <c r="Q141" s="113"/>
      <c r="R141" s="156">
        <v>0</v>
      </c>
      <c r="S141" s="116"/>
      <c r="T141" s="2"/>
    </row>
    <row r="142" spans="1:20" ht="15.6" x14ac:dyDescent="0.3">
      <c r="A142" s="112"/>
      <c r="B142" s="113" t="s">
        <v>189</v>
      </c>
      <c r="C142" s="113"/>
      <c r="D142" s="113"/>
      <c r="E142" s="113"/>
      <c r="F142" s="113"/>
      <c r="G142" s="113"/>
      <c r="H142" s="113"/>
      <c r="I142" s="113"/>
      <c r="J142" s="113"/>
      <c r="K142" s="113"/>
      <c r="L142" s="113"/>
      <c r="M142" s="113"/>
      <c r="N142" s="113"/>
      <c r="O142" s="113"/>
      <c r="P142" s="113"/>
      <c r="Q142" s="113"/>
      <c r="R142" s="156">
        <v>0</v>
      </c>
      <c r="S142" s="116"/>
      <c r="T142" s="2"/>
    </row>
    <row r="143" spans="1:20" ht="15.6" x14ac:dyDescent="0.3">
      <c r="A143" s="112"/>
      <c r="B143" s="113" t="s">
        <v>190</v>
      </c>
      <c r="C143" s="113"/>
      <c r="D143" s="113"/>
      <c r="E143" s="113"/>
      <c r="F143" s="113"/>
      <c r="G143" s="113"/>
      <c r="H143" s="113"/>
      <c r="I143" s="113"/>
      <c r="J143" s="113"/>
      <c r="K143" s="113"/>
      <c r="L143" s="113"/>
      <c r="M143" s="113"/>
      <c r="N143" s="113"/>
      <c r="O143" s="113"/>
      <c r="P143" s="113"/>
      <c r="Q143" s="113"/>
      <c r="R143" s="156">
        <v>0</v>
      </c>
      <c r="S143" s="116"/>
      <c r="T143" s="2"/>
    </row>
    <row r="144" spans="1:20" ht="15.6" x14ac:dyDescent="0.3">
      <c r="A144" s="112"/>
      <c r="B144" s="113" t="s">
        <v>37</v>
      </c>
      <c r="C144" s="113"/>
      <c r="D144" s="113"/>
      <c r="E144" s="113"/>
      <c r="F144" s="113"/>
      <c r="G144" s="113"/>
      <c r="H144" s="113"/>
      <c r="I144" s="113"/>
      <c r="J144" s="113"/>
      <c r="K144" s="113"/>
      <c r="L144" s="113"/>
      <c r="M144" s="113"/>
      <c r="N144" s="113"/>
      <c r="O144" s="113"/>
      <c r="P144" s="113"/>
      <c r="Q144" s="113"/>
      <c r="R144" s="156">
        <v>0</v>
      </c>
      <c r="S144" s="116"/>
      <c r="T144" s="2"/>
    </row>
    <row r="145" spans="1:21" ht="15.6" x14ac:dyDescent="0.3">
      <c r="A145" s="112"/>
      <c r="B145" s="113" t="s">
        <v>102</v>
      </c>
      <c r="C145" s="113"/>
      <c r="D145" s="113"/>
      <c r="E145" s="113"/>
      <c r="F145" s="113"/>
      <c r="G145" s="113"/>
      <c r="H145" s="113"/>
      <c r="I145" s="113"/>
      <c r="J145" s="113"/>
      <c r="K145" s="113"/>
      <c r="L145" s="113"/>
      <c r="M145" s="113"/>
      <c r="N145" s="113"/>
      <c r="O145" s="113"/>
      <c r="P145" s="113"/>
      <c r="Q145" s="113"/>
      <c r="R145" s="156">
        <v>0</v>
      </c>
      <c r="S145" s="116"/>
      <c r="T145" s="2"/>
    </row>
    <row r="146" spans="1:21" ht="15.6" x14ac:dyDescent="0.3">
      <c r="A146" s="112"/>
      <c r="B146" s="113" t="s">
        <v>256</v>
      </c>
      <c r="C146" s="113"/>
      <c r="D146" s="113"/>
      <c r="E146" s="113"/>
      <c r="F146" s="113"/>
      <c r="G146" s="113"/>
      <c r="H146" s="113"/>
      <c r="I146" s="113"/>
      <c r="J146" s="113"/>
      <c r="K146" s="113"/>
      <c r="L146" s="113"/>
      <c r="M146" s="113"/>
      <c r="N146" s="113"/>
      <c r="O146" s="113"/>
      <c r="P146" s="113"/>
      <c r="Q146" s="113"/>
      <c r="R146" s="156">
        <v>0</v>
      </c>
      <c r="S146" s="116"/>
      <c r="T146" s="2"/>
      <c r="U146" s="4"/>
    </row>
    <row r="147" spans="1:21" ht="15.6" x14ac:dyDescent="0.3">
      <c r="A147" s="112"/>
      <c r="B147" s="113" t="s">
        <v>38</v>
      </c>
      <c r="C147" s="113"/>
      <c r="D147" s="113"/>
      <c r="E147" s="113"/>
      <c r="F147" s="113"/>
      <c r="G147" s="113"/>
      <c r="H147" s="113"/>
      <c r="I147" s="113"/>
      <c r="J147" s="113"/>
      <c r="K147" s="113"/>
      <c r="L147" s="113"/>
      <c r="M147" s="113"/>
      <c r="N147" s="113"/>
      <c r="O147" s="113"/>
      <c r="P147" s="113"/>
      <c r="Q147" s="113"/>
      <c r="R147" s="156">
        <f>SUM(R137:R146)</f>
        <v>7502</v>
      </c>
      <c r="S147" s="116"/>
      <c r="T147" s="2"/>
    </row>
    <row r="148" spans="1:21" ht="15.6" x14ac:dyDescent="0.3">
      <c r="A148" s="12"/>
      <c r="B148" s="43"/>
      <c r="C148" s="43"/>
      <c r="D148" s="43"/>
      <c r="E148" s="43"/>
      <c r="F148" s="43"/>
      <c r="G148" s="43"/>
      <c r="H148" s="43"/>
      <c r="I148" s="43"/>
      <c r="J148" s="43"/>
      <c r="K148" s="43"/>
      <c r="L148" s="43"/>
      <c r="M148" s="43"/>
      <c r="N148" s="43"/>
      <c r="O148" s="43"/>
      <c r="P148" s="43"/>
      <c r="Q148" s="43"/>
      <c r="R148" s="162"/>
      <c r="S148" s="217"/>
      <c r="T148" s="2"/>
    </row>
    <row r="149" spans="1:21" ht="15.6" x14ac:dyDescent="0.3">
      <c r="A149" s="12"/>
      <c r="B149" s="41" t="s">
        <v>203</v>
      </c>
      <c r="C149" s="14"/>
      <c r="D149" s="14"/>
      <c r="E149" s="14"/>
      <c r="F149" s="14"/>
      <c r="G149" s="14"/>
      <c r="H149" s="14"/>
      <c r="I149" s="14"/>
      <c r="J149" s="14"/>
      <c r="K149" s="14"/>
      <c r="L149" s="14"/>
      <c r="M149" s="14"/>
      <c r="N149" s="14"/>
      <c r="O149" s="14"/>
      <c r="P149" s="14"/>
      <c r="Q149" s="14"/>
      <c r="R149" s="33"/>
      <c r="S149" s="217"/>
      <c r="T149" s="2"/>
    </row>
    <row r="150" spans="1:21" ht="15.6" x14ac:dyDescent="0.3">
      <c r="A150" s="112"/>
      <c r="B150" s="113" t="s">
        <v>278</v>
      </c>
      <c r="C150" s="113"/>
      <c r="D150" s="113"/>
      <c r="E150" s="113"/>
      <c r="F150" s="113"/>
      <c r="G150" s="113"/>
      <c r="H150" s="113"/>
      <c r="I150" s="113"/>
      <c r="J150" s="113"/>
      <c r="K150" s="113"/>
      <c r="L150" s="113"/>
      <c r="M150" s="113"/>
      <c r="N150" s="113"/>
      <c r="O150" s="113"/>
      <c r="P150" s="113"/>
      <c r="Q150" s="113"/>
      <c r="R150" s="156">
        <v>0</v>
      </c>
      <c r="S150" s="139"/>
      <c r="T150" s="2"/>
    </row>
    <row r="151" spans="1:21" ht="15.6" x14ac:dyDescent="0.3">
      <c r="A151" s="112"/>
      <c r="B151" s="113" t="s">
        <v>191</v>
      </c>
      <c r="C151" s="115"/>
      <c r="D151" s="115"/>
      <c r="E151" s="115"/>
      <c r="F151" s="115"/>
      <c r="G151" s="115"/>
      <c r="H151" s="115"/>
      <c r="I151" s="115"/>
      <c r="J151" s="115"/>
      <c r="K151" s="115"/>
      <c r="L151" s="115"/>
      <c r="M151" s="115"/>
      <c r="N151" s="115"/>
      <c r="O151" s="115"/>
      <c r="P151" s="115"/>
      <c r="Q151" s="115"/>
      <c r="R151" s="156">
        <f>+J77</f>
        <v>0</v>
      </c>
      <c r="S151" s="139"/>
      <c r="T151" s="2"/>
    </row>
    <row r="152" spans="1:21" ht="15.6" x14ac:dyDescent="0.3">
      <c r="A152" s="112"/>
      <c r="B152" s="113" t="s">
        <v>205</v>
      </c>
      <c r="C152" s="113"/>
      <c r="D152" s="113"/>
      <c r="E152" s="113"/>
      <c r="F152" s="113"/>
      <c r="G152" s="113"/>
      <c r="H152" s="113"/>
      <c r="I152" s="113"/>
      <c r="J152" s="113"/>
      <c r="K152" s="113"/>
      <c r="L152" s="113"/>
      <c r="M152" s="113"/>
      <c r="N152" s="113"/>
      <c r="O152" s="113"/>
      <c r="P152" s="113"/>
      <c r="Q152" s="113"/>
      <c r="R152" s="156">
        <f>R150+R151</f>
        <v>0</v>
      </c>
      <c r="S152" s="139"/>
      <c r="T152" s="2"/>
    </row>
    <row r="153" spans="1:21" ht="15.6" x14ac:dyDescent="0.3">
      <c r="A153" s="12"/>
      <c r="B153" s="163"/>
      <c r="C153" s="163"/>
      <c r="D153" s="163"/>
      <c r="E153" s="163"/>
      <c r="F153" s="163"/>
      <c r="G153" s="163"/>
      <c r="H153" s="163"/>
      <c r="I153" s="163"/>
      <c r="J153" s="163"/>
      <c r="K153" s="163"/>
      <c r="L153" s="163"/>
      <c r="M153" s="163"/>
      <c r="N153" s="163"/>
      <c r="O153" s="163"/>
      <c r="P153" s="163"/>
      <c r="Q153" s="163"/>
      <c r="R153" s="195"/>
      <c r="S153" s="217"/>
      <c r="T153" s="2"/>
    </row>
    <row r="154" spans="1:21" ht="15.6" x14ac:dyDescent="0.3">
      <c r="A154" s="12"/>
      <c r="B154" s="41" t="s">
        <v>211</v>
      </c>
      <c r="C154" s="163"/>
      <c r="D154" s="163"/>
      <c r="E154" s="163"/>
      <c r="F154" s="163"/>
      <c r="G154" s="163"/>
      <c r="H154" s="163"/>
      <c r="I154" s="163"/>
      <c r="J154" s="163"/>
      <c r="K154" s="163"/>
      <c r="L154" s="163"/>
      <c r="M154" s="163"/>
      <c r="N154" s="163"/>
      <c r="O154" s="163"/>
      <c r="P154" s="163"/>
      <c r="Q154" s="163"/>
      <c r="R154" s="195"/>
      <c r="S154" s="217"/>
      <c r="T154" s="2"/>
    </row>
    <row r="155" spans="1:21" ht="15.6" x14ac:dyDescent="0.3">
      <c r="A155" s="231"/>
      <c r="B155" s="232" t="s">
        <v>277</v>
      </c>
      <c r="C155" s="232"/>
      <c r="D155" s="232"/>
      <c r="E155" s="232"/>
      <c r="F155" s="232"/>
      <c r="G155" s="232"/>
      <c r="H155" s="232"/>
      <c r="I155" s="232"/>
      <c r="J155" s="232"/>
      <c r="K155" s="232"/>
      <c r="L155" s="232"/>
      <c r="M155" s="232"/>
      <c r="N155" s="232"/>
      <c r="O155" s="232"/>
      <c r="P155" s="232"/>
      <c r="Q155" s="232"/>
      <c r="R155" s="233">
        <f>+'Feb 17'!R158</f>
        <v>0</v>
      </c>
      <c r="S155" s="234"/>
      <c r="T155" s="2"/>
    </row>
    <row r="156" spans="1:21" ht="15.6" x14ac:dyDescent="0.3">
      <c r="A156" s="231"/>
      <c r="B156" s="232" t="s">
        <v>213</v>
      </c>
      <c r="C156" s="232"/>
      <c r="D156" s="232"/>
      <c r="E156" s="232"/>
      <c r="F156" s="232"/>
      <c r="G156" s="232"/>
      <c r="H156" s="232"/>
      <c r="I156" s="232"/>
      <c r="J156" s="232"/>
      <c r="K156" s="232"/>
      <c r="L156" s="232"/>
      <c r="M156" s="232"/>
      <c r="N156" s="232"/>
      <c r="O156" s="232"/>
      <c r="P156" s="232"/>
      <c r="Q156" s="232"/>
      <c r="R156" s="233">
        <f>P86</f>
        <v>0</v>
      </c>
      <c r="S156" s="234"/>
      <c r="T156" s="2"/>
    </row>
    <row r="157" spans="1:21" ht="15.6" x14ac:dyDescent="0.3">
      <c r="A157" s="231"/>
      <c r="B157" s="232" t="s">
        <v>214</v>
      </c>
      <c r="C157" s="232"/>
      <c r="D157" s="232"/>
      <c r="E157" s="232"/>
      <c r="F157" s="232"/>
      <c r="G157" s="232"/>
      <c r="H157" s="232"/>
      <c r="I157" s="232"/>
      <c r="J157" s="232"/>
      <c r="K157" s="232"/>
      <c r="L157" s="232"/>
      <c r="M157" s="232"/>
      <c r="N157" s="232"/>
      <c r="O157" s="232"/>
      <c r="P157" s="232"/>
      <c r="Q157" s="232"/>
      <c r="R157" s="233">
        <v>0</v>
      </c>
      <c r="S157" s="234"/>
      <c r="T157" s="2"/>
    </row>
    <row r="158" spans="1:21" ht="15.6" x14ac:dyDescent="0.3">
      <c r="A158" s="231"/>
      <c r="B158" s="232" t="s">
        <v>215</v>
      </c>
      <c r="C158" s="232"/>
      <c r="D158" s="232"/>
      <c r="E158" s="232"/>
      <c r="F158" s="232"/>
      <c r="G158" s="232"/>
      <c r="H158" s="232"/>
      <c r="I158" s="232"/>
      <c r="J158" s="232"/>
      <c r="K158" s="232"/>
      <c r="L158" s="232"/>
      <c r="M158" s="232"/>
      <c r="N158" s="232"/>
      <c r="O158" s="232"/>
      <c r="P158" s="232"/>
      <c r="Q158" s="232"/>
      <c r="R158" s="233">
        <f>R155+R156+R157</f>
        <v>0</v>
      </c>
      <c r="S158" s="234"/>
      <c r="T158" s="2"/>
    </row>
    <row r="159" spans="1:21" ht="15.6" x14ac:dyDescent="0.3">
      <c r="A159" s="12"/>
      <c r="B159" s="43"/>
      <c r="C159" s="43"/>
      <c r="D159" s="43"/>
      <c r="E159" s="43"/>
      <c r="F159" s="43"/>
      <c r="G159" s="43"/>
      <c r="H159" s="43"/>
      <c r="I159" s="43"/>
      <c r="J159" s="43"/>
      <c r="K159" s="43"/>
      <c r="L159" s="43"/>
      <c r="M159" s="43"/>
      <c r="N159" s="43"/>
      <c r="O159" s="43"/>
      <c r="P159" s="43"/>
      <c r="Q159" s="43"/>
      <c r="R159" s="162"/>
      <c r="S159" s="217"/>
      <c r="T159" s="2"/>
    </row>
    <row r="160" spans="1:21" ht="15.6" x14ac:dyDescent="0.3">
      <c r="A160" s="12"/>
      <c r="B160" s="41" t="s">
        <v>39</v>
      </c>
      <c r="C160" s="14"/>
      <c r="D160" s="14"/>
      <c r="E160" s="14"/>
      <c r="F160" s="14"/>
      <c r="G160" s="14"/>
      <c r="H160" s="14"/>
      <c r="I160" s="14"/>
      <c r="J160" s="14"/>
      <c r="K160" s="14"/>
      <c r="L160" s="14"/>
      <c r="M160" s="14"/>
      <c r="N160" s="14"/>
      <c r="O160" s="14"/>
      <c r="P160" s="14"/>
      <c r="Q160" s="14"/>
      <c r="R160" s="42"/>
      <c r="S160" s="217"/>
      <c r="T160" s="2"/>
    </row>
    <row r="161" spans="1:252" ht="15.6" x14ac:dyDescent="0.3">
      <c r="A161" s="112"/>
      <c r="B161" s="113" t="s">
        <v>40</v>
      </c>
      <c r="C161" s="113"/>
      <c r="D161" s="113"/>
      <c r="E161" s="113"/>
      <c r="F161" s="113"/>
      <c r="G161" s="113"/>
      <c r="H161" s="113"/>
      <c r="I161" s="113"/>
      <c r="J161" s="113"/>
      <c r="K161" s="113"/>
      <c r="L161" s="113"/>
      <c r="M161" s="113"/>
      <c r="N161" s="113"/>
      <c r="O161" s="113"/>
      <c r="P161" s="113"/>
      <c r="Q161" s="113"/>
      <c r="R161" s="156">
        <v>0</v>
      </c>
      <c r="S161" s="116"/>
      <c r="T161" s="2"/>
    </row>
    <row r="162" spans="1:252" ht="15.6" x14ac:dyDescent="0.3">
      <c r="A162" s="112"/>
      <c r="B162" s="113" t="s">
        <v>41</v>
      </c>
      <c r="C162" s="113"/>
      <c r="D162" s="113"/>
      <c r="E162" s="113"/>
      <c r="F162" s="113"/>
      <c r="G162" s="113"/>
      <c r="H162" s="113"/>
      <c r="I162" s="113"/>
      <c r="J162" s="113"/>
      <c r="K162" s="113"/>
      <c r="L162" s="113"/>
      <c r="M162" s="113"/>
      <c r="N162" s="113"/>
      <c r="O162" s="113"/>
      <c r="P162" s="113"/>
      <c r="Q162" s="113"/>
      <c r="R162" s="156">
        <v>0</v>
      </c>
      <c r="S162" s="116"/>
      <c r="T162" s="2"/>
    </row>
    <row r="163" spans="1:252" ht="15.6" x14ac:dyDescent="0.3">
      <c r="A163" s="112"/>
      <c r="B163" s="113" t="s">
        <v>42</v>
      </c>
      <c r="C163" s="113"/>
      <c r="D163" s="113"/>
      <c r="E163" s="113"/>
      <c r="F163" s="113"/>
      <c r="G163" s="113"/>
      <c r="H163" s="113"/>
      <c r="I163" s="113"/>
      <c r="J163" s="113"/>
      <c r="K163" s="113"/>
      <c r="L163" s="113"/>
      <c r="M163" s="113"/>
      <c r="N163" s="113"/>
      <c r="O163" s="113"/>
      <c r="P163" s="113"/>
      <c r="Q163" s="113"/>
      <c r="R163" s="156">
        <f>R162+R161</f>
        <v>0</v>
      </c>
      <c r="S163" s="116"/>
      <c r="T163" s="2"/>
    </row>
    <row r="164" spans="1:252" ht="15.6" x14ac:dyDescent="0.3">
      <c r="A164" s="112"/>
      <c r="B164" s="113" t="s">
        <v>174</v>
      </c>
      <c r="C164" s="113"/>
      <c r="D164" s="113"/>
      <c r="E164" s="113"/>
      <c r="F164" s="113"/>
      <c r="G164" s="113"/>
      <c r="H164" s="113"/>
      <c r="I164" s="113"/>
      <c r="J164" s="113"/>
      <c r="K164" s="113"/>
      <c r="L164" s="113"/>
      <c r="M164" s="113"/>
      <c r="N164" s="113"/>
      <c r="O164" s="113"/>
      <c r="P164" s="113"/>
      <c r="Q164" s="113"/>
      <c r="R164" s="156">
        <f>R111</f>
        <v>0</v>
      </c>
      <c r="S164" s="116"/>
      <c r="T164" s="2"/>
    </row>
    <row r="165" spans="1:252" ht="15.6" x14ac:dyDescent="0.3">
      <c r="A165" s="112"/>
      <c r="B165" s="113" t="s">
        <v>43</v>
      </c>
      <c r="C165" s="113"/>
      <c r="D165" s="113"/>
      <c r="E165" s="113"/>
      <c r="F165" s="113"/>
      <c r="G165" s="113"/>
      <c r="H165" s="113"/>
      <c r="I165" s="113"/>
      <c r="J165" s="113"/>
      <c r="K165" s="113"/>
      <c r="L165" s="113"/>
      <c r="M165" s="113"/>
      <c r="N165" s="113"/>
      <c r="O165" s="113"/>
      <c r="P165" s="113"/>
      <c r="Q165" s="113"/>
      <c r="R165" s="156">
        <f>R163+R164</f>
        <v>0</v>
      </c>
      <c r="S165" s="116"/>
      <c r="T165" s="2"/>
    </row>
    <row r="166" spans="1:252" ht="15.6" x14ac:dyDescent="0.3">
      <c r="A166" s="112"/>
      <c r="B166" s="113" t="s">
        <v>150</v>
      </c>
      <c r="C166" s="113"/>
      <c r="D166" s="113"/>
      <c r="E166" s="113"/>
      <c r="F166" s="113"/>
      <c r="G166" s="113"/>
      <c r="H166" s="113"/>
      <c r="I166" s="113"/>
      <c r="J166" s="113"/>
      <c r="K166" s="113"/>
      <c r="L166" s="113"/>
      <c r="M166" s="113"/>
      <c r="N166" s="113"/>
      <c r="O166" s="113"/>
      <c r="P166" s="113"/>
      <c r="Q166" s="113"/>
      <c r="R166" s="156">
        <f>-R99</f>
        <v>0</v>
      </c>
      <c r="S166" s="116"/>
      <c r="T166" s="2"/>
    </row>
    <row r="167" spans="1:252" ht="16.2" thickBot="1" x14ac:dyDescent="0.35">
      <c r="A167" s="12"/>
      <c r="B167" s="43"/>
      <c r="C167" s="43"/>
      <c r="D167" s="43"/>
      <c r="E167" s="43"/>
      <c r="F167" s="43"/>
      <c r="G167" s="43"/>
      <c r="H167" s="43"/>
      <c r="I167" s="43"/>
      <c r="J167" s="43"/>
      <c r="K167" s="43"/>
      <c r="L167" s="43"/>
      <c r="M167" s="43"/>
      <c r="N167" s="43"/>
      <c r="O167" s="43"/>
      <c r="P167" s="43"/>
      <c r="Q167" s="43"/>
      <c r="R167" s="162"/>
      <c r="S167" s="217"/>
      <c r="T167" s="2"/>
    </row>
    <row r="168" spans="1:252" ht="15.6" x14ac:dyDescent="0.3">
      <c r="A168" s="10"/>
      <c r="B168" s="11"/>
      <c r="C168" s="11"/>
      <c r="D168" s="11"/>
      <c r="E168" s="11"/>
      <c r="F168" s="11"/>
      <c r="G168" s="11"/>
      <c r="H168" s="11"/>
      <c r="I168" s="11"/>
      <c r="J168" s="11"/>
      <c r="K168" s="11"/>
      <c r="L168" s="11"/>
      <c r="M168" s="11"/>
      <c r="N168" s="11"/>
      <c r="O168" s="11"/>
      <c r="P168" s="11"/>
      <c r="Q168" s="11"/>
      <c r="R168" s="32"/>
      <c r="S168" s="216"/>
      <c r="T168" s="2"/>
    </row>
    <row r="169" spans="1:252" s="6" customFormat="1" ht="15.6" x14ac:dyDescent="0.3">
      <c r="A169" s="12"/>
      <c r="B169" s="41" t="s">
        <v>204</v>
      </c>
      <c r="C169" s="43"/>
      <c r="D169" s="43"/>
      <c r="E169" s="43"/>
      <c r="F169" s="43"/>
      <c r="G169" s="43"/>
      <c r="H169" s="43"/>
      <c r="I169" s="43"/>
      <c r="J169" s="43"/>
      <c r="K169" s="43"/>
      <c r="L169" s="43"/>
      <c r="M169" s="43"/>
      <c r="N169" s="43"/>
      <c r="O169" s="43"/>
      <c r="P169" s="43"/>
      <c r="Q169" s="43"/>
      <c r="R169" s="44"/>
      <c r="S169" s="217"/>
      <c r="T169" s="2"/>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row>
    <row r="170" spans="1:252" s="7" customFormat="1" ht="15.6" x14ac:dyDescent="0.3">
      <c r="A170" s="112"/>
      <c r="B170" s="113" t="s">
        <v>141</v>
      </c>
      <c r="C170" s="113"/>
      <c r="D170" s="113"/>
      <c r="E170" s="113"/>
      <c r="F170" s="113"/>
      <c r="G170" s="113"/>
      <c r="H170" s="113"/>
      <c r="I170" s="113"/>
      <c r="J170" s="113"/>
      <c r="K170" s="113"/>
      <c r="L170" s="113"/>
      <c r="M170" s="113"/>
      <c r="N170" s="113"/>
      <c r="O170" s="113"/>
      <c r="P170" s="113"/>
      <c r="Q170" s="113"/>
      <c r="R170" s="156">
        <f>+'May 17'!R173</f>
        <v>1529</v>
      </c>
      <c r="S170" s="116"/>
      <c r="T170" s="2"/>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row>
    <row r="171" spans="1:252" s="7" customFormat="1" ht="15.6" x14ac:dyDescent="0.3">
      <c r="A171" s="112"/>
      <c r="B171" s="113" t="s">
        <v>288</v>
      </c>
      <c r="C171" s="113"/>
      <c r="D171" s="113"/>
      <c r="E171" s="113"/>
      <c r="F171" s="113"/>
      <c r="G171" s="113"/>
      <c r="H171" s="113"/>
      <c r="I171" s="113"/>
      <c r="J171" s="113"/>
      <c r="K171" s="113"/>
      <c r="L171" s="113"/>
      <c r="M171" s="113"/>
      <c r="N171" s="113"/>
      <c r="O171" s="113"/>
      <c r="P171" s="113"/>
      <c r="Q171" s="113"/>
      <c r="R171" s="156">
        <v>0</v>
      </c>
      <c r="S171" s="116"/>
      <c r="T171" s="2"/>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1:252" s="7" customFormat="1" ht="15.6" x14ac:dyDescent="0.3">
      <c r="A172" s="112"/>
      <c r="B172" s="113" t="s">
        <v>144</v>
      </c>
      <c r="C172" s="113"/>
      <c r="D172" s="113"/>
      <c r="E172" s="113"/>
      <c r="F172" s="113"/>
      <c r="G172" s="113"/>
      <c r="H172" s="113"/>
      <c r="I172" s="113"/>
      <c r="J172" s="113"/>
      <c r="K172" s="113"/>
      <c r="L172" s="113"/>
      <c r="M172" s="113"/>
      <c r="N172" s="113"/>
      <c r="O172" s="113"/>
      <c r="P172" s="113"/>
      <c r="Q172" s="113"/>
      <c r="R172" s="156">
        <f>+R92</f>
        <v>153</v>
      </c>
      <c r="S172" s="116"/>
      <c r="T172" s="2"/>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1:252" s="7" customFormat="1" ht="15.6" x14ac:dyDescent="0.3">
      <c r="A173" s="112"/>
      <c r="B173" s="113" t="s">
        <v>142</v>
      </c>
      <c r="C173" s="113"/>
      <c r="D173" s="113"/>
      <c r="E173" s="113"/>
      <c r="F173" s="113"/>
      <c r="G173" s="113"/>
      <c r="H173" s="113"/>
      <c r="I173" s="113"/>
      <c r="J173" s="113"/>
      <c r="K173" s="113"/>
      <c r="L173" s="113"/>
      <c r="M173" s="113"/>
      <c r="N173" s="113"/>
      <c r="O173" s="113"/>
      <c r="P173" s="113"/>
      <c r="Q173" s="113"/>
      <c r="R173" s="156">
        <f>R170+R171-R172</f>
        <v>1376</v>
      </c>
      <c r="S173" s="116"/>
      <c r="T173" s="2"/>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1:252" s="8" customFormat="1" ht="16.2" thickBot="1" x14ac:dyDescent="0.35">
      <c r="A174" s="28"/>
      <c r="B174" s="43"/>
      <c r="C174" s="43"/>
      <c r="D174" s="43"/>
      <c r="E174" s="43"/>
      <c r="F174" s="43"/>
      <c r="G174" s="43"/>
      <c r="H174" s="43"/>
      <c r="I174" s="43"/>
      <c r="J174" s="43"/>
      <c r="K174" s="43"/>
      <c r="L174" s="43"/>
      <c r="M174" s="43"/>
      <c r="N174" s="43"/>
      <c r="O174" s="43"/>
      <c r="P174" s="43"/>
      <c r="Q174" s="43"/>
      <c r="R174" s="162"/>
      <c r="S174" s="217"/>
      <c r="T174" s="2"/>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1:252" s="9" customFormat="1" ht="15.6" x14ac:dyDescent="0.3">
      <c r="A175" s="10"/>
      <c r="B175" s="11"/>
      <c r="C175" s="11"/>
      <c r="D175" s="11"/>
      <c r="E175" s="11"/>
      <c r="F175" s="11"/>
      <c r="G175" s="11"/>
      <c r="H175" s="11"/>
      <c r="I175" s="11"/>
      <c r="J175" s="11"/>
      <c r="K175" s="11"/>
      <c r="L175" s="11"/>
      <c r="M175" s="11"/>
      <c r="N175" s="11"/>
      <c r="O175" s="11"/>
      <c r="P175" s="11"/>
      <c r="Q175" s="11"/>
      <c r="R175" s="32"/>
      <c r="S175" s="216"/>
      <c r="T175" s="2"/>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row>
    <row r="176" spans="1:252" ht="15.6" x14ac:dyDescent="0.3">
      <c r="A176" s="12"/>
      <c r="B176" s="41" t="s">
        <v>44</v>
      </c>
      <c r="C176" s="14"/>
      <c r="D176" s="14"/>
      <c r="E176" s="14"/>
      <c r="F176" s="14"/>
      <c r="G176" s="14"/>
      <c r="H176" s="14"/>
      <c r="I176" s="14"/>
      <c r="J176" s="14"/>
      <c r="K176" s="14"/>
      <c r="L176" s="14"/>
      <c r="M176" s="14"/>
      <c r="N176" s="14"/>
      <c r="O176" s="14"/>
      <c r="P176" s="14"/>
      <c r="Q176" s="14"/>
      <c r="R176" s="33"/>
      <c r="S176" s="217"/>
      <c r="T176" s="2"/>
    </row>
    <row r="177" spans="1:20" ht="15.6" x14ac:dyDescent="0.3">
      <c r="A177" s="12"/>
      <c r="B177" s="22"/>
      <c r="C177" s="14"/>
      <c r="D177" s="14"/>
      <c r="E177" s="14"/>
      <c r="F177" s="14"/>
      <c r="G177" s="14"/>
      <c r="H177" s="14"/>
      <c r="I177" s="14"/>
      <c r="J177" s="14"/>
      <c r="K177" s="14"/>
      <c r="L177" s="14"/>
      <c r="M177" s="14"/>
      <c r="N177" s="14"/>
      <c r="O177" s="14"/>
      <c r="P177" s="14"/>
      <c r="Q177" s="14"/>
      <c r="R177" s="33"/>
      <c r="S177" s="217"/>
      <c r="T177" s="2"/>
    </row>
    <row r="178" spans="1:20" ht="15.6" x14ac:dyDescent="0.3">
      <c r="A178" s="112"/>
      <c r="B178" s="113" t="s">
        <v>172</v>
      </c>
      <c r="C178" s="113"/>
      <c r="D178" s="113"/>
      <c r="E178" s="113"/>
      <c r="F178" s="113"/>
      <c r="G178" s="113"/>
      <c r="H178" s="113"/>
      <c r="I178" s="113"/>
      <c r="J178" s="113"/>
      <c r="K178" s="113"/>
      <c r="L178" s="113"/>
      <c r="M178" s="113"/>
      <c r="N178" s="113"/>
      <c r="O178" s="113"/>
      <c r="P178" s="113"/>
      <c r="Q178" s="113"/>
      <c r="R178" s="156">
        <f>+R67</f>
        <v>127052</v>
      </c>
      <c r="S178" s="116"/>
      <c r="T178" s="2"/>
    </row>
    <row r="179" spans="1:20" ht="15.6" x14ac:dyDescent="0.3">
      <c r="A179" s="112"/>
      <c r="B179" s="113" t="s">
        <v>173</v>
      </c>
      <c r="C179" s="113"/>
      <c r="D179" s="113"/>
      <c r="E179" s="113"/>
      <c r="F179" s="113"/>
      <c r="G179" s="113"/>
      <c r="H179" s="113"/>
      <c r="I179" s="113"/>
      <c r="J179" s="113"/>
      <c r="K179" s="113"/>
      <c r="L179" s="113"/>
      <c r="M179" s="113"/>
      <c r="N179" s="113"/>
      <c r="O179" s="113"/>
      <c r="P179" s="113"/>
      <c r="Q179" s="113"/>
      <c r="R179" s="156">
        <f>+R77</f>
        <v>0</v>
      </c>
      <c r="S179" s="116"/>
      <c r="T179" s="2"/>
    </row>
    <row r="180" spans="1:20" ht="15.6" x14ac:dyDescent="0.3">
      <c r="A180" s="112"/>
      <c r="B180" s="113" t="s">
        <v>216</v>
      </c>
      <c r="C180" s="113"/>
      <c r="D180" s="113"/>
      <c r="E180" s="113"/>
      <c r="F180" s="113"/>
      <c r="G180" s="113"/>
      <c r="H180" s="113"/>
      <c r="I180" s="113"/>
      <c r="J180" s="113"/>
      <c r="K180" s="113"/>
      <c r="L180" s="113"/>
      <c r="M180" s="113"/>
      <c r="N180" s="113"/>
      <c r="O180" s="113"/>
      <c r="P180" s="113"/>
      <c r="Q180" s="113"/>
      <c r="R180" s="156">
        <f>+R78</f>
        <v>0</v>
      </c>
      <c r="S180" s="116"/>
      <c r="T180" s="2"/>
    </row>
    <row r="181" spans="1:20" ht="15.6" x14ac:dyDescent="0.3">
      <c r="A181" s="112"/>
      <c r="B181" s="113" t="s">
        <v>126</v>
      </c>
      <c r="C181" s="113"/>
      <c r="D181" s="113"/>
      <c r="E181" s="113"/>
      <c r="F181" s="113"/>
      <c r="G181" s="113"/>
      <c r="H181" s="113"/>
      <c r="I181" s="113"/>
      <c r="J181" s="113"/>
      <c r="K181" s="113"/>
      <c r="L181" s="113"/>
      <c r="M181" s="113"/>
      <c r="N181" s="113"/>
      <c r="O181" s="113"/>
      <c r="P181" s="113"/>
      <c r="Q181" s="113"/>
      <c r="R181" s="156">
        <f>+R178+R179+R180</f>
        <v>127052</v>
      </c>
      <c r="S181" s="116"/>
      <c r="T181" s="2"/>
    </row>
    <row r="182" spans="1:20" ht="15.6" x14ac:dyDescent="0.3">
      <c r="A182" s="112"/>
      <c r="B182" s="113" t="s">
        <v>45</v>
      </c>
      <c r="C182" s="113"/>
      <c r="D182" s="113"/>
      <c r="E182" s="113"/>
      <c r="F182" s="113"/>
      <c r="G182" s="113"/>
      <c r="H182" s="113"/>
      <c r="I182" s="113"/>
      <c r="J182" s="113"/>
      <c r="K182" s="113"/>
      <c r="L182" s="113"/>
      <c r="M182" s="113"/>
      <c r="N182" s="113"/>
      <c r="O182" s="113"/>
      <c r="P182" s="113"/>
      <c r="Q182" s="113"/>
      <c r="R182" s="156">
        <f>R80</f>
        <v>127052</v>
      </c>
      <c r="S182" s="116"/>
      <c r="T182" s="2"/>
    </row>
    <row r="183" spans="1:20" ht="16.2" thickBot="1" x14ac:dyDescent="0.35">
      <c r="A183" s="12"/>
      <c r="B183" s="43"/>
      <c r="C183" s="43"/>
      <c r="D183" s="43"/>
      <c r="E183" s="43"/>
      <c r="F183" s="43"/>
      <c r="G183" s="43"/>
      <c r="H183" s="43"/>
      <c r="I183" s="43"/>
      <c r="J183" s="43"/>
      <c r="K183" s="43"/>
      <c r="L183" s="43"/>
      <c r="M183" s="43"/>
      <c r="N183" s="43"/>
      <c r="O183" s="43"/>
      <c r="P183" s="43"/>
      <c r="Q183" s="43"/>
      <c r="R183" s="162"/>
      <c r="S183" s="217"/>
      <c r="T183" s="2"/>
    </row>
    <row r="184" spans="1:20" ht="15.6" x14ac:dyDescent="0.3">
      <c r="A184" s="10"/>
      <c r="B184" s="11"/>
      <c r="C184" s="11"/>
      <c r="D184" s="11"/>
      <c r="E184" s="11"/>
      <c r="F184" s="11"/>
      <c r="G184" s="11"/>
      <c r="H184" s="11"/>
      <c r="I184" s="11"/>
      <c r="J184" s="11"/>
      <c r="K184" s="11"/>
      <c r="L184" s="11"/>
      <c r="M184" s="11"/>
      <c r="N184" s="11"/>
      <c r="O184" s="11"/>
      <c r="P184" s="11"/>
      <c r="Q184" s="11"/>
      <c r="R184" s="32"/>
      <c r="S184" s="216"/>
      <c r="T184" s="2"/>
    </row>
    <row r="185" spans="1:20" ht="15.6" x14ac:dyDescent="0.3">
      <c r="A185" s="12"/>
      <c r="B185" s="41" t="s">
        <v>46</v>
      </c>
      <c r="C185" s="37"/>
      <c r="D185" s="45"/>
      <c r="E185" s="45"/>
      <c r="F185" s="45"/>
      <c r="G185" s="45"/>
      <c r="H185" s="45"/>
      <c r="I185" s="45"/>
      <c r="J185" s="45"/>
      <c r="K185" s="45"/>
      <c r="L185" s="45"/>
      <c r="M185" s="45"/>
      <c r="N185" s="45"/>
      <c r="O185" s="45" t="s">
        <v>82</v>
      </c>
      <c r="P185" s="45" t="s">
        <v>170</v>
      </c>
      <c r="Q185" s="16"/>
      <c r="R185" s="46" t="s">
        <v>94</v>
      </c>
      <c r="S185" s="224"/>
      <c r="T185" s="2"/>
    </row>
    <row r="186" spans="1:20" ht="15.6" x14ac:dyDescent="0.3">
      <c r="A186" s="112"/>
      <c r="B186" s="113" t="s">
        <v>47</v>
      </c>
      <c r="C186" s="113"/>
      <c r="D186" s="113"/>
      <c r="E186" s="113"/>
      <c r="F186" s="113"/>
      <c r="G186" s="113"/>
      <c r="H186" s="113"/>
      <c r="I186" s="113"/>
      <c r="J186" s="113"/>
      <c r="K186" s="113"/>
      <c r="L186" s="113"/>
      <c r="M186" s="113"/>
      <c r="N186" s="113"/>
      <c r="O186" s="156">
        <f>+R31*0.08</f>
        <v>24000.720000000001</v>
      </c>
      <c r="P186" s="145"/>
      <c r="Q186" s="113"/>
      <c r="R186" s="156"/>
      <c r="S186" s="116"/>
      <c r="T186" s="2"/>
    </row>
    <row r="187" spans="1:20" ht="15.6" x14ac:dyDescent="0.3">
      <c r="A187" s="112"/>
      <c r="B187" s="113" t="s">
        <v>48</v>
      </c>
      <c r="C187" s="113"/>
      <c r="D187" s="113"/>
      <c r="E187" s="113"/>
      <c r="F187" s="113"/>
      <c r="G187" s="113"/>
      <c r="H187" s="113"/>
      <c r="I187" s="113"/>
      <c r="J187" s="113"/>
      <c r="K187" s="113"/>
      <c r="L187" s="113"/>
      <c r="M187" s="113"/>
      <c r="N187" s="113"/>
      <c r="O187" s="156">
        <f>+'May 17'!O189</f>
        <v>512</v>
      </c>
      <c r="P187" s="156">
        <f>+'May 17'!P189</f>
        <v>691</v>
      </c>
      <c r="Q187" s="113"/>
      <c r="R187" s="156">
        <f>O187+P187</f>
        <v>1203</v>
      </c>
      <c r="S187" s="116"/>
      <c r="T187" s="2"/>
    </row>
    <row r="188" spans="1:20" ht="15.6" x14ac:dyDescent="0.3">
      <c r="A188" s="112"/>
      <c r="B188" s="113" t="s">
        <v>49</v>
      </c>
      <c r="C188" s="113"/>
      <c r="D188" s="113"/>
      <c r="E188" s="113"/>
      <c r="F188" s="113"/>
      <c r="G188" s="113"/>
      <c r="H188" s="113"/>
      <c r="I188" s="113"/>
      <c r="J188" s="113"/>
      <c r="K188" s="113"/>
      <c r="L188" s="113"/>
      <c r="M188" s="113"/>
      <c r="N188" s="113"/>
      <c r="O188" s="155">
        <v>0</v>
      </c>
      <c r="P188" s="155">
        <v>3</v>
      </c>
      <c r="Q188" s="113"/>
      <c r="R188" s="156">
        <f>O188+P188</f>
        <v>3</v>
      </c>
      <c r="S188" s="116"/>
      <c r="T188" s="2"/>
    </row>
    <row r="189" spans="1:20" ht="15.6" x14ac:dyDescent="0.3">
      <c r="A189" s="112"/>
      <c r="B189" s="113" t="s">
        <v>50</v>
      </c>
      <c r="C189" s="113"/>
      <c r="D189" s="113"/>
      <c r="E189" s="113"/>
      <c r="F189" s="113"/>
      <c r="G189" s="113"/>
      <c r="H189" s="113"/>
      <c r="I189" s="113"/>
      <c r="J189" s="113"/>
      <c r="K189" s="113"/>
      <c r="L189" s="113"/>
      <c r="M189" s="113"/>
      <c r="N189" s="113"/>
      <c r="O189" s="156">
        <f>O187+O188</f>
        <v>512</v>
      </c>
      <c r="P189" s="156">
        <f>P188+P187</f>
        <v>694</v>
      </c>
      <c r="Q189" s="113"/>
      <c r="R189" s="156">
        <f>O189+P189</f>
        <v>1206</v>
      </c>
      <c r="S189" s="116"/>
      <c r="T189" s="2"/>
    </row>
    <row r="190" spans="1:20" ht="15.6" x14ac:dyDescent="0.3">
      <c r="A190" s="112"/>
      <c r="B190" s="113" t="s">
        <v>51</v>
      </c>
      <c r="C190" s="113"/>
      <c r="D190" s="113"/>
      <c r="E190" s="113"/>
      <c r="F190" s="113"/>
      <c r="G190" s="113"/>
      <c r="H190" s="113"/>
      <c r="I190" s="113"/>
      <c r="J190" s="113"/>
      <c r="K190" s="113"/>
      <c r="L190" s="113"/>
      <c r="M190" s="113"/>
      <c r="N190" s="113"/>
      <c r="O190" s="156">
        <f>O186-O189-P189</f>
        <v>22794.720000000001</v>
      </c>
      <c r="P190" s="145"/>
      <c r="Q190" s="113"/>
      <c r="R190" s="156"/>
      <c r="S190" s="116"/>
      <c r="T190" s="2"/>
    </row>
    <row r="191" spans="1:20" ht="16.2" thickBot="1" x14ac:dyDescent="0.35">
      <c r="A191" s="12"/>
      <c r="B191" s="43"/>
      <c r="C191" s="43"/>
      <c r="D191" s="43"/>
      <c r="E191" s="43"/>
      <c r="F191" s="43"/>
      <c r="G191" s="43"/>
      <c r="H191" s="43"/>
      <c r="I191" s="43"/>
      <c r="J191" s="43"/>
      <c r="K191" s="43"/>
      <c r="L191" s="43"/>
      <c r="M191" s="43"/>
      <c r="N191" s="43"/>
      <c r="O191" s="43"/>
      <c r="P191" s="43"/>
      <c r="Q191" s="43"/>
      <c r="R191" s="162"/>
      <c r="S191" s="217"/>
      <c r="T191" s="2"/>
    </row>
    <row r="192" spans="1:20" ht="15.6" x14ac:dyDescent="0.3">
      <c r="A192" s="10"/>
      <c r="B192" s="11"/>
      <c r="C192" s="11"/>
      <c r="D192" s="11"/>
      <c r="E192" s="11"/>
      <c r="F192" s="11"/>
      <c r="G192" s="11"/>
      <c r="H192" s="11"/>
      <c r="I192" s="11"/>
      <c r="J192" s="11"/>
      <c r="K192" s="11"/>
      <c r="L192" s="11"/>
      <c r="M192" s="11"/>
      <c r="N192" s="11"/>
      <c r="O192" s="11"/>
      <c r="P192" s="11"/>
      <c r="Q192" s="11"/>
      <c r="R192" s="32"/>
      <c r="S192" s="216"/>
      <c r="T192" s="2"/>
    </row>
    <row r="193" spans="1:20" ht="15.6" x14ac:dyDescent="0.3">
      <c r="A193" s="12"/>
      <c r="B193" s="41" t="s">
        <v>52</v>
      </c>
      <c r="C193" s="14"/>
      <c r="D193" s="14"/>
      <c r="E193" s="14"/>
      <c r="F193" s="14"/>
      <c r="G193" s="14"/>
      <c r="H193" s="14"/>
      <c r="I193" s="14"/>
      <c r="J193" s="14"/>
      <c r="K193" s="14"/>
      <c r="L193" s="14"/>
      <c r="M193" s="14"/>
      <c r="N193" s="14"/>
      <c r="O193" s="14"/>
      <c r="P193" s="14"/>
      <c r="Q193" s="14"/>
      <c r="R193" s="47"/>
      <c r="S193" s="217"/>
      <c r="T193" s="2"/>
    </row>
    <row r="194" spans="1:20" ht="15.6" x14ac:dyDescent="0.3">
      <c r="A194" s="112"/>
      <c r="B194" s="113" t="s">
        <v>53</v>
      </c>
      <c r="C194" s="113"/>
      <c r="D194" s="113"/>
      <c r="E194" s="113"/>
      <c r="F194" s="113"/>
      <c r="G194" s="113"/>
      <c r="H194" s="113"/>
      <c r="I194" s="113"/>
      <c r="J194" s="113"/>
      <c r="K194" s="113"/>
      <c r="L194" s="113"/>
      <c r="M194" s="113"/>
      <c r="N194" s="113"/>
      <c r="O194" s="113"/>
      <c r="P194" s="113"/>
      <c r="Q194" s="113"/>
      <c r="R194" s="161">
        <f>(R100+R102+R103+R104+R105)/-(R106+R107)</f>
        <v>4.4113300492610836</v>
      </c>
      <c r="S194" s="116" t="s">
        <v>95</v>
      </c>
      <c r="T194" s="2"/>
    </row>
    <row r="195" spans="1:20" ht="15.6" x14ac:dyDescent="0.3">
      <c r="A195" s="112"/>
      <c r="B195" s="113" t="s">
        <v>54</v>
      </c>
      <c r="C195" s="113"/>
      <c r="D195" s="113"/>
      <c r="E195" s="113"/>
      <c r="F195" s="113"/>
      <c r="G195" s="113"/>
      <c r="H195" s="113"/>
      <c r="I195" s="113"/>
      <c r="J195" s="113"/>
      <c r="K195" s="113"/>
      <c r="L195" s="113"/>
      <c r="M195" s="113"/>
      <c r="N195" s="113"/>
      <c r="O195" s="113"/>
      <c r="P195" s="113"/>
      <c r="Q195" s="113"/>
      <c r="R195" s="241">
        <v>3.38</v>
      </c>
      <c r="S195" s="116" t="s">
        <v>95</v>
      </c>
      <c r="T195" s="2"/>
    </row>
    <row r="196" spans="1:20" ht="15.6" x14ac:dyDescent="0.3">
      <c r="A196" s="112"/>
      <c r="B196" s="113" t="s">
        <v>183</v>
      </c>
      <c r="C196" s="113"/>
      <c r="D196" s="113"/>
      <c r="E196" s="113"/>
      <c r="F196" s="113"/>
      <c r="G196" s="113"/>
      <c r="H196" s="113"/>
      <c r="I196" s="113"/>
      <c r="J196" s="113"/>
      <c r="K196" s="113"/>
      <c r="L196" s="113"/>
      <c r="M196" s="113"/>
      <c r="N196" s="113"/>
      <c r="O196" s="113"/>
      <c r="P196" s="113"/>
      <c r="Q196" s="113"/>
      <c r="R196" s="242">
        <f>(R100+R102+R103+R104+R105+R106+R107)/-(R108)</f>
        <v>28.26530612244898</v>
      </c>
      <c r="S196" s="116" t="s">
        <v>95</v>
      </c>
      <c r="T196" s="2"/>
    </row>
    <row r="197" spans="1:20" ht="15.6" x14ac:dyDescent="0.3">
      <c r="A197" s="112"/>
      <c r="B197" s="113" t="s">
        <v>184</v>
      </c>
      <c r="C197" s="113"/>
      <c r="D197" s="113"/>
      <c r="E197" s="113"/>
      <c r="F197" s="113"/>
      <c r="G197" s="113"/>
      <c r="H197" s="113"/>
      <c r="I197" s="113"/>
      <c r="J197" s="113"/>
      <c r="K197" s="113"/>
      <c r="L197" s="113"/>
      <c r="M197" s="113"/>
      <c r="N197" s="113"/>
      <c r="O197" s="113"/>
      <c r="P197" s="113"/>
      <c r="Q197" s="113"/>
      <c r="R197" s="241">
        <v>36.270000000000003</v>
      </c>
      <c r="S197" s="116" t="s">
        <v>95</v>
      </c>
      <c r="T197" s="2"/>
    </row>
    <row r="198" spans="1:20" ht="15.6" x14ac:dyDescent="0.3">
      <c r="A198" s="112"/>
      <c r="B198" s="113" t="s">
        <v>185</v>
      </c>
      <c r="C198" s="113"/>
      <c r="D198" s="113"/>
      <c r="E198" s="113"/>
      <c r="F198" s="113"/>
      <c r="G198" s="113"/>
      <c r="H198" s="113"/>
      <c r="I198" s="113"/>
      <c r="J198" s="113"/>
      <c r="K198" s="113"/>
      <c r="L198" s="113"/>
      <c r="M198" s="113"/>
      <c r="N198" s="113"/>
      <c r="O198" s="113"/>
      <c r="P198" s="113"/>
      <c r="Q198" s="113"/>
      <c r="R198" s="242">
        <f>(R100+R102+R103+R104+R105+R106+R107+R108)/-(R109)</f>
        <v>22.64406779661017</v>
      </c>
      <c r="S198" s="116" t="s">
        <v>95</v>
      </c>
      <c r="T198" s="2"/>
    </row>
    <row r="199" spans="1:20" ht="15.6" x14ac:dyDescent="0.3">
      <c r="A199" s="112"/>
      <c r="B199" s="113" t="s">
        <v>186</v>
      </c>
      <c r="C199" s="113"/>
      <c r="D199" s="113"/>
      <c r="E199" s="113"/>
      <c r="F199" s="113"/>
      <c r="G199" s="113"/>
      <c r="H199" s="113"/>
      <c r="I199" s="113"/>
      <c r="J199" s="113"/>
      <c r="K199" s="113"/>
      <c r="L199" s="113"/>
      <c r="M199" s="113"/>
      <c r="N199" s="113"/>
      <c r="O199" s="113"/>
      <c r="P199" s="113"/>
      <c r="Q199" s="113"/>
      <c r="R199" s="241">
        <v>30.27</v>
      </c>
      <c r="S199" s="116" t="s">
        <v>95</v>
      </c>
      <c r="T199" s="2"/>
    </row>
    <row r="200" spans="1:20" ht="15.6" x14ac:dyDescent="0.3">
      <c r="A200" s="112"/>
      <c r="B200" s="113" t="s">
        <v>257</v>
      </c>
      <c r="C200" s="113"/>
      <c r="D200" s="113"/>
      <c r="E200" s="113"/>
      <c r="F200" s="113"/>
      <c r="G200" s="113"/>
      <c r="H200" s="113"/>
      <c r="I200" s="113"/>
      <c r="J200" s="113"/>
      <c r="K200" s="113"/>
      <c r="L200" s="113"/>
      <c r="M200" s="113"/>
      <c r="N200" s="113"/>
      <c r="O200" s="113"/>
      <c r="P200" s="113"/>
      <c r="Q200" s="113"/>
      <c r="R200" s="242">
        <f>(R100+R102+R103+R104+R105+R106+R107+R108+R109+R110+R111+R112+R113+R114)/-(R115)</f>
        <v>29.232558139534884</v>
      </c>
      <c r="S200" s="116" t="s">
        <v>95</v>
      </c>
      <c r="T200" s="2"/>
    </row>
    <row r="201" spans="1:20" ht="15.6" x14ac:dyDescent="0.3">
      <c r="A201" s="112"/>
      <c r="B201" s="113" t="s">
        <v>258</v>
      </c>
      <c r="C201" s="113"/>
      <c r="D201" s="113"/>
      <c r="E201" s="113"/>
      <c r="F201" s="113"/>
      <c r="G201" s="113"/>
      <c r="H201" s="113"/>
      <c r="I201" s="113"/>
      <c r="J201" s="113"/>
      <c r="K201" s="113"/>
      <c r="L201" s="113"/>
      <c r="M201" s="113"/>
      <c r="N201" s="113"/>
      <c r="O201" s="113"/>
      <c r="P201" s="113"/>
      <c r="Q201" s="113"/>
      <c r="R201" s="241">
        <v>39.79</v>
      </c>
      <c r="S201" s="116" t="s">
        <v>95</v>
      </c>
      <c r="T201" s="2"/>
    </row>
    <row r="202" spans="1:20" ht="15.6" x14ac:dyDescent="0.3">
      <c r="A202" s="112"/>
      <c r="B202" s="113"/>
      <c r="C202" s="113"/>
      <c r="D202" s="113"/>
      <c r="E202" s="113"/>
      <c r="F202" s="113"/>
      <c r="G202" s="113"/>
      <c r="H202" s="113"/>
      <c r="I202" s="113"/>
      <c r="J202" s="113"/>
      <c r="K202" s="113"/>
      <c r="L202" s="113"/>
      <c r="M202" s="113"/>
      <c r="N202" s="113"/>
      <c r="O202" s="113"/>
      <c r="P202" s="113"/>
      <c r="Q202" s="113"/>
      <c r="R202" s="113"/>
      <c r="S202" s="116"/>
      <c r="T202" s="2"/>
    </row>
    <row r="203" spans="1:20" ht="15.6" x14ac:dyDescent="0.3">
      <c r="A203" s="12"/>
      <c r="B203" s="163"/>
      <c r="C203" s="163"/>
      <c r="D203" s="163"/>
      <c r="E203" s="163"/>
      <c r="F203" s="163"/>
      <c r="G203" s="163"/>
      <c r="H203" s="163"/>
      <c r="I203" s="163"/>
      <c r="J203" s="163"/>
      <c r="K203" s="163"/>
      <c r="L203" s="163"/>
      <c r="M203" s="163"/>
      <c r="N203" s="163"/>
      <c r="O203" s="163"/>
      <c r="P203" s="163"/>
      <c r="Q203" s="163"/>
      <c r="R203" s="163"/>
      <c r="S203" s="218"/>
      <c r="T203" s="2"/>
    </row>
    <row r="204" spans="1:20" ht="15.6" x14ac:dyDescent="0.3">
      <c r="A204" s="12"/>
      <c r="B204" s="84"/>
      <c r="C204" s="84"/>
      <c r="D204" s="84"/>
      <c r="E204" s="84"/>
      <c r="F204" s="84"/>
      <c r="G204" s="84"/>
      <c r="H204" s="84"/>
      <c r="I204" s="84"/>
      <c r="J204" s="84"/>
      <c r="K204" s="84"/>
      <c r="L204" s="84"/>
      <c r="M204" s="84"/>
      <c r="N204" s="84"/>
      <c r="O204" s="84"/>
      <c r="P204" s="84"/>
      <c r="Q204" s="84"/>
      <c r="R204" s="84"/>
      <c r="S204" s="218"/>
      <c r="T204" s="2"/>
    </row>
    <row r="205" spans="1:20" ht="18" thickBot="1" x14ac:dyDescent="0.35">
      <c r="A205" s="28"/>
      <c r="B205" s="97" t="str">
        <f>B132</f>
        <v>PM22 INVESTOR REPORT QUARTER ENDING AUGUST 2017</v>
      </c>
      <c r="C205" s="98"/>
      <c r="D205" s="98"/>
      <c r="E205" s="98"/>
      <c r="F205" s="98"/>
      <c r="G205" s="98"/>
      <c r="H205" s="98"/>
      <c r="I205" s="98"/>
      <c r="J205" s="98"/>
      <c r="K205" s="98"/>
      <c r="L205" s="98"/>
      <c r="M205" s="98"/>
      <c r="N205" s="98"/>
      <c r="O205" s="98"/>
      <c r="P205" s="98"/>
      <c r="Q205" s="98"/>
      <c r="R205" s="98"/>
      <c r="S205" s="99"/>
      <c r="T205" s="2"/>
    </row>
    <row r="206" spans="1:20" ht="15.6" x14ac:dyDescent="0.3">
      <c r="A206" s="65"/>
      <c r="B206" s="66" t="s">
        <v>55</v>
      </c>
      <c r="C206" s="69"/>
      <c r="D206" s="70"/>
      <c r="E206" s="70"/>
      <c r="F206" s="70"/>
      <c r="G206" s="70"/>
      <c r="H206" s="70"/>
      <c r="I206" s="70"/>
      <c r="J206" s="70"/>
      <c r="K206" s="70"/>
      <c r="L206" s="70"/>
      <c r="M206" s="70"/>
      <c r="N206" s="70"/>
      <c r="O206" s="70"/>
      <c r="P206" s="70">
        <v>42978</v>
      </c>
      <c r="Q206" s="67"/>
      <c r="R206" s="67"/>
      <c r="S206" s="223"/>
      <c r="T206" s="2"/>
    </row>
    <row r="207" spans="1:20" ht="15.6" x14ac:dyDescent="0.3">
      <c r="A207" s="48"/>
      <c r="B207" s="49"/>
      <c r="C207" s="50"/>
      <c r="D207" s="51"/>
      <c r="E207" s="51"/>
      <c r="F207" s="51"/>
      <c r="G207" s="51"/>
      <c r="H207" s="51"/>
      <c r="I207" s="51"/>
      <c r="J207" s="51"/>
      <c r="K207" s="51"/>
      <c r="L207" s="51"/>
      <c r="M207" s="51"/>
      <c r="N207" s="51"/>
      <c r="O207" s="51"/>
      <c r="P207" s="51"/>
      <c r="Q207" s="14"/>
      <c r="R207" s="14"/>
      <c r="S207" s="217"/>
      <c r="T207" s="2"/>
    </row>
    <row r="208" spans="1:20" ht="15.6" x14ac:dyDescent="0.3">
      <c r="A208" s="166"/>
      <c r="B208" s="113" t="s">
        <v>56</v>
      </c>
      <c r="C208" s="167"/>
      <c r="D208" s="148"/>
      <c r="E208" s="148"/>
      <c r="F208" s="148"/>
      <c r="G208" s="148"/>
      <c r="H208" s="148"/>
      <c r="I208" s="148"/>
      <c r="J208" s="148"/>
      <c r="K208" s="148"/>
      <c r="L208" s="148"/>
      <c r="M208" s="148"/>
      <c r="N208" s="148"/>
      <c r="O208" s="148"/>
      <c r="P208" s="142">
        <v>4.079E-2</v>
      </c>
      <c r="Q208" s="113"/>
      <c r="R208" s="113"/>
      <c r="S208" s="116"/>
      <c r="T208" s="2"/>
    </row>
    <row r="209" spans="1:20" ht="15.6" x14ac:dyDescent="0.3">
      <c r="A209" s="166"/>
      <c r="B209" s="113" t="s">
        <v>158</v>
      </c>
      <c r="C209" s="167"/>
      <c r="D209" s="148"/>
      <c r="E209" s="148"/>
      <c r="F209" s="148"/>
      <c r="G209" s="148"/>
      <c r="H209" s="148"/>
      <c r="I209" s="148"/>
      <c r="J209" s="148"/>
      <c r="K209" s="148"/>
      <c r="L209" s="148"/>
      <c r="M209" s="148"/>
      <c r="N209" s="148"/>
      <c r="O209" s="148"/>
      <c r="P209" s="142">
        <v>1.5340718167454973E-2</v>
      </c>
      <c r="Q209" s="113"/>
      <c r="R209" s="113"/>
      <c r="S209" s="116"/>
      <c r="T209" s="2"/>
    </row>
    <row r="210" spans="1:20" ht="15.6" x14ac:dyDescent="0.3">
      <c r="A210" s="166"/>
      <c r="B210" s="113" t="s">
        <v>57</v>
      </c>
      <c r="C210" s="167"/>
      <c r="D210" s="148"/>
      <c r="E210" s="148"/>
      <c r="F210" s="148"/>
      <c r="G210" s="148"/>
      <c r="H210" s="148"/>
      <c r="I210" s="148"/>
      <c r="J210" s="148"/>
      <c r="K210" s="148"/>
      <c r="L210" s="148"/>
      <c r="M210" s="148"/>
      <c r="N210" s="148"/>
      <c r="O210" s="148"/>
      <c r="P210" s="210">
        <f>P208-P209</f>
        <v>2.5449281832545027E-2</v>
      </c>
      <c r="Q210" s="113"/>
      <c r="R210" s="113"/>
      <c r="S210" s="116"/>
      <c r="T210" s="2"/>
    </row>
    <row r="211" spans="1:20" ht="15.6" x14ac:dyDescent="0.3">
      <c r="A211" s="166"/>
      <c r="B211" s="113" t="s">
        <v>161</v>
      </c>
      <c r="C211" s="167"/>
      <c r="D211" s="148"/>
      <c r="E211" s="148"/>
      <c r="F211" s="148"/>
      <c r="G211" s="148"/>
      <c r="H211" s="148"/>
      <c r="I211" s="148"/>
      <c r="J211" s="148"/>
      <c r="K211" s="148"/>
      <c r="L211" s="148"/>
      <c r="M211" s="148"/>
      <c r="N211" s="148"/>
      <c r="O211" s="148"/>
      <c r="P211" s="210">
        <v>4.2886899999999999E-2</v>
      </c>
      <c r="Q211" s="113"/>
      <c r="R211" s="113"/>
      <c r="S211" s="116"/>
      <c r="T211" s="2"/>
    </row>
    <row r="212" spans="1:20" ht="15.6" x14ac:dyDescent="0.3">
      <c r="A212" s="166"/>
      <c r="B212" s="113" t="s">
        <v>58</v>
      </c>
      <c r="C212" s="167"/>
      <c r="D212" s="148"/>
      <c r="E212" s="148"/>
      <c r="F212" s="148"/>
      <c r="G212" s="148"/>
      <c r="H212" s="148"/>
      <c r="I212" s="148"/>
      <c r="J212" s="148"/>
      <c r="K212" s="148"/>
      <c r="L212" s="148"/>
      <c r="M212" s="148"/>
      <c r="N212" s="148"/>
      <c r="O212" s="148"/>
      <c r="P212" s="208">
        <v>4.7230000000000001E-2</v>
      </c>
      <c r="Q212" s="113"/>
      <c r="R212" s="113"/>
      <c r="S212" s="116"/>
      <c r="T212" s="2"/>
    </row>
    <row r="213" spans="1:20" ht="15.6" x14ac:dyDescent="0.3">
      <c r="A213" s="166"/>
      <c r="B213" s="113" t="s">
        <v>159</v>
      </c>
      <c r="C213" s="167"/>
      <c r="D213" s="148"/>
      <c r="E213" s="148"/>
      <c r="F213" s="148"/>
      <c r="G213" s="148"/>
      <c r="H213" s="148"/>
      <c r="I213" s="148"/>
      <c r="J213" s="148"/>
      <c r="K213" s="148"/>
      <c r="L213" s="148"/>
      <c r="M213" s="148"/>
      <c r="N213" s="148"/>
      <c r="O213" s="148"/>
      <c r="P213" s="142">
        <f>R40</f>
        <v>1.3282113420438226E-2</v>
      </c>
      <c r="Q213" s="113"/>
      <c r="R213" s="113"/>
      <c r="S213" s="116"/>
      <c r="T213" s="2"/>
    </row>
    <row r="214" spans="1:20" ht="15.6" x14ac:dyDescent="0.3">
      <c r="A214" s="166"/>
      <c r="B214" s="113" t="s">
        <v>59</v>
      </c>
      <c r="C214" s="167"/>
      <c r="D214" s="148"/>
      <c r="E214" s="148"/>
      <c r="F214" s="148"/>
      <c r="G214" s="148"/>
      <c r="H214" s="148"/>
      <c r="I214" s="148"/>
      <c r="J214" s="148"/>
      <c r="K214" s="148"/>
      <c r="L214" s="148"/>
      <c r="M214" s="148"/>
      <c r="N214" s="148"/>
      <c r="O214" s="148"/>
      <c r="P214" s="142">
        <f>P212-P213</f>
        <v>3.3947886579561777E-2</v>
      </c>
      <c r="Q214" s="113"/>
      <c r="R214" s="113"/>
      <c r="S214" s="116"/>
      <c r="T214" s="2"/>
    </row>
    <row r="215" spans="1:20" ht="15.6" x14ac:dyDescent="0.3">
      <c r="A215" s="166"/>
      <c r="B215" s="113" t="s">
        <v>139</v>
      </c>
      <c r="C215" s="167"/>
      <c r="D215" s="148"/>
      <c r="E215" s="148"/>
      <c r="F215" s="148"/>
      <c r="G215" s="148"/>
      <c r="H215" s="148"/>
      <c r="I215" s="148"/>
      <c r="J215" s="148"/>
      <c r="K215" s="148"/>
      <c r="L215" s="148"/>
      <c r="M215" s="148"/>
      <c r="N215" s="148"/>
      <c r="O215" s="148"/>
      <c r="P215" s="142">
        <f>(+R100+R102)/H80</f>
        <v>1.1638096610006723E-2</v>
      </c>
      <c r="Q215" s="113"/>
      <c r="R215" s="113"/>
      <c r="S215" s="116"/>
      <c r="T215" s="2"/>
    </row>
    <row r="216" spans="1:20" ht="15.6" x14ac:dyDescent="0.3">
      <c r="A216" s="166"/>
      <c r="B216" s="113" t="s">
        <v>132</v>
      </c>
      <c r="C216" s="167"/>
      <c r="D216" s="148"/>
      <c r="E216" s="148"/>
      <c r="F216" s="148"/>
      <c r="G216" s="148"/>
      <c r="H216" s="148"/>
      <c r="I216" s="148"/>
      <c r="J216" s="148"/>
      <c r="K216" s="148"/>
      <c r="L216" s="148"/>
      <c r="M216" s="148"/>
      <c r="N216" s="148"/>
      <c r="O216" s="148"/>
      <c r="P216" s="168">
        <v>52124</v>
      </c>
      <c r="Q216" s="113"/>
      <c r="R216" s="113"/>
      <c r="S216" s="116"/>
      <c r="T216" s="2"/>
    </row>
    <row r="217" spans="1:20" ht="15.6" x14ac:dyDescent="0.3">
      <c r="A217" s="166"/>
      <c r="B217" s="113" t="s">
        <v>187</v>
      </c>
      <c r="C217" s="167"/>
      <c r="D217" s="148"/>
      <c r="E217" s="148"/>
      <c r="F217" s="148"/>
      <c r="G217" s="148"/>
      <c r="H217" s="148"/>
      <c r="I217" s="148"/>
      <c r="J217" s="148"/>
      <c r="K217" s="148"/>
      <c r="L217" s="148"/>
      <c r="M217" s="148"/>
      <c r="N217" s="148"/>
      <c r="O217" s="148"/>
      <c r="P217" s="168">
        <v>15599</v>
      </c>
      <c r="Q217" s="113"/>
      <c r="R217" s="113"/>
      <c r="S217" s="116"/>
      <c r="T217" s="2"/>
    </row>
    <row r="218" spans="1:20" ht="15.6" x14ac:dyDescent="0.3">
      <c r="A218" s="166"/>
      <c r="B218" s="113" t="s">
        <v>188</v>
      </c>
      <c r="C218" s="167"/>
      <c r="D218" s="148"/>
      <c r="E218" s="148"/>
      <c r="F218" s="148"/>
      <c r="G218" s="148"/>
      <c r="H218" s="148"/>
      <c r="I218" s="148"/>
      <c r="J218" s="148"/>
      <c r="K218" s="148"/>
      <c r="L218" s="148"/>
      <c r="M218" s="148"/>
      <c r="N218" s="148"/>
      <c r="O218" s="148"/>
      <c r="P218" s="168">
        <v>15599</v>
      </c>
      <c r="Q218" s="113"/>
      <c r="R218" s="113"/>
      <c r="S218" s="116"/>
      <c r="T218" s="2"/>
    </row>
    <row r="219" spans="1:20" ht="15.6" x14ac:dyDescent="0.3">
      <c r="A219" s="166"/>
      <c r="B219" s="113" t="s">
        <v>259</v>
      </c>
      <c r="C219" s="167"/>
      <c r="D219" s="148"/>
      <c r="E219" s="148"/>
      <c r="F219" s="148"/>
      <c r="G219" s="148"/>
      <c r="H219" s="148"/>
      <c r="I219" s="148"/>
      <c r="J219" s="148"/>
      <c r="K219" s="148"/>
      <c r="L219" s="148"/>
      <c r="M219" s="148"/>
      <c r="N219" s="148"/>
      <c r="O219" s="148"/>
      <c r="P219" s="168">
        <v>15599</v>
      </c>
      <c r="Q219" s="113"/>
      <c r="R219" s="113"/>
      <c r="S219" s="116"/>
      <c r="T219" s="2"/>
    </row>
    <row r="220" spans="1:20" ht="15.6" x14ac:dyDescent="0.3">
      <c r="A220" s="166"/>
      <c r="B220" s="113" t="s">
        <v>60</v>
      </c>
      <c r="C220" s="167"/>
      <c r="D220" s="148"/>
      <c r="E220" s="148"/>
      <c r="F220" s="148"/>
      <c r="G220" s="148"/>
      <c r="H220" s="148"/>
      <c r="I220" s="148"/>
      <c r="J220" s="148"/>
      <c r="K220" s="148"/>
      <c r="L220" s="148"/>
      <c r="M220" s="148"/>
      <c r="N220" s="148"/>
      <c r="O220" s="148"/>
      <c r="P220" s="146">
        <v>20.55</v>
      </c>
      <c r="Q220" s="113" t="s">
        <v>90</v>
      </c>
      <c r="R220" s="113"/>
      <c r="S220" s="116"/>
      <c r="T220" s="2"/>
    </row>
    <row r="221" spans="1:20" ht="15.6" x14ac:dyDescent="0.3">
      <c r="A221" s="166"/>
      <c r="B221" s="113" t="s">
        <v>61</v>
      </c>
      <c r="C221" s="167"/>
      <c r="D221" s="148"/>
      <c r="E221" s="148"/>
      <c r="F221" s="148"/>
      <c r="G221" s="148"/>
      <c r="H221" s="148"/>
      <c r="I221" s="148"/>
      <c r="J221" s="148"/>
      <c r="K221" s="148"/>
      <c r="L221" s="148"/>
      <c r="M221" s="148"/>
      <c r="N221" s="148"/>
      <c r="O221" s="148"/>
      <c r="P221" s="209">
        <v>18.05</v>
      </c>
      <c r="Q221" s="113" t="s">
        <v>90</v>
      </c>
      <c r="R221" s="113"/>
      <c r="S221" s="116"/>
      <c r="T221" s="2"/>
    </row>
    <row r="222" spans="1:20" ht="15.6" x14ac:dyDescent="0.3">
      <c r="A222" s="166"/>
      <c r="B222" s="113" t="s">
        <v>62</v>
      </c>
      <c r="C222" s="167"/>
      <c r="D222" s="148"/>
      <c r="E222" s="148"/>
      <c r="F222" s="148"/>
      <c r="G222" s="148"/>
      <c r="H222" s="148"/>
      <c r="I222" s="148"/>
      <c r="J222" s="148"/>
      <c r="K222" s="148"/>
      <c r="L222" s="148"/>
      <c r="M222" s="148"/>
      <c r="N222" s="148"/>
      <c r="O222" s="148"/>
      <c r="P222" s="142">
        <f>(+J64+L64+P64)/H64</f>
        <v>0.23743757802746568</v>
      </c>
      <c r="Q222" s="113"/>
      <c r="R222" s="113"/>
      <c r="S222" s="116"/>
      <c r="T222" s="2"/>
    </row>
    <row r="223" spans="1:20" ht="15.6" x14ac:dyDescent="0.3">
      <c r="A223" s="166"/>
      <c r="B223" s="113" t="s">
        <v>63</v>
      </c>
      <c r="C223" s="167"/>
      <c r="D223" s="148"/>
      <c r="E223" s="148"/>
      <c r="F223" s="148"/>
      <c r="G223" s="148"/>
      <c r="H223" s="148"/>
      <c r="I223" s="148"/>
      <c r="J223" s="148"/>
      <c r="K223" s="148"/>
      <c r="L223" s="148"/>
      <c r="M223" s="148"/>
      <c r="N223" s="148"/>
      <c r="O223" s="148"/>
      <c r="P223" s="210">
        <v>0.29199999999999998</v>
      </c>
      <c r="Q223" s="113"/>
      <c r="R223" s="113"/>
      <c r="S223" s="116"/>
      <c r="T223" s="2"/>
    </row>
    <row r="224" spans="1:20" ht="15.6" x14ac:dyDescent="0.3">
      <c r="A224" s="48"/>
      <c r="B224" s="164"/>
      <c r="C224" s="164"/>
      <c r="D224" s="43"/>
      <c r="E224" s="43"/>
      <c r="F224" s="43"/>
      <c r="G224" s="43"/>
      <c r="H224" s="43"/>
      <c r="I224" s="43"/>
      <c r="J224" s="43"/>
      <c r="K224" s="43"/>
      <c r="L224" s="43"/>
      <c r="M224" s="43"/>
      <c r="N224" s="43"/>
      <c r="O224" s="43"/>
      <c r="P224" s="162"/>
      <c r="Q224" s="43"/>
      <c r="R224" s="165"/>
      <c r="S224" s="217"/>
      <c r="T224" s="2"/>
    </row>
    <row r="225" spans="1:20" ht="15.6" x14ac:dyDescent="0.3">
      <c r="A225" s="71"/>
      <c r="B225" s="61" t="s">
        <v>64</v>
      </c>
      <c r="C225" s="62"/>
      <c r="D225" s="62"/>
      <c r="E225" s="62"/>
      <c r="F225" s="62"/>
      <c r="G225" s="62"/>
      <c r="H225" s="62"/>
      <c r="I225" s="62"/>
      <c r="J225" s="62"/>
      <c r="K225" s="62"/>
      <c r="L225" s="62"/>
      <c r="M225" s="62"/>
      <c r="N225" s="62"/>
      <c r="O225" s="62" t="s">
        <v>83</v>
      </c>
      <c r="P225" s="72" t="s">
        <v>88</v>
      </c>
      <c r="Q225" s="54"/>
      <c r="R225" s="54"/>
      <c r="S225" s="219"/>
      <c r="T225" s="2"/>
    </row>
    <row r="226" spans="1:20" ht="15.6" x14ac:dyDescent="0.3">
      <c r="A226" s="52"/>
      <c r="B226" s="79" t="s">
        <v>65</v>
      </c>
      <c r="C226" s="78"/>
      <c r="D226" s="95"/>
      <c r="E226" s="95"/>
      <c r="F226" s="95"/>
      <c r="G226" s="95"/>
      <c r="H226" s="95"/>
      <c r="I226" s="95"/>
      <c r="J226" s="95"/>
      <c r="K226" s="95"/>
      <c r="L226" s="95"/>
      <c r="M226" s="95"/>
      <c r="N226" s="95"/>
      <c r="O226" s="95">
        <v>0</v>
      </c>
      <c r="P226" s="96">
        <v>0</v>
      </c>
      <c r="Q226" s="79"/>
      <c r="R226" s="94"/>
      <c r="S226" s="225"/>
      <c r="T226" s="2"/>
    </row>
    <row r="227" spans="1:20" ht="15.6" x14ac:dyDescent="0.3">
      <c r="A227" s="172"/>
      <c r="B227" s="113" t="s">
        <v>113</v>
      </c>
      <c r="C227" s="155"/>
      <c r="D227" s="123"/>
      <c r="E227" s="123"/>
      <c r="F227" s="123"/>
      <c r="G227" s="123"/>
      <c r="H227" s="123"/>
      <c r="I227" s="123"/>
      <c r="J227" s="123"/>
      <c r="K227" s="123"/>
      <c r="L227" s="123"/>
      <c r="M227" s="123"/>
      <c r="N227" s="123"/>
      <c r="O227" s="173">
        <f>+N279</f>
        <v>0</v>
      </c>
      <c r="P227" s="174">
        <f>+P279</f>
        <v>0</v>
      </c>
      <c r="Q227" s="113"/>
      <c r="R227" s="175"/>
      <c r="S227" s="176"/>
      <c r="T227" s="2"/>
    </row>
    <row r="228" spans="1:20" ht="15.6" x14ac:dyDescent="0.3">
      <c r="A228" s="172"/>
      <c r="B228" s="113" t="s">
        <v>66</v>
      </c>
      <c r="C228" s="155"/>
      <c r="D228" s="123"/>
      <c r="E228" s="123"/>
      <c r="F228" s="123"/>
      <c r="G228" s="123"/>
      <c r="H228" s="123"/>
      <c r="I228" s="123"/>
      <c r="J228" s="123"/>
      <c r="K228" s="123"/>
      <c r="L228" s="123"/>
      <c r="M228" s="123"/>
      <c r="N228" s="123"/>
      <c r="O228" s="173">
        <f>+N291</f>
        <v>0</v>
      </c>
      <c r="P228" s="174">
        <f>+P291</f>
        <v>0</v>
      </c>
      <c r="Q228" s="113"/>
      <c r="R228" s="175"/>
      <c r="S228" s="176"/>
      <c r="T228" s="2"/>
    </row>
    <row r="229" spans="1:20" ht="15.6" x14ac:dyDescent="0.3">
      <c r="A229" s="172"/>
      <c r="B229" s="134" t="s">
        <v>284</v>
      </c>
      <c r="C229" s="177"/>
      <c r="D229" s="135"/>
      <c r="E229" s="135"/>
      <c r="F229" s="135"/>
      <c r="G229" s="135"/>
      <c r="H229" s="135"/>
      <c r="I229" s="135"/>
      <c r="J229" s="135"/>
      <c r="K229" s="135"/>
      <c r="L229" s="135"/>
      <c r="M229" s="135"/>
      <c r="N229" s="135"/>
      <c r="O229" s="113"/>
      <c r="P229" s="174">
        <f>+P64</f>
        <v>9505</v>
      </c>
      <c r="Q229" s="135"/>
      <c r="R229" s="178"/>
      <c r="S229" s="176"/>
      <c r="T229" s="2"/>
    </row>
    <row r="230" spans="1:20" ht="15.6" x14ac:dyDescent="0.3">
      <c r="A230" s="172"/>
      <c r="B230" s="134" t="s">
        <v>140</v>
      </c>
      <c r="C230" s="177"/>
      <c r="D230" s="135"/>
      <c r="E230" s="135"/>
      <c r="F230" s="135"/>
      <c r="G230" s="135"/>
      <c r="H230" s="135"/>
      <c r="I230" s="135"/>
      <c r="J230" s="135"/>
      <c r="K230" s="135"/>
      <c r="L230" s="135"/>
      <c r="M230" s="135"/>
      <c r="N230" s="135"/>
      <c r="O230" s="113"/>
      <c r="P230" s="174">
        <f>-J77</f>
        <v>0</v>
      </c>
      <c r="Q230" s="135"/>
      <c r="R230" s="178"/>
      <c r="S230" s="176"/>
      <c r="T230" s="2"/>
    </row>
    <row r="231" spans="1:20" ht="15.6" x14ac:dyDescent="0.3">
      <c r="A231" s="179"/>
      <c r="B231" s="134" t="s">
        <v>67</v>
      </c>
      <c r="C231" s="180"/>
      <c r="D231" s="135"/>
      <c r="E231" s="135"/>
      <c r="F231" s="135"/>
      <c r="G231" s="135"/>
      <c r="H231" s="135"/>
      <c r="I231" s="135"/>
      <c r="J231" s="135"/>
      <c r="K231" s="135"/>
      <c r="L231" s="135"/>
      <c r="M231" s="135"/>
      <c r="N231" s="135"/>
      <c r="O231" s="113"/>
      <c r="P231" s="174"/>
      <c r="Q231" s="135"/>
      <c r="R231" s="178"/>
      <c r="S231" s="181"/>
      <c r="T231" s="2"/>
    </row>
    <row r="232" spans="1:20" ht="15.6" x14ac:dyDescent="0.3">
      <c r="A232" s="179"/>
      <c r="B232" s="118" t="s">
        <v>68</v>
      </c>
      <c r="C232" s="180"/>
      <c r="D232" s="135"/>
      <c r="E232" s="135"/>
      <c r="F232" s="135"/>
      <c r="G232" s="135"/>
      <c r="H232" s="135"/>
      <c r="I232" s="135"/>
      <c r="J232" s="135"/>
      <c r="K232" s="135"/>
      <c r="L232" s="135"/>
      <c r="M232" s="135"/>
      <c r="N232" s="135"/>
      <c r="O232" s="123"/>
      <c r="P232" s="174">
        <f>R162</f>
        <v>0</v>
      </c>
      <c r="Q232" s="135"/>
      <c r="R232" s="178"/>
      <c r="S232" s="181"/>
      <c r="T232" s="2"/>
    </row>
    <row r="233" spans="1:20" ht="15.6" x14ac:dyDescent="0.3">
      <c r="A233" s="172"/>
      <c r="B233" s="113" t="s">
        <v>69</v>
      </c>
      <c r="C233" s="177"/>
      <c r="D233" s="135"/>
      <c r="E233" s="135"/>
      <c r="F233" s="135"/>
      <c r="G233" s="135"/>
      <c r="H233" s="135"/>
      <c r="I233" s="135"/>
      <c r="J233" s="135"/>
      <c r="K233" s="135"/>
      <c r="L233" s="135"/>
      <c r="M233" s="135"/>
      <c r="N233" s="135"/>
      <c r="O233" s="123"/>
      <c r="P233" s="174">
        <f>'May 17'!P233+P232</f>
        <v>0</v>
      </c>
      <c r="Q233" s="135"/>
      <c r="R233" s="178"/>
      <c r="S233" s="181"/>
      <c r="T233" s="2"/>
    </row>
    <row r="234" spans="1:20" ht="15.6" x14ac:dyDescent="0.3">
      <c r="A234" s="179"/>
      <c r="B234" s="134" t="s">
        <v>151</v>
      </c>
      <c r="C234" s="180"/>
      <c r="D234" s="135"/>
      <c r="E234" s="135"/>
      <c r="F234" s="135"/>
      <c r="G234" s="135"/>
      <c r="H234" s="135"/>
      <c r="I234" s="135"/>
      <c r="J234" s="135"/>
      <c r="K234" s="135"/>
      <c r="L234" s="135"/>
      <c r="M234" s="135"/>
      <c r="N234" s="135"/>
      <c r="O234" s="123"/>
      <c r="P234" s="174"/>
      <c r="Q234" s="135"/>
      <c r="R234" s="178"/>
      <c r="S234" s="181"/>
      <c r="T234" s="2"/>
    </row>
    <row r="235" spans="1:20" ht="15.6" x14ac:dyDescent="0.3">
      <c r="A235" s="179"/>
      <c r="B235" s="113" t="s">
        <v>160</v>
      </c>
      <c r="C235" s="180"/>
      <c r="D235" s="135"/>
      <c r="E235" s="135"/>
      <c r="F235" s="135"/>
      <c r="G235" s="135"/>
      <c r="H235" s="135"/>
      <c r="I235" s="135"/>
      <c r="J235" s="135"/>
      <c r="K235" s="135"/>
      <c r="L235" s="135"/>
      <c r="M235" s="135"/>
      <c r="N235" s="135"/>
      <c r="O235" s="123">
        <v>0</v>
      </c>
      <c r="P235" s="174">
        <v>0</v>
      </c>
      <c r="Q235" s="135"/>
      <c r="R235" s="178"/>
      <c r="S235" s="181"/>
      <c r="T235" s="2"/>
    </row>
    <row r="236" spans="1:20" ht="15.6" x14ac:dyDescent="0.3">
      <c r="A236" s="172"/>
      <c r="B236" s="113" t="s">
        <v>70</v>
      </c>
      <c r="C236" s="182"/>
      <c r="D236" s="135"/>
      <c r="E236" s="135"/>
      <c r="F236" s="135"/>
      <c r="G236" s="135"/>
      <c r="H236" s="135"/>
      <c r="I236" s="135"/>
      <c r="J236" s="135"/>
      <c r="K236" s="135"/>
      <c r="L236" s="135"/>
      <c r="M236" s="135"/>
      <c r="N236" s="135"/>
      <c r="O236" s="113"/>
      <c r="P236" s="183">
        <v>0</v>
      </c>
      <c r="Q236" s="135"/>
      <c r="R236" s="178"/>
      <c r="S236" s="181"/>
      <c r="T236" s="2"/>
    </row>
    <row r="237" spans="1:20" ht="15.6" x14ac:dyDescent="0.3">
      <c r="A237" s="172"/>
      <c r="B237" s="113" t="s">
        <v>71</v>
      </c>
      <c r="C237" s="182"/>
      <c r="D237" s="135"/>
      <c r="E237" s="135"/>
      <c r="F237" s="135"/>
      <c r="G237" s="135"/>
      <c r="H237" s="135"/>
      <c r="I237" s="135"/>
      <c r="J237" s="135"/>
      <c r="K237" s="135"/>
      <c r="L237" s="135"/>
      <c r="M237" s="135"/>
      <c r="N237" s="135"/>
      <c r="O237" s="113"/>
      <c r="P237" s="183">
        <v>0</v>
      </c>
      <c r="Q237" s="135"/>
      <c r="R237" s="178"/>
      <c r="S237" s="181"/>
      <c r="T237" s="2"/>
    </row>
    <row r="238" spans="1:20" ht="15.6" x14ac:dyDescent="0.3">
      <c r="A238" s="172"/>
      <c r="B238" s="134" t="s">
        <v>136</v>
      </c>
      <c r="C238" s="182"/>
      <c r="D238" s="135"/>
      <c r="E238" s="135"/>
      <c r="F238" s="135"/>
      <c r="G238" s="135"/>
      <c r="H238" s="135"/>
      <c r="I238" s="135"/>
      <c r="J238" s="135"/>
      <c r="K238" s="135"/>
      <c r="L238" s="135"/>
      <c r="M238" s="135"/>
      <c r="N238" s="135"/>
      <c r="O238" s="113"/>
      <c r="P238" s="184"/>
      <c r="Q238" s="135"/>
      <c r="R238" s="178"/>
      <c r="S238" s="181"/>
      <c r="T238" s="2"/>
    </row>
    <row r="239" spans="1:20" ht="15.6" x14ac:dyDescent="0.3">
      <c r="A239" s="172"/>
      <c r="B239" s="113" t="s">
        <v>160</v>
      </c>
      <c r="C239" s="182"/>
      <c r="D239" s="135"/>
      <c r="E239" s="135"/>
      <c r="F239" s="135"/>
      <c r="G239" s="135"/>
      <c r="H239" s="135"/>
      <c r="I239" s="135"/>
      <c r="J239" s="135"/>
      <c r="K239" s="135"/>
      <c r="L239" s="135"/>
      <c r="M239" s="135"/>
      <c r="N239" s="135"/>
      <c r="O239" s="123">
        <v>0</v>
      </c>
      <c r="P239" s="174">
        <v>0</v>
      </c>
      <c r="Q239" s="135"/>
      <c r="R239" s="178"/>
      <c r="S239" s="181"/>
      <c r="T239" s="2"/>
    </row>
    <row r="240" spans="1:20" ht="15.6" x14ac:dyDescent="0.3">
      <c r="A240" s="172"/>
      <c r="B240" s="113" t="s">
        <v>137</v>
      </c>
      <c r="C240" s="182"/>
      <c r="D240" s="135"/>
      <c r="E240" s="135"/>
      <c r="F240" s="135"/>
      <c r="G240" s="135"/>
      <c r="H240" s="135"/>
      <c r="I240" s="135"/>
      <c r="J240" s="135"/>
      <c r="K240" s="135"/>
      <c r="L240" s="135"/>
      <c r="M240" s="135"/>
      <c r="N240" s="135"/>
      <c r="O240" s="113"/>
      <c r="P240" s="183">
        <v>0</v>
      </c>
      <c r="Q240" s="135"/>
      <c r="R240" s="178"/>
      <c r="S240" s="181"/>
      <c r="T240" s="2"/>
    </row>
    <row r="241" spans="1:20" ht="15.6" x14ac:dyDescent="0.3">
      <c r="A241" s="172"/>
      <c r="B241" s="180"/>
      <c r="C241" s="182"/>
      <c r="D241" s="135"/>
      <c r="E241" s="135"/>
      <c r="F241" s="135"/>
      <c r="G241" s="135"/>
      <c r="H241" s="135"/>
      <c r="I241" s="135"/>
      <c r="J241" s="135"/>
      <c r="K241" s="135"/>
      <c r="L241" s="135"/>
      <c r="M241" s="135"/>
      <c r="N241" s="135"/>
      <c r="O241" s="113"/>
      <c r="P241" s="184"/>
      <c r="Q241" s="135"/>
      <c r="R241" s="178"/>
      <c r="S241" s="181"/>
      <c r="T241" s="2"/>
    </row>
    <row r="242" spans="1:20" ht="15.6" x14ac:dyDescent="0.3">
      <c r="A242" s="172"/>
      <c r="B242" s="180"/>
      <c r="C242" s="182"/>
      <c r="D242" s="135"/>
      <c r="E242" s="135"/>
      <c r="F242" s="135"/>
      <c r="G242" s="135"/>
      <c r="H242" s="135"/>
      <c r="I242" s="135"/>
      <c r="J242" s="135"/>
      <c r="K242" s="135"/>
      <c r="L242" s="135"/>
      <c r="M242" s="135"/>
      <c r="N242" s="135"/>
      <c r="O242" s="135"/>
      <c r="P242" s="185"/>
      <c r="Q242" s="135"/>
      <c r="R242" s="178"/>
      <c r="S242" s="181"/>
      <c r="T242" s="2"/>
    </row>
    <row r="243" spans="1:20" ht="17.399999999999999" x14ac:dyDescent="0.3">
      <c r="A243" s="172"/>
      <c r="B243" s="186" t="s">
        <v>129</v>
      </c>
      <c r="C243" s="182"/>
      <c r="D243" s="135"/>
      <c r="E243" s="135"/>
      <c r="F243" s="135"/>
      <c r="G243" s="135"/>
      <c r="H243" s="135"/>
      <c r="I243" s="135"/>
      <c r="J243" s="135"/>
      <c r="K243" s="135"/>
      <c r="L243" s="187"/>
      <c r="M243" s="135"/>
      <c r="N243" s="187" t="s">
        <v>128</v>
      </c>
      <c r="O243" s="187"/>
      <c r="P243" s="185"/>
      <c r="Q243" s="135"/>
      <c r="R243" s="178"/>
      <c r="S243" s="181"/>
      <c r="T243" s="2"/>
    </row>
    <row r="244" spans="1:20" ht="17.399999999999999" x14ac:dyDescent="0.3">
      <c r="A244" s="169"/>
      <c r="B244" s="199"/>
      <c r="C244" s="170"/>
      <c r="D244" s="43"/>
      <c r="E244" s="43"/>
      <c r="F244" s="43"/>
      <c r="G244" s="43"/>
      <c r="H244" s="43"/>
      <c r="I244" s="43"/>
      <c r="J244" s="43"/>
      <c r="K244" s="43"/>
      <c r="L244" s="200"/>
      <c r="M244" s="43"/>
      <c r="N244" s="43"/>
      <c r="O244" s="43"/>
      <c r="P244" s="171"/>
      <c r="Q244" s="43"/>
      <c r="R244" s="165"/>
      <c r="S244" s="226"/>
      <c r="T244" s="2"/>
    </row>
    <row r="245" spans="1:20" ht="15.6" x14ac:dyDescent="0.3">
      <c r="A245" s="53"/>
      <c r="B245" s="61" t="s">
        <v>152</v>
      </c>
      <c r="C245" s="62"/>
      <c r="D245" s="62"/>
      <c r="E245" s="62"/>
      <c r="F245" s="62"/>
      <c r="G245" s="62"/>
      <c r="H245" s="62"/>
      <c r="I245" s="62"/>
      <c r="J245" s="62"/>
      <c r="K245" s="62"/>
      <c r="L245" s="62"/>
      <c r="M245" s="62"/>
      <c r="N245" s="72" t="s">
        <v>83</v>
      </c>
      <c r="O245" s="62" t="s">
        <v>84</v>
      </c>
      <c r="P245" s="72" t="s">
        <v>89</v>
      </c>
      <c r="Q245" s="62" t="s">
        <v>84</v>
      </c>
      <c r="R245" s="54"/>
      <c r="S245" s="227"/>
      <c r="T245" s="2"/>
    </row>
    <row r="246" spans="1:20" ht="15.6" x14ac:dyDescent="0.3">
      <c r="A246" s="24"/>
      <c r="B246" s="78" t="s">
        <v>72</v>
      </c>
      <c r="C246" s="93"/>
      <c r="D246" s="93"/>
      <c r="E246" s="93"/>
      <c r="F246" s="93"/>
      <c r="G246" s="93"/>
      <c r="H246" s="93"/>
      <c r="I246" s="93"/>
      <c r="J246" s="93"/>
      <c r="K246" s="93"/>
      <c r="L246" s="93"/>
      <c r="M246" s="93"/>
      <c r="N246" s="78">
        <f>+N258+N270+N282</f>
        <v>808</v>
      </c>
      <c r="O246" s="81">
        <f>N246/$N$255</f>
        <v>1</v>
      </c>
      <c r="P246" s="82">
        <f t="shared" ref="P246:P253" si="5">+P258+P270+P282</f>
        <v>127052</v>
      </c>
      <c r="Q246" s="81">
        <f t="shared" ref="Q246:Q253" si="6">P246/$P$255</f>
        <v>1</v>
      </c>
      <c r="R246" s="94"/>
      <c r="S246" s="228"/>
      <c r="T246" s="2"/>
    </row>
    <row r="247" spans="1:20" ht="15.6" x14ac:dyDescent="0.3">
      <c r="A247" s="112"/>
      <c r="B247" s="155" t="s">
        <v>73</v>
      </c>
      <c r="C247" s="191"/>
      <c r="D247" s="191"/>
      <c r="E247" s="191"/>
      <c r="F247" s="191"/>
      <c r="G247" s="191"/>
      <c r="H247" s="191"/>
      <c r="I247" s="191"/>
      <c r="J247" s="191"/>
      <c r="K247" s="191"/>
      <c r="L247" s="191"/>
      <c r="M247" s="191"/>
      <c r="N247" s="155">
        <f t="shared" ref="N247:N253" si="7">+N259+N271+N283</f>
        <v>0</v>
      </c>
      <c r="O247" s="192">
        <f t="shared" ref="O247:O253" si="8">N247/$N$255</f>
        <v>0</v>
      </c>
      <c r="P247" s="156">
        <f t="shared" si="5"/>
        <v>0</v>
      </c>
      <c r="Q247" s="192">
        <f t="shared" si="6"/>
        <v>0</v>
      </c>
      <c r="R247" s="175"/>
      <c r="S247" s="193"/>
      <c r="T247" s="2"/>
    </row>
    <row r="248" spans="1:20" ht="15.6" x14ac:dyDescent="0.3">
      <c r="A248" s="112"/>
      <c r="B248" s="155" t="s">
        <v>74</v>
      </c>
      <c r="C248" s="191"/>
      <c r="D248" s="191"/>
      <c r="E248" s="191"/>
      <c r="F248" s="191"/>
      <c r="G248" s="191"/>
      <c r="H248" s="191"/>
      <c r="I248" s="191"/>
      <c r="J248" s="191"/>
      <c r="K248" s="191"/>
      <c r="L248" s="191"/>
      <c r="M248" s="191"/>
      <c r="N248" s="155">
        <f t="shared" si="7"/>
        <v>0</v>
      </c>
      <c r="O248" s="192">
        <f t="shared" si="8"/>
        <v>0</v>
      </c>
      <c r="P248" s="156">
        <f t="shared" si="5"/>
        <v>0</v>
      </c>
      <c r="Q248" s="192">
        <f t="shared" si="6"/>
        <v>0</v>
      </c>
      <c r="R248" s="175"/>
      <c r="S248" s="193"/>
      <c r="T248" s="2"/>
    </row>
    <row r="249" spans="1:20" ht="15.6" x14ac:dyDescent="0.3">
      <c r="A249" s="112"/>
      <c r="B249" s="155" t="s">
        <v>119</v>
      </c>
      <c r="C249" s="191"/>
      <c r="D249" s="191"/>
      <c r="E249" s="191"/>
      <c r="F249" s="191"/>
      <c r="G249" s="191"/>
      <c r="H249" s="191"/>
      <c r="I249" s="191"/>
      <c r="J249" s="191"/>
      <c r="K249" s="191"/>
      <c r="L249" s="191"/>
      <c r="M249" s="191"/>
      <c r="N249" s="155">
        <f t="shared" si="7"/>
        <v>0</v>
      </c>
      <c r="O249" s="192">
        <f t="shared" si="8"/>
        <v>0</v>
      </c>
      <c r="P249" s="156">
        <f t="shared" si="5"/>
        <v>0</v>
      </c>
      <c r="Q249" s="192">
        <f t="shared" si="6"/>
        <v>0</v>
      </c>
      <c r="R249" s="175"/>
      <c r="S249" s="193"/>
      <c r="T249" s="2"/>
    </row>
    <row r="250" spans="1:20" ht="15.6" x14ac:dyDescent="0.3">
      <c r="A250" s="112"/>
      <c r="B250" s="155" t="s">
        <v>120</v>
      </c>
      <c r="C250" s="191"/>
      <c r="D250" s="191"/>
      <c r="E250" s="191"/>
      <c r="F250" s="191"/>
      <c r="G250" s="191"/>
      <c r="H250" s="191"/>
      <c r="I250" s="191"/>
      <c r="J250" s="191"/>
      <c r="K250" s="191"/>
      <c r="L250" s="191"/>
      <c r="M250" s="191"/>
      <c r="N250" s="155">
        <f t="shared" si="7"/>
        <v>0</v>
      </c>
      <c r="O250" s="192">
        <f t="shared" si="8"/>
        <v>0</v>
      </c>
      <c r="P250" s="156">
        <f t="shared" si="5"/>
        <v>0</v>
      </c>
      <c r="Q250" s="192">
        <f t="shared" si="6"/>
        <v>0</v>
      </c>
      <c r="R250" s="175"/>
      <c r="S250" s="193"/>
      <c r="T250" s="2"/>
    </row>
    <row r="251" spans="1:20" ht="15.6" x14ac:dyDescent="0.3">
      <c r="A251" s="112"/>
      <c r="B251" s="155" t="s">
        <v>121</v>
      </c>
      <c r="C251" s="191"/>
      <c r="D251" s="191"/>
      <c r="E251" s="191"/>
      <c r="F251" s="191"/>
      <c r="G251" s="191"/>
      <c r="H251" s="191"/>
      <c r="I251" s="191"/>
      <c r="J251" s="191"/>
      <c r="K251" s="191"/>
      <c r="L251" s="191"/>
      <c r="M251" s="191"/>
      <c r="N251" s="155">
        <f t="shared" si="7"/>
        <v>0</v>
      </c>
      <c r="O251" s="192">
        <f t="shared" si="8"/>
        <v>0</v>
      </c>
      <c r="P251" s="156">
        <f t="shared" si="5"/>
        <v>0</v>
      </c>
      <c r="Q251" s="192">
        <f t="shared" si="6"/>
        <v>0</v>
      </c>
      <c r="R251" s="175"/>
      <c r="S251" s="193"/>
      <c r="T251" s="2"/>
    </row>
    <row r="252" spans="1:20" ht="15.6" x14ac:dyDescent="0.3">
      <c r="A252" s="112"/>
      <c r="B252" s="155" t="s">
        <v>122</v>
      </c>
      <c r="C252" s="191"/>
      <c r="D252" s="191"/>
      <c r="E252" s="191"/>
      <c r="F252" s="191"/>
      <c r="G252" s="191"/>
      <c r="H252" s="191"/>
      <c r="I252" s="191"/>
      <c r="J252" s="191"/>
      <c r="K252" s="191"/>
      <c r="L252" s="191"/>
      <c r="M252" s="191"/>
      <c r="N252" s="155">
        <f t="shared" si="7"/>
        <v>0</v>
      </c>
      <c r="O252" s="192">
        <f t="shared" si="8"/>
        <v>0</v>
      </c>
      <c r="P252" s="156">
        <f t="shared" si="5"/>
        <v>0</v>
      </c>
      <c r="Q252" s="192">
        <f t="shared" si="6"/>
        <v>0</v>
      </c>
      <c r="R252" s="175"/>
      <c r="S252" s="193"/>
      <c r="T252" s="2"/>
    </row>
    <row r="253" spans="1:20" ht="15.6" x14ac:dyDescent="0.3">
      <c r="A253" s="112"/>
      <c r="B253" s="155" t="s">
        <v>123</v>
      </c>
      <c r="C253" s="191"/>
      <c r="D253" s="191"/>
      <c r="E253" s="191"/>
      <c r="F253" s="191"/>
      <c r="G253" s="191"/>
      <c r="H253" s="191"/>
      <c r="I253" s="191"/>
      <c r="J253" s="191"/>
      <c r="K253" s="191"/>
      <c r="L253" s="191"/>
      <c r="M253" s="191"/>
      <c r="N253" s="155">
        <f t="shared" si="7"/>
        <v>0</v>
      </c>
      <c r="O253" s="192">
        <f t="shared" si="8"/>
        <v>0</v>
      </c>
      <c r="P253" s="156">
        <f t="shared" si="5"/>
        <v>0</v>
      </c>
      <c r="Q253" s="192">
        <f t="shared" si="6"/>
        <v>0</v>
      </c>
      <c r="R253" s="175"/>
      <c r="S253" s="193"/>
      <c r="T253" s="2"/>
    </row>
    <row r="254" spans="1:20" ht="15.6" x14ac:dyDescent="0.3">
      <c r="A254" s="112"/>
      <c r="B254" s="155"/>
      <c r="C254" s="191"/>
      <c r="D254" s="191"/>
      <c r="E254" s="191"/>
      <c r="F254" s="191"/>
      <c r="G254" s="191"/>
      <c r="H254" s="191"/>
      <c r="I254" s="191"/>
      <c r="J254" s="191"/>
      <c r="K254" s="191"/>
      <c r="L254" s="191"/>
      <c r="M254" s="191"/>
      <c r="N254" s="155"/>
      <c r="O254" s="192"/>
      <c r="P254" s="156"/>
      <c r="Q254" s="192"/>
      <c r="R254" s="175"/>
      <c r="S254" s="193"/>
      <c r="T254" s="2"/>
    </row>
    <row r="255" spans="1:20" ht="15.6" x14ac:dyDescent="0.3">
      <c r="A255" s="112"/>
      <c r="B255" s="113" t="s">
        <v>94</v>
      </c>
      <c r="C255" s="113"/>
      <c r="D255" s="194"/>
      <c r="E255" s="194"/>
      <c r="F255" s="194"/>
      <c r="G255" s="194"/>
      <c r="H255" s="194"/>
      <c r="I255" s="194"/>
      <c r="J255" s="194"/>
      <c r="K255" s="194"/>
      <c r="L255" s="194"/>
      <c r="M255" s="194"/>
      <c r="N255" s="155">
        <f>SUM(N246:N254)</f>
        <v>808</v>
      </c>
      <c r="O255" s="192">
        <f>SUM(O246:O254)</f>
        <v>1</v>
      </c>
      <c r="P255" s="156">
        <f>SUM(P246:P254)</f>
        <v>127052</v>
      </c>
      <c r="Q255" s="192">
        <f>SUM(Q246:Q254)</f>
        <v>1</v>
      </c>
      <c r="R255" s="113"/>
      <c r="S255" s="116"/>
      <c r="T255" s="2"/>
    </row>
    <row r="256" spans="1:20" ht="15.6" x14ac:dyDescent="0.3">
      <c r="A256" s="12"/>
      <c r="B256" s="164"/>
      <c r="C256" s="170"/>
      <c r="D256" s="43"/>
      <c r="E256" s="43"/>
      <c r="F256" s="43"/>
      <c r="G256" s="43"/>
      <c r="H256" s="43"/>
      <c r="I256" s="43"/>
      <c r="J256" s="43"/>
      <c r="K256" s="43"/>
      <c r="L256" s="43"/>
      <c r="M256" s="43"/>
      <c r="N256" s="43"/>
      <c r="O256" s="43"/>
      <c r="P256" s="171"/>
      <c r="Q256" s="43"/>
      <c r="R256" s="43"/>
      <c r="S256" s="217"/>
      <c r="T256" s="2"/>
    </row>
    <row r="257" spans="1:21" ht="15.6" x14ac:dyDescent="0.3">
      <c r="A257" s="53"/>
      <c r="B257" s="61" t="s">
        <v>124</v>
      </c>
      <c r="C257" s="62"/>
      <c r="D257" s="62"/>
      <c r="E257" s="62"/>
      <c r="F257" s="62"/>
      <c r="G257" s="62"/>
      <c r="H257" s="62"/>
      <c r="I257" s="62"/>
      <c r="J257" s="62"/>
      <c r="K257" s="62"/>
      <c r="L257" s="62"/>
      <c r="M257" s="62"/>
      <c r="N257" s="72" t="s">
        <v>83</v>
      </c>
      <c r="O257" s="62" t="s">
        <v>84</v>
      </c>
      <c r="P257" s="72" t="s">
        <v>89</v>
      </c>
      <c r="Q257" s="62" t="s">
        <v>84</v>
      </c>
      <c r="R257" s="54"/>
      <c r="S257" s="227"/>
      <c r="T257" s="2"/>
    </row>
    <row r="258" spans="1:21" ht="15.6" x14ac:dyDescent="0.3">
      <c r="A258" s="24"/>
      <c r="B258" s="78" t="s">
        <v>72</v>
      </c>
      <c r="C258" s="93"/>
      <c r="D258" s="93"/>
      <c r="E258" s="93"/>
      <c r="F258" s="93"/>
      <c r="G258" s="93"/>
      <c r="H258" s="93"/>
      <c r="I258" s="93"/>
      <c r="J258" s="93"/>
      <c r="K258" s="93"/>
      <c r="L258" s="93"/>
      <c r="M258" s="93"/>
      <c r="N258" s="78">
        <v>808</v>
      </c>
      <c r="O258" s="81">
        <f>N258/$N$267</f>
        <v>1</v>
      </c>
      <c r="P258" s="82">
        <v>127052</v>
      </c>
      <c r="Q258" s="81">
        <f>P258/$P$267</f>
        <v>1</v>
      </c>
      <c r="R258" s="94"/>
      <c r="S258" s="228"/>
      <c r="T258" s="2"/>
    </row>
    <row r="259" spans="1:21" ht="15.6" x14ac:dyDescent="0.3">
      <c r="A259" s="112"/>
      <c r="B259" s="155" t="s">
        <v>73</v>
      </c>
      <c r="C259" s="191"/>
      <c r="D259" s="191"/>
      <c r="E259" s="191"/>
      <c r="F259" s="191"/>
      <c r="G259" s="191"/>
      <c r="H259" s="191"/>
      <c r="I259" s="191"/>
      <c r="J259" s="191"/>
      <c r="K259" s="191"/>
      <c r="L259" s="191"/>
      <c r="M259" s="191"/>
      <c r="N259" s="155">
        <v>0</v>
      </c>
      <c r="O259" s="192">
        <f t="shared" ref="O259:O265" si="9">N259/$N$267</f>
        <v>0</v>
      </c>
      <c r="P259" s="156">
        <v>0</v>
      </c>
      <c r="Q259" s="192">
        <f t="shared" ref="Q259:Q265" si="10">P259/$P$267</f>
        <v>0</v>
      </c>
      <c r="R259" s="175"/>
      <c r="S259" s="193"/>
      <c r="T259" s="2"/>
      <c r="U259" s="4"/>
    </row>
    <row r="260" spans="1:21" ht="15.6" x14ac:dyDescent="0.3">
      <c r="A260" s="112"/>
      <c r="B260" s="155" t="s">
        <v>74</v>
      </c>
      <c r="C260" s="191"/>
      <c r="D260" s="191"/>
      <c r="E260" s="191"/>
      <c r="F260" s="191"/>
      <c r="G260" s="191"/>
      <c r="H260" s="191"/>
      <c r="I260" s="191"/>
      <c r="J260" s="191"/>
      <c r="K260" s="191"/>
      <c r="L260" s="191"/>
      <c r="M260" s="191"/>
      <c r="N260" s="155">
        <v>0</v>
      </c>
      <c r="O260" s="192">
        <f t="shared" si="9"/>
        <v>0</v>
      </c>
      <c r="P260" s="156">
        <v>0</v>
      </c>
      <c r="Q260" s="192">
        <f t="shared" si="10"/>
        <v>0</v>
      </c>
      <c r="R260" s="175"/>
      <c r="S260" s="193"/>
      <c r="T260" s="2"/>
    </row>
    <row r="261" spans="1:21" ht="15.6" x14ac:dyDescent="0.3">
      <c r="A261" s="112"/>
      <c r="B261" s="155" t="s">
        <v>119</v>
      </c>
      <c r="C261" s="191"/>
      <c r="D261" s="191"/>
      <c r="E261" s="191"/>
      <c r="F261" s="191"/>
      <c r="G261" s="191"/>
      <c r="H261" s="191"/>
      <c r="I261" s="191"/>
      <c r="J261" s="191"/>
      <c r="K261" s="191"/>
      <c r="L261" s="191"/>
      <c r="M261" s="191"/>
      <c r="N261" s="155">
        <v>0</v>
      </c>
      <c r="O261" s="192">
        <f t="shared" si="9"/>
        <v>0</v>
      </c>
      <c r="P261" s="156">
        <v>0</v>
      </c>
      <c r="Q261" s="192">
        <f t="shared" si="10"/>
        <v>0</v>
      </c>
      <c r="R261" s="175"/>
      <c r="S261" s="193"/>
      <c r="T261" s="2"/>
      <c r="U261" s="4"/>
    </row>
    <row r="262" spans="1:21" ht="15.6" x14ac:dyDescent="0.3">
      <c r="A262" s="112"/>
      <c r="B262" s="155" t="s">
        <v>120</v>
      </c>
      <c r="C262" s="191"/>
      <c r="D262" s="191"/>
      <c r="E262" s="191"/>
      <c r="F262" s="191"/>
      <c r="G262" s="191"/>
      <c r="H262" s="191"/>
      <c r="I262" s="191"/>
      <c r="J262" s="191"/>
      <c r="K262" s="191"/>
      <c r="L262" s="191"/>
      <c r="M262" s="191"/>
      <c r="N262" s="155">
        <v>0</v>
      </c>
      <c r="O262" s="192">
        <f t="shared" si="9"/>
        <v>0</v>
      </c>
      <c r="P262" s="156">
        <v>0</v>
      </c>
      <c r="Q262" s="192">
        <f t="shared" si="10"/>
        <v>0</v>
      </c>
      <c r="R262" s="175"/>
      <c r="S262" s="193"/>
      <c r="T262" s="2"/>
    </row>
    <row r="263" spans="1:21" ht="15.6" x14ac:dyDescent="0.3">
      <c r="A263" s="112"/>
      <c r="B263" s="155" t="s">
        <v>121</v>
      </c>
      <c r="C263" s="191"/>
      <c r="D263" s="191"/>
      <c r="E263" s="191"/>
      <c r="F263" s="191"/>
      <c r="G263" s="191"/>
      <c r="H263" s="191"/>
      <c r="I263" s="191"/>
      <c r="J263" s="191"/>
      <c r="K263" s="191"/>
      <c r="L263" s="191"/>
      <c r="M263" s="191"/>
      <c r="N263" s="155">
        <v>0</v>
      </c>
      <c r="O263" s="192">
        <f t="shared" si="9"/>
        <v>0</v>
      </c>
      <c r="P263" s="156">
        <v>0</v>
      </c>
      <c r="Q263" s="192">
        <f t="shared" si="10"/>
        <v>0</v>
      </c>
      <c r="R263" s="175"/>
      <c r="S263" s="193"/>
      <c r="T263" s="2"/>
      <c r="U263" s="4"/>
    </row>
    <row r="264" spans="1:21" ht="15.6" x14ac:dyDescent="0.3">
      <c r="A264" s="112"/>
      <c r="B264" s="155" t="s">
        <v>122</v>
      </c>
      <c r="C264" s="191"/>
      <c r="D264" s="191"/>
      <c r="E264" s="191"/>
      <c r="F264" s="191"/>
      <c r="G264" s="191"/>
      <c r="H264" s="191"/>
      <c r="I264" s="191"/>
      <c r="J264" s="191"/>
      <c r="K264" s="191"/>
      <c r="L264" s="191"/>
      <c r="M264" s="191"/>
      <c r="N264" s="155">
        <v>0</v>
      </c>
      <c r="O264" s="192">
        <f t="shared" si="9"/>
        <v>0</v>
      </c>
      <c r="P264" s="156">
        <v>0</v>
      </c>
      <c r="Q264" s="192">
        <f t="shared" si="10"/>
        <v>0</v>
      </c>
      <c r="R264" s="175"/>
      <c r="S264" s="193"/>
      <c r="T264" s="2"/>
    </row>
    <row r="265" spans="1:21" ht="15.6" x14ac:dyDescent="0.3">
      <c r="A265" s="112"/>
      <c r="B265" s="155" t="s">
        <v>123</v>
      </c>
      <c r="C265" s="191"/>
      <c r="D265" s="191"/>
      <c r="E265" s="191"/>
      <c r="F265" s="191"/>
      <c r="G265" s="191"/>
      <c r="H265" s="191"/>
      <c r="I265" s="191"/>
      <c r="J265" s="191"/>
      <c r="K265" s="191"/>
      <c r="L265" s="191"/>
      <c r="M265" s="191"/>
      <c r="N265" s="155">
        <v>0</v>
      </c>
      <c r="O265" s="192">
        <f t="shared" si="9"/>
        <v>0</v>
      </c>
      <c r="P265" s="156">
        <v>0</v>
      </c>
      <c r="Q265" s="192">
        <f t="shared" si="10"/>
        <v>0</v>
      </c>
      <c r="R265" s="175"/>
      <c r="S265" s="193"/>
      <c r="T265" s="2"/>
      <c r="U265" s="4"/>
    </row>
    <row r="266" spans="1:21" ht="15.6" x14ac:dyDescent="0.3">
      <c r="A266" s="112"/>
      <c r="B266" s="155"/>
      <c r="C266" s="191"/>
      <c r="D266" s="191"/>
      <c r="E266" s="191"/>
      <c r="F266" s="191"/>
      <c r="G266" s="191"/>
      <c r="H266" s="191"/>
      <c r="I266" s="191"/>
      <c r="J266" s="191"/>
      <c r="K266" s="191"/>
      <c r="L266" s="191"/>
      <c r="M266" s="191"/>
      <c r="N266" s="155"/>
      <c r="O266" s="192"/>
      <c r="P266" s="156"/>
      <c r="Q266" s="192"/>
      <c r="R266" s="175"/>
      <c r="S266" s="193"/>
      <c r="T266" s="2"/>
    </row>
    <row r="267" spans="1:21" ht="15.6" x14ac:dyDescent="0.3">
      <c r="A267" s="112"/>
      <c r="B267" s="113" t="s">
        <v>94</v>
      </c>
      <c r="C267" s="113"/>
      <c r="D267" s="194"/>
      <c r="E267" s="194"/>
      <c r="F267" s="194"/>
      <c r="G267" s="194"/>
      <c r="H267" s="194"/>
      <c r="I267" s="194"/>
      <c r="J267" s="194"/>
      <c r="K267" s="194"/>
      <c r="L267" s="194"/>
      <c r="M267" s="194"/>
      <c r="N267" s="155">
        <f>SUM(N258:N266)</f>
        <v>808</v>
      </c>
      <c r="O267" s="192">
        <f>SUM(O258:O266)</f>
        <v>1</v>
      </c>
      <c r="P267" s="156">
        <f>SUM(P258:P266)</f>
        <v>127052</v>
      </c>
      <c r="Q267" s="192">
        <f>SUM(Q258:Q266)</f>
        <v>1</v>
      </c>
      <c r="R267" s="113"/>
      <c r="S267" s="116"/>
      <c r="T267" s="2"/>
    </row>
    <row r="268" spans="1:21" ht="15.6" x14ac:dyDescent="0.3">
      <c r="A268" s="12"/>
      <c r="B268" s="43"/>
      <c r="C268" s="43"/>
      <c r="D268" s="188"/>
      <c r="E268" s="188"/>
      <c r="F268" s="188"/>
      <c r="G268" s="188"/>
      <c r="H268" s="188"/>
      <c r="I268" s="188"/>
      <c r="J268" s="188"/>
      <c r="K268" s="188"/>
      <c r="L268" s="188"/>
      <c r="M268" s="188"/>
      <c r="N268" s="153"/>
      <c r="O268" s="189"/>
      <c r="P268" s="190"/>
      <c r="Q268" s="189"/>
      <c r="R268" s="43"/>
      <c r="S268" s="217"/>
      <c r="T268" s="2"/>
    </row>
    <row r="269" spans="1:21" ht="15.6" x14ac:dyDescent="0.3">
      <c r="A269" s="73"/>
      <c r="B269" s="61" t="s">
        <v>146</v>
      </c>
      <c r="C269" s="62"/>
      <c r="D269" s="62"/>
      <c r="E269" s="62"/>
      <c r="F269" s="62"/>
      <c r="G269" s="62"/>
      <c r="H269" s="62"/>
      <c r="I269" s="62"/>
      <c r="J269" s="62"/>
      <c r="K269" s="62"/>
      <c r="L269" s="62"/>
      <c r="M269" s="62"/>
      <c r="N269" s="72" t="s">
        <v>83</v>
      </c>
      <c r="O269" s="62" t="s">
        <v>84</v>
      </c>
      <c r="P269" s="72" t="s">
        <v>89</v>
      </c>
      <c r="Q269" s="62" t="s">
        <v>84</v>
      </c>
      <c r="R269" s="74"/>
      <c r="S269" s="75"/>
      <c r="T269" s="2"/>
    </row>
    <row r="270" spans="1:21" ht="15.6" x14ac:dyDescent="0.3">
      <c r="A270" s="24"/>
      <c r="B270" s="78" t="s">
        <v>72</v>
      </c>
      <c r="C270" s="93"/>
      <c r="D270" s="93"/>
      <c r="E270" s="93"/>
      <c r="F270" s="93"/>
      <c r="G270" s="93"/>
      <c r="H270" s="93"/>
      <c r="I270" s="93"/>
      <c r="J270" s="93"/>
      <c r="K270" s="93"/>
      <c r="L270" s="93"/>
      <c r="M270" s="93"/>
      <c r="N270" s="78">
        <v>0</v>
      </c>
      <c r="O270" s="81">
        <v>0</v>
      </c>
      <c r="P270" s="82">
        <v>0</v>
      </c>
      <c r="Q270" s="81">
        <v>0</v>
      </c>
      <c r="R270" s="79"/>
      <c r="S270" s="220"/>
      <c r="T270" s="2"/>
    </row>
    <row r="271" spans="1:21" ht="15.6" x14ac:dyDescent="0.3">
      <c r="A271" s="112"/>
      <c r="B271" s="155" t="s">
        <v>73</v>
      </c>
      <c r="C271" s="191"/>
      <c r="D271" s="191"/>
      <c r="E271" s="191"/>
      <c r="F271" s="191"/>
      <c r="G271" s="191"/>
      <c r="H271" s="191"/>
      <c r="I271" s="191"/>
      <c r="J271" s="191"/>
      <c r="K271" s="191"/>
      <c r="L271" s="191"/>
      <c r="M271" s="191"/>
      <c r="N271" s="155">
        <v>0</v>
      </c>
      <c r="O271" s="192">
        <v>0</v>
      </c>
      <c r="P271" s="156">
        <v>0</v>
      </c>
      <c r="Q271" s="192">
        <v>0</v>
      </c>
      <c r="R271" s="113"/>
      <c r="S271" s="116"/>
      <c r="T271" s="2"/>
    </row>
    <row r="272" spans="1:21" ht="15.6" x14ac:dyDescent="0.3">
      <c r="A272" s="112"/>
      <c r="B272" s="155" t="s">
        <v>74</v>
      </c>
      <c r="C272" s="191"/>
      <c r="D272" s="191"/>
      <c r="E272" s="191"/>
      <c r="F272" s="191"/>
      <c r="G272" s="191"/>
      <c r="H272" s="191"/>
      <c r="I272" s="191"/>
      <c r="J272" s="191"/>
      <c r="K272" s="191"/>
      <c r="L272" s="191"/>
      <c r="M272" s="191"/>
      <c r="N272" s="155">
        <v>0</v>
      </c>
      <c r="O272" s="192">
        <v>0</v>
      </c>
      <c r="P272" s="156">
        <v>0</v>
      </c>
      <c r="Q272" s="192">
        <v>0</v>
      </c>
      <c r="R272" s="113"/>
      <c r="S272" s="116"/>
      <c r="T272" s="2"/>
    </row>
    <row r="273" spans="1:20" ht="15.6" x14ac:dyDescent="0.3">
      <c r="A273" s="112"/>
      <c r="B273" s="155" t="s">
        <v>119</v>
      </c>
      <c r="C273" s="191"/>
      <c r="D273" s="191"/>
      <c r="E273" s="191"/>
      <c r="F273" s="191"/>
      <c r="G273" s="191"/>
      <c r="H273" s="191"/>
      <c r="I273" s="191"/>
      <c r="J273" s="191"/>
      <c r="K273" s="191"/>
      <c r="L273" s="191"/>
      <c r="M273" s="191"/>
      <c r="N273" s="155">
        <v>0</v>
      </c>
      <c r="O273" s="192">
        <v>0</v>
      </c>
      <c r="P273" s="156">
        <v>0</v>
      </c>
      <c r="Q273" s="192">
        <v>0</v>
      </c>
      <c r="R273" s="113"/>
      <c r="S273" s="116"/>
      <c r="T273" s="2"/>
    </row>
    <row r="274" spans="1:20" ht="15.6" x14ac:dyDescent="0.3">
      <c r="A274" s="112"/>
      <c r="B274" s="155" t="s">
        <v>120</v>
      </c>
      <c r="C274" s="191"/>
      <c r="D274" s="191"/>
      <c r="E274" s="191"/>
      <c r="F274" s="191"/>
      <c r="G274" s="191"/>
      <c r="H274" s="191"/>
      <c r="I274" s="191"/>
      <c r="J274" s="191"/>
      <c r="K274" s="191"/>
      <c r="L274" s="191"/>
      <c r="M274" s="191"/>
      <c r="N274" s="155">
        <v>0</v>
      </c>
      <c r="O274" s="192">
        <v>0</v>
      </c>
      <c r="P274" s="156">
        <v>0</v>
      </c>
      <c r="Q274" s="192">
        <v>0</v>
      </c>
      <c r="R274" s="113"/>
      <c r="S274" s="116"/>
      <c r="T274" s="2"/>
    </row>
    <row r="275" spans="1:20" ht="15.6" x14ac:dyDescent="0.3">
      <c r="A275" s="112"/>
      <c r="B275" s="155" t="s">
        <v>121</v>
      </c>
      <c r="C275" s="191"/>
      <c r="D275" s="191"/>
      <c r="E275" s="191"/>
      <c r="F275" s="191"/>
      <c r="G275" s="191"/>
      <c r="H275" s="191"/>
      <c r="I275" s="191"/>
      <c r="J275" s="191"/>
      <c r="K275" s="191"/>
      <c r="L275" s="191"/>
      <c r="M275" s="191"/>
      <c r="N275" s="155">
        <v>0</v>
      </c>
      <c r="O275" s="192">
        <v>0</v>
      </c>
      <c r="P275" s="156">
        <v>0</v>
      </c>
      <c r="Q275" s="192">
        <v>0</v>
      </c>
      <c r="R275" s="113"/>
      <c r="S275" s="116"/>
      <c r="T275" s="2"/>
    </row>
    <row r="276" spans="1:20" ht="15.6" x14ac:dyDescent="0.3">
      <c r="A276" s="112"/>
      <c r="B276" s="155" t="s">
        <v>122</v>
      </c>
      <c r="C276" s="191"/>
      <c r="D276" s="191"/>
      <c r="E276" s="191"/>
      <c r="F276" s="191"/>
      <c r="G276" s="191"/>
      <c r="H276" s="191"/>
      <c r="I276" s="191"/>
      <c r="J276" s="191"/>
      <c r="K276" s="191"/>
      <c r="L276" s="191"/>
      <c r="M276" s="191"/>
      <c r="N276" s="155">
        <v>0</v>
      </c>
      <c r="O276" s="192">
        <v>0</v>
      </c>
      <c r="P276" s="156">
        <v>0</v>
      </c>
      <c r="Q276" s="192">
        <v>0</v>
      </c>
      <c r="R276" s="113"/>
      <c r="S276" s="116"/>
      <c r="T276" s="2"/>
    </row>
    <row r="277" spans="1:20" ht="15.6" x14ac:dyDescent="0.3">
      <c r="A277" s="112"/>
      <c r="B277" s="155" t="s">
        <v>123</v>
      </c>
      <c r="C277" s="191"/>
      <c r="D277" s="191"/>
      <c r="E277" s="191"/>
      <c r="F277" s="191"/>
      <c r="G277" s="191"/>
      <c r="H277" s="191"/>
      <c r="I277" s="191"/>
      <c r="J277" s="191"/>
      <c r="K277" s="191"/>
      <c r="L277" s="191"/>
      <c r="M277" s="191"/>
      <c r="N277" s="155">
        <v>0</v>
      </c>
      <c r="O277" s="192">
        <v>0</v>
      </c>
      <c r="P277" s="156">
        <v>0</v>
      </c>
      <c r="Q277" s="192">
        <v>0</v>
      </c>
      <c r="R277" s="113"/>
      <c r="S277" s="116"/>
      <c r="T277" s="2"/>
    </row>
    <row r="278" spans="1:20" ht="15.6" x14ac:dyDescent="0.3">
      <c r="A278" s="112"/>
      <c r="B278" s="155"/>
      <c r="C278" s="191"/>
      <c r="D278" s="191"/>
      <c r="E278" s="191"/>
      <c r="F278" s="191"/>
      <c r="G278" s="191"/>
      <c r="H278" s="191"/>
      <c r="I278" s="191"/>
      <c r="J278" s="191"/>
      <c r="K278" s="191"/>
      <c r="L278" s="191"/>
      <c r="M278" s="191"/>
      <c r="N278" s="155"/>
      <c r="O278" s="192"/>
      <c r="P278" s="156"/>
      <c r="Q278" s="192"/>
      <c r="R278" s="113"/>
      <c r="S278" s="116"/>
      <c r="T278" s="2"/>
    </row>
    <row r="279" spans="1:20" ht="15.6" x14ac:dyDescent="0.3">
      <c r="A279" s="112"/>
      <c r="B279" s="113" t="s">
        <v>94</v>
      </c>
      <c r="C279" s="113"/>
      <c r="D279" s="194"/>
      <c r="E279" s="194"/>
      <c r="F279" s="194"/>
      <c r="G279" s="194"/>
      <c r="H279" s="194"/>
      <c r="I279" s="194"/>
      <c r="J279" s="194"/>
      <c r="K279" s="194"/>
      <c r="L279" s="194"/>
      <c r="M279" s="194"/>
      <c r="N279" s="155">
        <f>SUM(N270:N278)</f>
        <v>0</v>
      </c>
      <c r="O279" s="192">
        <f>SUM(O270:O278)</f>
        <v>0</v>
      </c>
      <c r="P279" s="156">
        <f>SUM(P270:P278)</f>
        <v>0</v>
      </c>
      <c r="Q279" s="192">
        <f>SUM(Q270:Q278)</f>
        <v>0</v>
      </c>
      <c r="R279" s="113"/>
      <c r="S279" s="116"/>
      <c r="T279" s="2"/>
    </row>
    <row r="280" spans="1:20" ht="15.6" x14ac:dyDescent="0.3">
      <c r="A280" s="12"/>
      <c r="B280" s="43"/>
      <c r="C280" s="43"/>
      <c r="D280" s="188"/>
      <c r="E280" s="188"/>
      <c r="F280" s="188"/>
      <c r="G280" s="188"/>
      <c r="H280" s="188"/>
      <c r="I280" s="188"/>
      <c r="J280" s="188"/>
      <c r="K280" s="188"/>
      <c r="L280" s="188"/>
      <c r="M280" s="188"/>
      <c r="N280" s="153"/>
      <c r="O280" s="189"/>
      <c r="P280" s="190"/>
      <c r="Q280" s="189"/>
      <c r="R280" s="43"/>
      <c r="S280" s="217"/>
      <c r="T280" s="2"/>
    </row>
    <row r="281" spans="1:20" ht="15.6" x14ac:dyDescent="0.3">
      <c r="A281" s="73"/>
      <c r="B281" s="61" t="s">
        <v>125</v>
      </c>
      <c r="C281" s="74"/>
      <c r="D281" s="76"/>
      <c r="E281" s="76"/>
      <c r="F281" s="76"/>
      <c r="G281" s="76"/>
      <c r="H281" s="76"/>
      <c r="I281" s="76"/>
      <c r="J281" s="76"/>
      <c r="K281" s="76"/>
      <c r="L281" s="76"/>
      <c r="M281" s="76"/>
      <c r="N281" s="72" t="s">
        <v>83</v>
      </c>
      <c r="O281" s="62" t="s">
        <v>84</v>
      </c>
      <c r="P281" s="72" t="s">
        <v>89</v>
      </c>
      <c r="Q281" s="62" t="s">
        <v>84</v>
      </c>
      <c r="R281" s="74"/>
      <c r="S281" s="75"/>
      <c r="T281" s="2"/>
    </row>
    <row r="282" spans="1:20" ht="15.6" x14ac:dyDescent="0.3">
      <c r="A282" s="77"/>
      <c r="B282" s="78" t="s">
        <v>72</v>
      </c>
      <c r="C282" s="79"/>
      <c r="D282" s="80"/>
      <c r="E282" s="80"/>
      <c r="F282" s="80"/>
      <c r="G282" s="80"/>
      <c r="H282" s="80"/>
      <c r="I282" s="80"/>
      <c r="J282" s="80"/>
      <c r="K282" s="80"/>
      <c r="L282" s="80"/>
      <c r="M282" s="80"/>
      <c r="N282" s="78">
        <v>0</v>
      </c>
      <c r="O282" s="81">
        <v>0</v>
      </c>
      <c r="P282" s="82">
        <v>0</v>
      </c>
      <c r="Q282" s="81">
        <v>0</v>
      </c>
      <c r="R282" s="79"/>
      <c r="S282" s="220"/>
      <c r="T282" s="2"/>
    </row>
    <row r="283" spans="1:20" ht="15.6" x14ac:dyDescent="0.3">
      <c r="A283" s="122"/>
      <c r="B283" s="155" t="s">
        <v>73</v>
      </c>
      <c r="C283" s="113"/>
      <c r="D283" s="194"/>
      <c r="E283" s="194"/>
      <c r="F283" s="194"/>
      <c r="G283" s="194"/>
      <c r="H283" s="194"/>
      <c r="I283" s="194"/>
      <c r="J283" s="194"/>
      <c r="K283" s="194"/>
      <c r="L283" s="194"/>
      <c r="M283" s="194"/>
      <c r="N283" s="155">
        <v>0</v>
      </c>
      <c r="O283" s="192">
        <v>0</v>
      </c>
      <c r="P283" s="156">
        <v>0</v>
      </c>
      <c r="Q283" s="192">
        <v>0</v>
      </c>
      <c r="R283" s="113"/>
      <c r="S283" s="116"/>
      <c r="T283" s="2"/>
    </row>
    <row r="284" spans="1:20" ht="15.6" x14ac:dyDescent="0.3">
      <c r="A284" s="122"/>
      <c r="B284" s="155" t="s">
        <v>74</v>
      </c>
      <c r="C284" s="113"/>
      <c r="D284" s="194"/>
      <c r="E284" s="194"/>
      <c r="F284" s="194"/>
      <c r="G284" s="194"/>
      <c r="H284" s="194"/>
      <c r="I284" s="194"/>
      <c r="J284" s="194"/>
      <c r="K284" s="194"/>
      <c r="L284" s="194"/>
      <c r="M284" s="194"/>
      <c r="N284" s="155">
        <v>0</v>
      </c>
      <c r="O284" s="192">
        <v>0</v>
      </c>
      <c r="P284" s="156">
        <v>0</v>
      </c>
      <c r="Q284" s="192">
        <v>0</v>
      </c>
      <c r="R284" s="113"/>
      <c r="S284" s="116"/>
      <c r="T284" s="2"/>
    </row>
    <row r="285" spans="1:20" ht="15.6" x14ac:dyDescent="0.3">
      <c r="A285" s="122"/>
      <c r="B285" s="155" t="s">
        <v>119</v>
      </c>
      <c r="C285" s="113"/>
      <c r="D285" s="194"/>
      <c r="E285" s="194"/>
      <c r="F285" s="194"/>
      <c r="G285" s="194"/>
      <c r="H285" s="194"/>
      <c r="I285" s="194"/>
      <c r="J285" s="194"/>
      <c r="K285" s="194"/>
      <c r="L285" s="194"/>
      <c r="M285" s="194"/>
      <c r="N285" s="155">
        <v>0</v>
      </c>
      <c r="O285" s="192">
        <v>0</v>
      </c>
      <c r="P285" s="156">
        <v>0</v>
      </c>
      <c r="Q285" s="192">
        <v>0</v>
      </c>
      <c r="R285" s="113"/>
      <c r="S285" s="116"/>
      <c r="T285" s="2"/>
    </row>
    <row r="286" spans="1:20" ht="15.6" x14ac:dyDescent="0.3">
      <c r="A286" s="122"/>
      <c r="B286" s="155" t="s">
        <v>120</v>
      </c>
      <c r="C286" s="113"/>
      <c r="D286" s="194"/>
      <c r="E286" s="194"/>
      <c r="F286" s="194"/>
      <c r="G286" s="194"/>
      <c r="H286" s="194"/>
      <c r="I286" s="194"/>
      <c r="J286" s="194"/>
      <c r="K286" s="194"/>
      <c r="L286" s="194"/>
      <c r="M286" s="194"/>
      <c r="N286" s="155">
        <v>0</v>
      </c>
      <c r="O286" s="192">
        <v>0</v>
      </c>
      <c r="P286" s="156">
        <v>0</v>
      </c>
      <c r="Q286" s="192">
        <v>0</v>
      </c>
      <c r="R286" s="113"/>
      <c r="S286" s="116"/>
      <c r="T286" s="2"/>
    </row>
    <row r="287" spans="1:20" ht="15.6" x14ac:dyDescent="0.3">
      <c r="A287" s="122"/>
      <c r="B287" s="155" t="s">
        <v>121</v>
      </c>
      <c r="C287" s="113"/>
      <c r="D287" s="194"/>
      <c r="E287" s="194"/>
      <c r="F287" s="194"/>
      <c r="G287" s="194"/>
      <c r="H287" s="194"/>
      <c r="I287" s="194"/>
      <c r="J287" s="194"/>
      <c r="K287" s="194"/>
      <c r="L287" s="194"/>
      <c r="M287" s="194"/>
      <c r="N287" s="155">
        <v>0</v>
      </c>
      <c r="O287" s="192">
        <v>0</v>
      </c>
      <c r="P287" s="156">
        <v>0</v>
      </c>
      <c r="Q287" s="192">
        <v>0</v>
      </c>
      <c r="R287" s="113"/>
      <c r="S287" s="116"/>
      <c r="T287" s="2"/>
    </row>
    <row r="288" spans="1:20" ht="15.6" x14ac:dyDescent="0.3">
      <c r="A288" s="122"/>
      <c r="B288" s="155" t="s">
        <v>122</v>
      </c>
      <c r="C288" s="113"/>
      <c r="D288" s="194"/>
      <c r="E288" s="194"/>
      <c r="F288" s="194"/>
      <c r="G288" s="194"/>
      <c r="H288" s="194"/>
      <c r="I288" s="194"/>
      <c r="J288" s="194"/>
      <c r="K288" s="194"/>
      <c r="L288" s="194"/>
      <c r="M288" s="194"/>
      <c r="N288" s="155">
        <v>0</v>
      </c>
      <c r="O288" s="192">
        <v>0</v>
      </c>
      <c r="P288" s="156">
        <v>0</v>
      </c>
      <c r="Q288" s="192">
        <v>0</v>
      </c>
      <c r="R288" s="113"/>
      <c r="S288" s="116"/>
      <c r="T288" s="2"/>
    </row>
    <row r="289" spans="1:20" ht="15.6" x14ac:dyDescent="0.3">
      <c r="A289" s="122"/>
      <c r="B289" s="155" t="s">
        <v>123</v>
      </c>
      <c r="C289" s="113"/>
      <c r="D289" s="194"/>
      <c r="E289" s="194"/>
      <c r="F289" s="194"/>
      <c r="G289" s="194"/>
      <c r="H289" s="194"/>
      <c r="I289" s="194"/>
      <c r="J289" s="194"/>
      <c r="K289" s="194"/>
      <c r="L289" s="194"/>
      <c r="M289" s="194"/>
      <c r="N289" s="155">
        <v>0</v>
      </c>
      <c r="O289" s="192">
        <v>0</v>
      </c>
      <c r="P289" s="156">
        <v>0</v>
      </c>
      <c r="Q289" s="192">
        <v>0</v>
      </c>
      <c r="R289" s="113"/>
      <c r="S289" s="116"/>
      <c r="T289" s="2"/>
    </row>
    <row r="290" spans="1:20" ht="15.6" x14ac:dyDescent="0.3">
      <c r="A290" s="122"/>
      <c r="B290" s="155"/>
      <c r="C290" s="113"/>
      <c r="D290" s="194"/>
      <c r="E290" s="194"/>
      <c r="F290" s="194"/>
      <c r="G290" s="194"/>
      <c r="H290" s="194"/>
      <c r="I290" s="194"/>
      <c r="J290" s="194"/>
      <c r="K290" s="194"/>
      <c r="L290" s="194"/>
      <c r="M290" s="194"/>
      <c r="N290" s="155"/>
      <c r="O290" s="192"/>
      <c r="P290" s="156"/>
      <c r="Q290" s="192"/>
      <c r="R290" s="113"/>
      <c r="S290" s="116"/>
      <c r="T290" s="2"/>
    </row>
    <row r="291" spans="1:20" ht="15.6" x14ac:dyDescent="0.3">
      <c r="A291" s="122"/>
      <c r="B291" s="113" t="s">
        <v>94</v>
      </c>
      <c r="C291" s="113"/>
      <c r="D291" s="194"/>
      <c r="E291" s="194"/>
      <c r="F291" s="194"/>
      <c r="G291" s="194"/>
      <c r="H291" s="194"/>
      <c r="I291" s="194"/>
      <c r="J291" s="194"/>
      <c r="K291" s="194"/>
      <c r="L291" s="194"/>
      <c r="M291" s="194"/>
      <c r="N291" s="155">
        <f>SUM(N282:N289)</f>
        <v>0</v>
      </c>
      <c r="O291" s="192">
        <f>SUM(O282:O289)</f>
        <v>0</v>
      </c>
      <c r="P291" s="156">
        <f>SUM(P282:P289)</f>
        <v>0</v>
      </c>
      <c r="Q291" s="192">
        <f>SUM(Q282:Q289)</f>
        <v>0</v>
      </c>
      <c r="R291" s="113"/>
      <c r="S291" s="116"/>
      <c r="T291" s="2"/>
    </row>
    <row r="292" spans="1:20" ht="15.6" x14ac:dyDescent="0.3">
      <c r="A292" s="122"/>
      <c r="B292" s="113"/>
      <c r="C292" s="113"/>
      <c r="D292" s="194"/>
      <c r="E292" s="194"/>
      <c r="F292" s="194"/>
      <c r="G292" s="194"/>
      <c r="H292" s="194"/>
      <c r="I292" s="194"/>
      <c r="J292" s="194"/>
      <c r="K292" s="194"/>
      <c r="L292" s="194"/>
      <c r="M292" s="194"/>
      <c r="N292" s="155"/>
      <c r="O292" s="192"/>
      <c r="P292" s="156"/>
      <c r="Q292" s="192"/>
      <c r="R292" s="113"/>
      <c r="S292" s="116"/>
      <c r="T292" s="2"/>
    </row>
    <row r="293" spans="1:20" ht="15.6" x14ac:dyDescent="0.3">
      <c r="A293" s="122"/>
      <c r="B293" s="124" t="s">
        <v>177</v>
      </c>
      <c r="C293" s="113"/>
      <c r="D293" s="194"/>
      <c r="E293" s="194"/>
      <c r="F293" s="194"/>
      <c r="G293" s="194"/>
      <c r="H293" s="194"/>
      <c r="I293" s="194"/>
      <c r="J293" s="194"/>
      <c r="K293" s="194"/>
      <c r="L293" s="194"/>
      <c r="M293" s="194"/>
      <c r="N293" s="196">
        <f>N291+N279+N267</f>
        <v>808</v>
      </c>
      <c r="O293" s="192"/>
      <c r="P293" s="197">
        <f>+P291+P279+P267</f>
        <v>127052</v>
      </c>
      <c r="Q293" s="192"/>
      <c r="R293" s="113"/>
      <c r="S293" s="116"/>
      <c r="T293" s="2"/>
    </row>
    <row r="294" spans="1:20" ht="15.6" x14ac:dyDescent="0.3">
      <c r="A294" s="122"/>
      <c r="B294" s="124" t="s">
        <v>217</v>
      </c>
      <c r="C294" s="124"/>
      <c r="D294" s="205"/>
      <c r="E294" s="205"/>
      <c r="F294" s="205"/>
      <c r="G294" s="205"/>
      <c r="H294" s="205"/>
      <c r="I294" s="205"/>
      <c r="J294" s="205"/>
      <c r="K294" s="205"/>
      <c r="L294" s="205"/>
      <c r="M294" s="205"/>
      <c r="N294" s="196"/>
      <c r="O294" s="206"/>
      <c r="P294" s="207">
        <f>+R180</f>
        <v>0</v>
      </c>
      <c r="Q294" s="192"/>
      <c r="R294" s="113"/>
      <c r="S294" s="116"/>
      <c r="T294" s="2"/>
    </row>
    <row r="295" spans="1:20" ht="15.6" x14ac:dyDescent="0.3">
      <c r="A295" s="122"/>
      <c r="B295" s="124" t="s">
        <v>126</v>
      </c>
      <c r="C295" s="124"/>
      <c r="D295" s="205"/>
      <c r="E295" s="205"/>
      <c r="F295" s="205"/>
      <c r="G295" s="205"/>
      <c r="H295" s="205"/>
      <c r="I295" s="205"/>
      <c r="J295" s="205"/>
      <c r="K295" s="205"/>
      <c r="L295" s="205"/>
      <c r="M295" s="205"/>
      <c r="N295" s="196"/>
      <c r="O295" s="206"/>
      <c r="P295" s="207">
        <f>+P293+P294</f>
        <v>127052</v>
      </c>
      <c r="Q295" s="192"/>
      <c r="R295" s="113"/>
      <c r="S295" s="116"/>
      <c r="T295" s="2"/>
    </row>
    <row r="296" spans="1:20" ht="15.6" x14ac:dyDescent="0.3">
      <c r="A296" s="122"/>
      <c r="B296" s="124" t="s">
        <v>176</v>
      </c>
      <c r="C296" s="113"/>
      <c r="D296" s="194"/>
      <c r="E296" s="194"/>
      <c r="F296" s="194"/>
      <c r="G296" s="194"/>
      <c r="H296" s="194"/>
      <c r="I296" s="194"/>
      <c r="J296" s="194"/>
      <c r="K296" s="194"/>
      <c r="L296" s="194"/>
      <c r="M296" s="194"/>
      <c r="N296" s="196"/>
      <c r="O296" s="192"/>
      <c r="P296" s="197">
        <f>+R80</f>
        <v>127052</v>
      </c>
      <c r="Q296" s="192"/>
      <c r="R296" s="113"/>
      <c r="S296" s="116"/>
      <c r="T296" s="2"/>
    </row>
    <row r="297" spans="1:20" ht="15.6" x14ac:dyDescent="0.3">
      <c r="A297" s="122"/>
      <c r="B297" s="124"/>
      <c r="C297" s="113"/>
      <c r="D297" s="194"/>
      <c r="E297" s="194"/>
      <c r="F297" s="194"/>
      <c r="G297" s="194"/>
      <c r="H297" s="194"/>
      <c r="I297" s="194"/>
      <c r="J297" s="194"/>
      <c r="K297" s="194"/>
      <c r="L297" s="194"/>
      <c r="M297" s="194"/>
      <c r="N297" s="196"/>
      <c r="O297" s="192"/>
      <c r="P297" s="197"/>
      <c r="Q297" s="192"/>
      <c r="R297" s="113"/>
      <c r="S297" s="116"/>
      <c r="T297" s="2"/>
    </row>
    <row r="298" spans="1:20" ht="15.6" x14ac:dyDescent="0.3">
      <c r="A298" s="122"/>
      <c r="B298" s="124" t="s">
        <v>202</v>
      </c>
      <c r="C298" s="113"/>
      <c r="D298" s="194"/>
      <c r="E298" s="194"/>
      <c r="F298" s="194"/>
      <c r="G298" s="194"/>
      <c r="H298" s="194"/>
      <c r="I298" s="194"/>
      <c r="J298" s="194"/>
      <c r="K298" s="194"/>
      <c r="L298" s="194"/>
      <c r="M298" s="194"/>
      <c r="N298" s="196"/>
      <c r="O298" s="192"/>
      <c r="P298" s="214">
        <f>(L33+R147)/R33</f>
        <v>0.11807767300291516</v>
      </c>
      <c r="Q298" s="192"/>
      <c r="R298" s="113"/>
      <c r="S298" s="116"/>
      <c r="T298" s="2"/>
    </row>
    <row r="299" spans="1:20" ht="15.6" x14ac:dyDescent="0.3">
      <c r="A299" s="83"/>
      <c r="B299" s="84"/>
      <c r="C299" s="84"/>
      <c r="D299" s="85"/>
      <c r="E299" s="85"/>
      <c r="F299" s="85"/>
      <c r="G299" s="85"/>
      <c r="H299" s="85"/>
      <c r="I299" s="85"/>
      <c r="J299" s="85"/>
      <c r="K299" s="85"/>
      <c r="L299" s="85"/>
      <c r="M299" s="85"/>
      <c r="N299" s="85"/>
      <c r="O299" s="85"/>
      <c r="P299" s="86"/>
      <c r="Q299" s="85"/>
      <c r="R299" s="84"/>
      <c r="S299" s="218"/>
      <c r="T299" s="2"/>
    </row>
    <row r="300" spans="1:20" ht="15.6" x14ac:dyDescent="0.3">
      <c r="A300" s="87"/>
      <c r="B300" s="88" t="s">
        <v>75</v>
      </c>
      <c r="C300" s="84"/>
      <c r="D300" s="89" t="s">
        <v>79</v>
      </c>
      <c r="E300" s="88"/>
      <c r="F300" s="88" t="s">
        <v>80</v>
      </c>
      <c r="G300" s="84"/>
      <c r="H300" s="88"/>
      <c r="I300" s="90"/>
      <c r="J300" s="90"/>
      <c r="K300" s="90"/>
      <c r="L300" s="90"/>
      <c r="M300" s="90"/>
      <c r="N300" s="90"/>
      <c r="O300" s="90"/>
      <c r="P300" s="90"/>
      <c r="Q300" s="90"/>
      <c r="R300" s="90"/>
      <c r="S300" s="229"/>
      <c r="T300" s="2"/>
    </row>
    <row r="301" spans="1:20" ht="15.6" x14ac:dyDescent="0.3">
      <c r="A301" s="87"/>
      <c r="B301" s="90"/>
      <c r="C301" s="84"/>
      <c r="D301" s="84"/>
      <c r="E301" s="84"/>
      <c r="F301" s="84"/>
      <c r="G301" s="84"/>
      <c r="H301" s="84"/>
      <c r="I301" s="90"/>
      <c r="J301" s="90"/>
      <c r="K301" s="90"/>
      <c r="L301" s="90"/>
      <c r="M301" s="90"/>
      <c r="N301" s="90"/>
      <c r="O301" s="90"/>
      <c r="P301" s="90"/>
      <c r="Q301" s="90"/>
      <c r="R301" s="90"/>
      <c r="S301" s="229"/>
      <c r="T301" s="2"/>
    </row>
    <row r="302" spans="1:20" ht="15.6" x14ac:dyDescent="0.3">
      <c r="A302" s="87"/>
      <c r="B302" s="213" t="s">
        <v>193</v>
      </c>
      <c r="C302" s="88"/>
      <c r="D302" s="91" t="s">
        <v>147</v>
      </c>
      <c r="E302" s="88"/>
      <c r="F302" s="88" t="s">
        <v>148</v>
      </c>
      <c r="G302" s="88"/>
      <c r="H302" s="88"/>
      <c r="I302" s="90"/>
      <c r="J302" s="90"/>
      <c r="K302" s="90"/>
      <c r="L302" s="90"/>
      <c r="M302" s="90"/>
      <c r="N302" s="90"/>
      <c r="O302" s="90"/>
      <c r="P302" s="90"/>
      <c r="Q302" s="90"/>
      <c r="R302" s="90"/>
      <c r="S302" s="229"/>
      <c r="T302" s="2"/>
    </row>
    <row r="303" spans="1:20" ht="15.6" x14ac:dyDescent="0.3">
      <c r="A303" s="87"/>
      <c r="B303" s="213" t="s">
        <v>194</v>
      </c>
      <c r="C303" s="88"/>
      <c r="D303" s="91" t="s">
        <v>114</v>
      </c>
      <c r="E303" s="88"/>
      <c r="F303" s="88" t="s">
        <v>117</v>
      </c>
      <c r="G303" s="88"/>
      <c r="H303" s="88"/>
      <c r="I303" s="90"/>
      <c r="J303" s="90"/>
      <c r="K303" s="90"/>
      <c r="L303" s="90"/>
      <c r="M303" s="90"/>
      <c r="N303" s="90"/>
      <c r="O303" s="90"/>
      <c r="P303" s="90"/>
      <c r="Q303" s="90"/>
      <c r="R303" s="90"/>
      <c r="S303" s="229"/>
      <c r="T303" s="2"/>
    </row>
    <row r="304" spans="1:20" ht="15.6" x14ac:dyDescent="0.3">
      <c r="A304" s="87"/>
      <c r="B304" s="88"/>
      <c r="C304" s="88"/>
      <c r="D304" s="90"/>
      <c r="E304" s="90"/>
      <c r="F304" s="90"/>
      <c r="G304" s="90"/>
      <c r="H304" s="90"/>
      <c r="I304" s="90"/>
      <c r="J304" s="90"/>
      <c r="K304" s="90"/>
      <c r="L304" s="90"/>
      <c r="M304" s="90"/>
      <c r="N304" s="90"/>
      <c r="O304" s="90"/>
      <c r="P304" s="90"/>
      <c r="Q304" s="90"/>
      <c r="R304" s="90"/>
      <c r="S304" s="229"/>
      <c r="T304" s="2"/>
    </row>
    <row r="305" spans="1:20" ht="15.6" x14ac:dyDescent="0.3">
      <c r="A305" s="87"/>
      <c r="B305" s="88"/>
      <c r="C305" s="88"/>
      <c r="D305" s="90"/>
      <c r="E305" s="90"/>
      <c r="F305" s="90"/>
      <c r="G305" s="90"/>
      <c r="H305" s="90"/>
      <c r="I305" s="90"/>
      <c r="J305" s="90"/>
      <c r="K305" s="90"/>
      <c r="L305" s="90"/>
      <c r="M305" s="90"/>
      <c r="N305" s="90"/>
      <c r="O305" s="90"/>
      <c r="P305" s="90"/>
      <c r="Q305" s="90"/>
      <c r="R305" s="90"/>
      <c r="S305" s="229"/>
      <c r="T305" s="2"/>
    </row>
    <row r="306" spans="1:20" ht="18" thickBot="1" x14ac:dyDescent="0.35">
      <c r="A306" s="87"/>
      <c r="B306" s="92" t="str">
        <f>B205</f>
        <v>PM22 INVESTOR REPORT QUARTER ENDING AUGUST 2017</v>
      </c>
      <c r="C306" s="88"/>
      <c r="D306" s="90"/>
      <c r="E306" s="90"/>
      <c r="F306" s="90"/>
      <c r="G306" s="90"/>
      <c r="H306" s="90"/>
      <c r="I306" s="90"/>
      <c r="J306" s="90"/>
      <c r="K306" s="90"/>
      <c r="L306" s="90"/>
      <c r="M306" s="90"/>
      <c r="N306" s="90"/>
      <c r="O306" s="90"/>
      <c r="P306" s="90"/>
      <c r="Q306" s="90"/>
      <c r="R306" s="90"/>
      <c r="S306" s="99"/>
      <c r="T306" s="2"/>
    </row>
    <row r="307" spans="1:20" x14ac:dyDescent="0.25">
      <c r="A307" s="3"/>
      <c r="B307" s="3"/>
      <c r="C307" s="3"/>
      <c r="D307" s="3"/>
      <c r="E307" s="3"/>
      <c r="F307" s="3"/>
      <c r="G307" s="3"/>
      <c r="H307" s="3"/>
      <c r="I307" s="3"/>
      <c r="J307" s="3"/>
      <c r="K307" s="3"/>
      <c r="L307" s="3"/>
      <c r="M307" s="3"/>
      <c r="N307" s="3"/>
      <c r="O307" s="3"/>
      <c r="P307" s="3"/>
      <c r="Q307" s="3"/>
      <c r="R307" s="3"/>
      <c r="S307" s="3"/>
    </row>
  </sheetData>
  <hyperlinks>
    <hyperlink ref="N243"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R307"/>
  <sheetViews>
    <sheetView showGridLines="0" showOutlineSymbols="0" zoomScale="70" zoomScaleNormal="70" workbookViewId="0"/>
  </sheetViews>
  <sheetFormatPr defaultColWidth="9.6328125" defaultRowHeight="15.6" x14ac:dyDescent="0.3"/>
  <cols>
    <col min="1" max="1" width="4" style="248" customWidth="1"/>
    <col min="2" max="2" width="71.1796875" style="248" customWidth="1"/>
    <col min="3" max="3" width="2.1796875" style="248" customWidth="1"/>
    <col min="4" max="4" width="16.1796875" style="248" customWidth="1"/>
    <col min="5" max="5" width="2.90625" style="248" customWidth="1"/>
    <col min="6" max="6" width="16.1796875" style="248" customWidth="1"/>
    <col min="7" max="7" width="2.1796875" style="248" customWidth="1"/>
    <col min="8" max="8" width="17.90625" style="248" customWidth="1"/>
    <col min="9" max="9" width="2.36328125" style="248" customWidth="1"/>
    <col min="10" max="10" width="14.90625" style="248" customWidth="1"/>
    <col min="11" max="11" width="2.36328125" style="248" customWidth="1"/>
    <col min="12" max="12" width="15.54296875" style="248" customWidth="1"/>
    <col min="13" max="13" width="2.1796875" style="248" customWidth="1"/>
    <col min="14" max="14" width="15.54296875" style="248" customWidth="1"/>
    <col min="15" max="16" width="12.6328125" style="248" customWidth="1"/>
    <col min="17" max="17" width="7.81640625" style="248" customWidth="1"/>
    <col min="18" max="18" width="14.6328125" style="248" customWidth="1"/>
    <col min="19" max="19" width="11.81640625" style="248" customWidth="1"/>
    <col min="20" max="16384" width="9.6328125" style="248"/>
  </cols>
  <sheetData>
    <row r="1" spans="1:20" ht="21" x14ac:dyDescent="0.4">
      <c r="A1" s="244"/>
      <c r="B1" s="343" t="s">
        <v>221</v>
      </c>
      <c r="C1" s="245"/>
      <c r="D1" s="245"/>
      <c r="E1" s="245"/>
      <c r="F1" s="245"/>
      <c r="G1" s="245"/>
      <c r="H1" s="245"/>
      <c r="I1" s="245"/>
      <c r="J1" s="245"/>
      <c r="K1" s="245"/>
      <c r="L1" s="245"/>
      <c r="M1" s="245"/>
      <c r="N1" s="245"/>
      <c r="O1" s="245"/>
      <c r="P1" s="245"/>
      <c r="Q1" s="245"/>
      <c r="R1" s="245"/>
      <c r="S1" s="246"/>
      <c r="T1" s="247"/>
    </row>
    <row r="2" spans="1:20" x14ac:dyDescent="0.3">
      <c r="A2" s="249"/>
      <c r="B2" s="250"/>
      <c r="C2" s="251"/>
      <c r="D2" s="251"/>
      <c r="E2" s="251"/>
      <c r="F2" s="251"/>
      <c r="G2" s="251"/>
      <c r="H2" s="251"/>
      <c r="I2" s="251"/>
      <c r="J2" s="251"/>
      <c r="K2" s="251"/>
      <c r="L2" s="251"/>
      <c r="M2" s="251"/>
      <c r="N2" s="251"/>
      <c r="O2" s="251"/>
      <c r="P2" s="251"/>
      <c r="Q2" s="251"/>
      <c r="R2" s="251"/>
      <c r="S2" s="252"/>
      <c r="T2" s="247"/>
    </row>
    <row r="3" spans="1:20" x14ac:dyDescent="0.3">
      <c r="A3" s="253"/>
      <c r="B3" s="254" t="s">
        <v>222</v>
      </c>
      <c r="C3" s="251"/>
      <c r="D3" s="251"/>
      <c r="E3" s="251"/>
      <c r="F3" s="251"/>
      <c r="G3" s="251"/>
      <c r="H3" s="251"/>
      <c r="I3" s="251"/>
      <c r="J3" s="251"/>
      <c r="K3" s="251"/>
      <c r="L3" s="251"/>
      <c r="M3" s="251"/>
      <c r="N3" s="251"/>
      <c r="O3" s="251"/>
      <c r="P3" s="251"/>
      <c r="Q3" s="251"/>
      <c r="R3" s="251"/>
      <c r="S3" s="252"/>
      <c r="T3" s="247"/>
    </row>
    <row r="4" spans="1:20" x14ac:dyDescent="0.3">
      <c r="A4" s="249"/>
      <c r="B4" s="250"/>
      <c r="C4" s="251"/>
      <c r="D4" s="251"/>
      <c r="E4" s="251"/>
      <c r="F4" s="251"/>
      <c r="G4" s="251"/>
      <c r="H4" s="251"/>
      <c r="I4" s="251"/>
      <c r="J4" s="251"/>
      <c r="K4" s="251"/>
      <c r="L4" s="251"/>
      <c r="M4" s="251"/>
      <c r="N4" s="251"/>
      <c r="O4" s="251"/>
      <c r="P4" s="251"/>
      <c r="Q4" s="251"/>
      <c r="R4" s="251"/>
      <c r="S4" s="252"/>
      <c r="T4" s="247"/>
    </row>
    <row r="5" spans="1:20" s="349" customFormat="1" x14ac:dyDescent="0.3">
      <c r="A5" s="344"/>
      <c r="B5" s="345" t="s">
        <v>109</v>
      </c>
      <c r="C5" s="346"/>
      <c r="D5" s="346"/>
      <c r="E5" s="346"/>
      <c r="F5" s="346"/>
      <c r="G5" s="346"/>
      <c r="H5" s="346"/>
      <c r="I5" s="346"/>
      <c r="J5" s="346"/>
      <c r="K5" s="346"/>
      <c r="L5" s="346"/>
      <c r="M5" s="346"/>
      <c r="N5" s="346"/>
      <c r="O5" s="346"/>
      <c r="P5" s="346"/>
      <c r="Q5" s="346"/>
      <c r="R5" s="346"/>
      <c r="S5" s="347"/>
      <c r="T5" s="348"/>
    </row>
    <row r="6" spans="1:20" s="349" customFormat="1" x14ac:dyDescent="0.3">
      <c r="A6" s="344"/>
      <c r="B6" s="345" t="s">
        <v>111</v>
      </c>
      <c r="C6" s="346"/>
      <c r="D6" s="346"/>
      <c r="E6" s="346"/>
      <c r="F6" s="346"/>
      <c r="G6" s="346"/>
      <c r="H6" s="346"/>
      <c r="I6" s="346"/>
      <c r="J6" s="346"/>
      <c r="K6" s="346"/>
      <c r="L6" s="346"/>
      <c r="M6" s="346"/>
      <c r="N6" s="346"/>
      <c r="O6" s="346"/>
      <c r="P6" s="346"/>
      <c r="Q6" s="346"/>
      <c r="R6" s="346"/>
      <c r="S6" s="347"/>
      <c r="T6" s="348"/>
    </row>
    <row r="7" spans="1:20" s="349" customFormat="1" x14ac:dyDescent="0.3">
      <c r="A7" s="344"/>
      <c r="B7" s="345" t="s">
        <v>110</v>
      </c>
      <c r="C7" s="346"/>
      <c r="D7" s="346"/>
      <c r="E7" s="346"/>
      <c r="F7" s="346"/>
      <c r="G7" s="346"/>
      <c r="H7" s="346"/>
      <c r="I7" s="346"/>
      <c r="J7" s="346"/>
      <c r="K7" s="346"/>
      <c r="L7" s="346"/>
      <c r="M7" s="346"/>
      <c r="N7" s="346"/>
      <c r="O7" s="346"/>
      <c r="P7" s="346"/>
      <c r="Q7" s="346"/>
      <c r="R7" s="346"/>
      <c r="S7" s="347"/>
      <c r="T7" s="348"/>
    </row>
    <row r="8" spans="1:20" x14ac:dyDescent="0.3">
      <c r="A8" s="249"/>
      <c r="B8" s="255"/>
      <c r="C8" s="251"/>
      <c r="D8" s="251"/>
      <c r="E8" s="251"/>
      <c r="F8" s="251"/>
      <c r="G8" s="251"/>
      <c r="H8" s="251"/>
      <c r="I8" s="251"/>
      <c r="J8" s="251"/>
      <c r="K8" s="251"/>
      <c r="L8" s="251"/>
      <c r="M8" s="251"/>
      <c r="N8" s="251"/>
      <c r="O8" s="251"/>
      <c r="P8" s="251"/>
      <c r="Q8" s="251"/>
      <c r="R8" s="251"/>
      <c r="S8" s="252"/>
      <c r="T8" s="247"/>
    </row>
    <row r="9" spans="1:20" ht="18" x14ac:dyDescent="0.35">
      <c r="A9" s="249"/>
      <c r="B9" s="256" t="s">
        <v>127</v>
      </c>
      <c r="C9" s="251"/>
      <c r="D9" s="251"/>
      <c r="E9" s="257"/>
      <c r="F9" s="251"/>
      <c r="G9" s="251"/>
      <c r="H9" s="257"/>
      <c r="I9" s="251"/>
      <c r="J9" s="257"/>
      <c r="K9" s="243" t="s">
        <v>291</v>
      </c>
      <c r="L9" s="257"/>
      <c r="M9" s="251"/>
      <c r="N9" s="251"/>
      <c r="O9" s="251"/>
      <c r="P9" s="251"/>
      <c r="Q9" s="251"/>
      <c r="R9" s="251"/>
      <c r="S9" s="252"/>
      <c r="T9" s="247"/>
    </row>
    <row r="10" spans="1:20" x14ac:dyDescent="0.3">
      <c r="A10" s="249"/>
      <c r="B10" s="255"/>
      <c r="C10" s="258"/>
      <c r="D10" s="251"/>
      <c r="E10" s="251"/>
      <c r="F10" s="251"/>
      <c r="G10" s="251"/>
      <c r="H10" s="251"/>
      <c r="I10" s="251"/>
      <c r="J10" s="251"/>
      <c r="K10" s="251"/>
      <c r="L10" s="251"/>
      <c r="M10" s="251"/>
      <c r="N10" s="251"/>
      <c r="O10" s="251"/>
      <c r="P10" s="251"/>
      <c r="Q10" s="251"/>
      <c r="R10" s="251"/>
      <c r="S10" s="252"/>
      <c r="T10" s="247"/>
    </row>
    <row r="11" spans="1:20" s="349" customFormat="1" x14ac:dyDescent="0.3">
      <c r="A11" s="344"/>
      <c r="B11" s="350" t="s">
        <v>0</v>
      </c>
      <c r="C11" s="346"/>
      <c r="D11" s="346"/>
      <c r="E11" s="346"/>
      <c r="F11" s="346"/>
      <c r="G11" s="346"/>
      <c r="H11" s="346"/>
      <c r="I11" s="346"/>
      <c r="J11" s="346"/>
      <c r="K11" s="346"/>
      <c r="L11" s="346"/>
      <c r="M11" s="346"/>
      <c r="N11" s="346"/>
      <c r="O11" s="346"/>
      <c r="P11" s="346"/>
      <c r="Q11" s="346"/>
      <c r="R11" s="346"/>
      <c r="S11" s="347"/>
      <c r="T11" s="348"/>
    </row>
    <row r="12" spans="1:20" ht="16.2" thickBot="1" x14ac:dyDescent="0.35">
      <c r="A12" s="249"/>
      <c r="B12" s="258"/>
      <c r="C12" s="251"/>
      <c r="D12" s="251"/>
      <c r="E12" s="251"/>
      <c r="F12" s="251"/>
      <c r="G12" s="251"/>
      <c r="H12" s="251"/>
      <c r="I12" s="251"/>
      <c r="J12" s="251"/>
      <c r="K12" s="251"/>
      <c r="L12" s="251"/>
      <c r="M12" s="251"/>
      <c r="N12" s="251"/>
      <c r="O12" s="251"/>
      <c r="P12" s="251"/>
      <c r="Q12" s="251"/>
      <c r="R12" s="251"/>
      <c r="S12" s="252"/>
      <c r="T12" s="247"/>
    </row>
    <row r="13" spans="1:20" x14ac:dyDescent="0.3">
      <c r="A13" s="244"/>
      <c r="B13" s="245"/>
      <c r="C13" s="245"/>
      <c r="D13" s="245"/>
      <c r="E13" s="245"/>
      <c r="F13" s="245"/>
      <c r="G13" s="245"/>
      <c r="H13" s="245"/>
      <c r="I13" s="245"/>
      <c r="J13" s="245"/>
      <c r="K13" s="245"/>
      <c r="L13" s="245"/>
      <c r="M13" s="245"/>
      <c r="N13" s="245"/>
      <c r="O13" s="245"/>
      <c r="P13" s="245"/>
      <c r="Q13" s="245"/>
      <c r="R13" s="245"/>
      <c r="S13" s="246"/>
      <c r="T13" s="247"/>
    </row>
    <row r="14" spans="1:20" s="349" customFormat="1" x14ac:dyDescent="0.3">
      <c r="A14" s="344"/>
      <c r="B14" s="350" t="s">
        <v>1</v>
      </c>
      <c r="C14" s="346"/>
      <c r="D14" s="346"/>
      <c r="E14" s="346"/>
      <c r="F14" s="346"/>
      <c r="G14" s="346"/>
      <c r="H14" s="346"/>
      <c r="I14" s="346"/>
      <c r="J14" s="346"/>
      <c r="K14" s="346"/>
      <c r="L14" s="346"/>
      <c r="M14" s="346"/>
      <c r="N14" s="346"/>
      <c r="O14" s="346"/>
      <c r="P14" s="346"/>
      <c r="Q14" s="346"/>
      <c r="R14" s="351" t="s">
        <v>223</v>
      </c>
      <c r="S14" s="347"/>
      <c r="T14" s="348"/>
    </row>
    <row r="15" spans="1:20" s="349" customFormat="1" x14ac:dyDescent="0.3">
      <c r="A15" s="344"/>
      <c r="B15" s="350" t="s">
        <v>2</v>
      </c>
      <c r="C15" s="346"/>
      <c r="D15" s="352"/>
      <c r="E15" s="352"/>
      <c r="F15" s="352"/>
      <c r="G15" s="352"/>
      <c r="H15" s="352"/>
      <c r="I15" s="352"/>
      <c r="J15" s="352"/>
      <c r="K15" s="352"/>
      <c r="L15" s="352"/>
      <c r="M15" s="352"/>
      <c r="N15" s="353"/>
      <c r="O15" s="353"/>
      <c r="P15" s="353" t="s">
        <v>154</v>
      </c>
      <c r="Q15" s="353">
        <v>1</v>
      </c>
      <c r="R15" s="351"/>
      <c r="S15" s="347"/>
      <c r="T15" s="348"/>
    </row>
    <row r="16" spans="1:20" s="349" customFormat="1" x14ac:dyDescent="0.3">
      <c r="A16" s="344"/>
      <c r="B16" s="350" t="s">
        <v>3</v>
      </c>
      <c r="C16" s="346"/>
      <c r="D16" s="352"/>
      <c r="E16" s="352"/>
      <c r="F16" s="352"/>
      <c r="G16" s="352"/>
      <c r="H16" s="352"/>
      <c r="I16" s="352"/>
      <c r="J16" s="352"/>
      <c r="K16" s="352"/>
      <c r="L16" s="352"/>
      <c r="M16" s="352"/>
      <c r="N16" s="353"/>
      <c r="O16" s="353"/>
      <c r="P16" s="353" t="s">
        <v>154</v>
      </c>
      <c r="Q16" s="353">
        <v>1</v>
      </c>
      <c r="R16" s="351"/>
      <c r="S16" s="347"/>
      <c r="T16" s="348"/>
    </row>
    <row r="17" spans="1:23" s="349" customFormat="1" x14ac:dyDescent="0.3">
      <c r="A17" s="344"/>
      <c r="B17" s="350" t="s">
        <v>4</v>
      </c>
      <c r="C17" s="346"/>
      <c r="D17" s="346"/>
      <c r="E17" s="346"/>
      <c r="F17" s="346"/>
      <c r="G17" s="346"/>
      <c r="H17" s="346"/>
      <c r="I17" s="346"/>
      <c r="J17" s="346"/>
      <c r="K17" s="346"/>
      <c r="L17" s="346"/>
      <c r="M17" s="346"/>
      <c r="N17" s="346"/>
      <c r="O17" s="346"/>
      <c r="P17" s="346"/>
      <c r="Q17" s="346"/>
      <c r="R17" s="354">
        <v>42088</v>
      </c>
      <c r="S17" s="347"/>
      <c r="T17" s="348"/>
    </row>
    <row r="18" spans="1:23" s="349" customFormat="1" x14ac:dyDescent="0.3">
      <c r="A18" s="344"/>
      <c r="B18" s="350" t="s">
        <v>5</v>
      </c>
      <c r="C18" s="346"/>
      <c r="D18" s="346"/>
      <c r="E18" s="346"/>
      <c r="F18" s="346"/>
      <c r="G18" s="346"/>
      <c r="H18" s="346"/>
      <c r="I18" s="346"/>
      <c r="J18" s="346"/>
      <c r="K18" s="346"/>
      <c r="L18" s="346"/>
      <c r="M18" s="346"/>
      <c r="N18" s="346"/>
      <c r="O18" s="346"/>
      <c r="P18" s="346"/>
      <c r="Q18" s="346"/>
      <c r="R18" s="354">
        <v>43091</v>
      </c>
      <c r="S18" s="347"/>
      <c r="T18" s="348"/>
    </row>
    <row r="19" spans="1:23" s="349" customFormat="1" x14ac:dyDescent="0.3">
      <c r="A19" s="344"/>
      <c r="B19" s="346"/>
      <c r="C19" s="346"/>
      <c r="D19" s="346"/>
      <c r="E19" s="346"/>
      <c r="F19" s="346"/>
      <c r="G19" s="346"/>
      <c r="H19" s="346"/>
      <c r="I19" s="346"/>
      <c r="J19" s="346"/>
      <c r="K19" s="346"/>
      <c r="L19" s="346"/>
      <c r="M19" s="346"/>
      <c r="N19" s="346"/>
      <c r="O19" s="346"/>
      <c r="P19" s="346"/>
      <c r="Q19" s="346"/>
      <c r="R19" s="355"/>
      <c r="S19" s="347"/>
      <c r="T19" s="348"/>
    </row>
    <row r="20" spans="1:23" s="349" customFormat="1" x14ac:dyDescent="0.3">
      <c r="A20" s="344"/>
      <c r="B20" s="356" t="s">
        <v>6</v>
      </c>
      <c r="C20" s="346"/>
      <c r="D20" s="346"/>
      <c r="E20" s="346"/>
      <c r="F20" s="346"/>
      <c r="G20" s="346"/>
      <c r="H20" s="346"/>
      <c r="I20" s="346"/>
      <c r="J20" s="346"/>
      <c r="K20" s="346"/>
      <c r="L20" s="346"/>
      <c r="M20" s="346"/>
      <c r="N20" s="346"/>
      <c r="O20" s="346"/>
      <c r="P20" s="355" t="s">
        <v>85</v>
      </c>
      <c r="Q20" s="346"/>
      <c r="R20" s="346"/>
      <c r="S20" s="347"/>
      <c r="T20" s="348"/>
    </row>
    <row r="21" spans="1:23" x14ac:dyDescent="0.3">
      <c r="A21" s="249"/>
      <c r="B21" s="251"/>
      <c r="C21" s="251"/>
      <c r="D21" s="251"/>
      <c r="E21" s="251"/>
      <c r="F21" s="251"/>
      <c r="G21" s="251"/>
      <c r="H21" s="251"/>
      <c r="I21" s="251"/>
      <c r="J21" s="251"/>
      <c r="K21" s="251"/>
      <c r="L21" s="251"/>
      <c r="M21" s="251"/>
      <c r="N21" s="251"/>
      <c r="O21" s="251"/>
      <c r="P21" s="251"/>
      <c r="Q21" s="251"/>
      <c r="R21" s="262"/>
      <c r="S21" s="252"/>
      <c r="T21" s="247"/>
    </row>
    <row r="22" spans="1:23" x14ac:dyDescent="0.3">
      <c r="A22" s="443"/>
      <c r="B22" s="447"/>
      <c r="C22" s="448"/>
      <c r="D22" s="448" t="s">
        <v>232</v>
      </c>
      <c r="E22" s="448"/>
      <c r="F22" s="448" t="s">
        <v>233</v>
      </c>
      <c r="G22" s="448"/>
      <c r="H22" s="448" t="s">
        <v>179</v>
      </c>
      <c r="I22" s="448"/>
      <c r="J22" s="448" t="s">
        <v>180</v>
      </c>
      <c r="K22" s="448"/>
      <c r="L22" s="448" t="s">
        <v>234</v>
      </c>
      <c r="M22" s="448"/>
      <c r="N22" s="448"/>
      <c r="O22" s="449"/>
      <c r="P22" s="449"/>
      <c r="Q22" s="447"/>
      <c r="R22" s="447"/>
      <c r="S22" s="445"/>
      <c r="T22" s="247"/>
    </row>
    <row r="23" spans="1:23" s="349" customFormat="1" x14ac:dyDescent="0.3">
      <c r="A23" s="344"/>
      <c r="B23" s="393" t="s">
        <v>226</v>
      </c>
      <c r="C23" s="446"/>
      <c r="D23" s="446" t="s">
        <v>112</v>
      </c>
      <c r="E23" s="446"/>
      <c r="F23" s="446" t="s">
        <v>112</v>
      </c>
      <c r="G23" s="446"/>
      <c r="H23" s="446" t="s">
        <v>178</v>
      </c>
      <c r="I23" s="446"/>
      <c r="J23" s="446" t="s">
        <v>249</v>
      </c>
      <c r="K23" s="446"/>
      <c r="L23" s="446" t="s">
        <v>153</v>
      </c>
      <c r="M23" s="446"/>
      <c r="N23" s="446"/>
      <c r="O23" s="446"/>
      <c r="P23" s="446"/>
      <c r="Q23" s="393"/>
      <c r="R23" s="393"/>
      <c r="S23" s="347"/>
      <c r="T23" s="348"/>
    </row>
    <row r="24" spans="1:23" s="349" customFormat="1" x14ac:dyDescent="0.3">
      <c r="A24" s="357"/>
      <c r="B24" s="358" t="s">
        <v>197</v>
      </c>
      <c r="C24" s="359"/>
      <c r="D24" s="360" t="s">
        <v>199</v>
      </c>
      <c r="E24" s="360"/>
      <c r="F24" s="360" t="s">
        <v>199</v>
      </c>
      <c r="G24" s="360"/>
      <c r="H24" s="360" t="s">
        <v>200</v>
      </c>
      <c r="I24" s="360"/>
      <c r="J24" s="360" t="s">
        <v>201</v>
      </c>
      <c r="K24" s="360"/>
      <c r="L24" s="360" t="s">
        <v>153</v>
      </c>
      <c r="M24" s="360"/>
      <c r="N24" s="360"/>
      <c r="O24" s="359"/>
      <c r="P24" s="360"/>
      <c r="Q24" s="358"/>
      <c r="R24" s="358"/>
      <c r="S24" s="361"/>
      <c r="T24" s="348"/>
    </row>
    <row r="25" spans="1:23" s="349" customFormat="1" x14ac:dyDescent="0.3">
      <c r="A25" s="357"/>
      <c r="B25" s="362" t="s">
        <v>227</v>
      </c>
      <c r="C25" s="359"/>
      <c r="D25" s="359" t="s">
        <v>112</v>
      </c>
      <c r="E25" s="359"/>
      <c r="F25" s="359" t="s">
        <v>112</v>
      </c>
      <c r="G25" s="359"/>
      <c r="H25" s="359" t="s">
        <v>178</v>
      </c>
      <c r="I25" s="359"/>
      <c r="J25" s="359" t="s">
        <v>249</v>
      </c>
      <c r="K25" s="359"/>
      <c r="L25" s="359" t="s">
        <v>153</v>
      </c>
      <c r="M25" s="359"/>
      <c r="N25" s="359"/>
      <c r="O25" s="359"/>
      <c r="P25" s="360"/>
      <c r="Q25" s="358"/>
      <c r="R25" s="358"/>
      <c r="S25" s="361"/>
      <c r="T25" s="348"/>
      <c r="U25" s="363"/>
      <c r="W25" s="364"/>
    </row>
    <row r="26" spans="1:23" s="349" customFormat="1" x14ac:dyDescent="0.3">
      <c r="A26" s="365"/>
      <c r="B26" s="362" t="s">
        <v>198</v>
      </c>
      <c r="C26" s="360"/>
      <c r="D26" s="359" t="s">
        <v>199</v>
      </c>
      <c r="E26" s="359"/>
      <c r="F26" s="359" t="s">
        <v>199</v>
      </c>
      <c r="G26" s="359"/>
      <c r="H26" s="359" t="s">
        <v>200</v>
      </c>
      <c r="I26" s="359"/>
      <c r="J26" s="359" t="s">
        <v>201</v>
      </c>
      <c r="K26" s="359"/>
      <c r="L26" s="359" t="s">
        <v>153</v>
      </c>
      <c r="M26" s="359"/>
      <c r="N26" s="359"/>
      <c r="O26" s="360"/>
      <c r="P26" s="366"/>
      <c r="Q26" s="358"/>
      <c r="R26" s="358"/>
      <c r="S26" s="361"/>
      <c r="T26" s="348"/>
      <c r="U26" s="363"/>
      <c r="W26" s="364"/>
    </row>
    <row r="27" spans="1:23" s="349" customFormat="1" x14ac:dyDescent="0.3">
      <c r="A27" s="365"/>
      <c r="B27" s="358" t="s">
        <v>7</v>
      </c>
      <c r="C27" s="367"/>
      <c r="D27" s="360" t="s">
        <v>228</v>
      </c>
      <c r="E27" s="360"/>
      <c r="F27" s="360" t="s">
        <v>242</v>
      </c>
      <c r="G27" s="360"/>
      <c r="H27" s="360" t="s">
        <v>243</v>
      </c>
      <c r="I27" s="360"/>
      <c r="J27" s="360" t="s">
        <v>244</v>
      </c>
      <c r="K27" s="360"/>
      <c r="L27" s="360" t="s">
        <v>245</v>
      </c>
      <c r="M27" s="360"/>
      <c r="N27" s="360"/>
      <c r="O27" s="368"/>
      <c r="P27" s="368"/>
      <c r="Q27" s="367"/>
      <c r="R27" s="368"/>
      <c r="S27" s="369"/>
      <c r="T27" s="348"/>
      <c r="U27" s="363"/>
      <c r="W27" s="364"/>
    </row>
    <row r="28" spans="1:23" s="349" customFormat="1" x14ac:dyDescent="0.3">
      <c r="A28" s="357"/>
      <c r="B28" s="358" t="s">
        <v>106</v>
      </c>
      <c r="C28" s="370"/>
      <c r="D28" s="371">
        <v>164000</v>
      </c>
      <c r="E28" s="372"/>
      <c r="F28" s="373">
        <v>151700</v>
      </c>
      <c r="G28" s="374"/>
      <c r="H28" s="373">
        <v>12000</v>
      </c>
      <c r="I28" s="374"/>
      <c r="J28" s="373">
        <v>12000</v>
      </c>
      <c r="K28" s="368"/>
      <c r="L28" s="373">
        <v>7500</v>
      </c>
      <c r="M28" s="368"/>
      <c r="N28" s="372"/>
      <c r="O28" s="375"/>
      <c r="P28" s="375"/>
      <c r="Q28" s="370"/>
      <c r="R28" s="368"/>
      <c r="S28" s="369"/>
      <c r="T28" s="348"/>
    </row>
    <row r="29" spans="1:23" s="349" customFormat="1" x14ac:dyDescent="0.3">
      <c r="A29" s="365"/>
      <c r="B29" s="358" t="s">
        <v>105</v>
      </c>
      <c r="C29" s="367"/>
      <c r="D29" s="371">
        <f>D28*D35</f>
        <v>58361.253199999999</v>
      </c>
      <c r="E29" s="372"/>
      <c r="F29" s="373">
        <f>F28*F35</f>
        <v>53984.159209999998</v>
      </c>
      <c r="G29" s="373"/>
      <c r="H29" s="373">
        <f>H28</f>
        <v>12000</v>
      </c>
      <c r="I29" s="373"/>
      <c r="J29" s="373">
        <f>J28</f>
        <v>12000</v>
      </c>
      <c r="K29" s="368"/>
      <c r="L29" s="373">
        <f>L28</f>
        <v>7500</v>
      </c>
      <c r="M29" s="368"/>
      <c r="N29" s="372"/>
      <c r="O29" s="368"/>
      <c r="P29" s="368"/>
      <c r="Q29" s="367"/>
      <c r="R29" s="368"/>
      <c r="S29" s="369"/>
      <c r="T29" s="348"/>
    </row>
    <row r="30" spans="1:23" s="349" customFormat="1" x14ac:dyDescent="0.3">
      <c r="A30" s="365"/>
      <c r="B30" s="362" t="s">
        <v>107</v>
      </c>
      <c r="C30" s="367"/>
      <c r="D30" s="376">
        <f>D28*D34</f>
        <v>46020.400799999996</v>
      </c>
      <c r="E30" s="377"/>
      <c r="F30" s="377">
        <f t="shared" ref="F30" si="0">F28*F34</f>
        <v>42568.870739999998</v>
      </c>
      <c r="G30" s="377"/>
      <c r="H30" s="377">
        <f t="shared" ref="H30" si="1">H28*H34</f>
        <v>12000</v>
      </c>
      <c r="I30" s="377"/>
      <c r="J30" s="377">
        <f t="shared" ref="J30" si="2">J28*J34</f>
        <v>12000</v>
      </c>
      <c r="K30" s="377"/>
      <c r="L30" s="377">
        <f t="shared" ref="L30" si="3">L28*L34</f>
        <v>7500</v>
      </c>
      <c r="M30" s="375"/>
      <c r="N30" s="378"/>
      <c r="O30" s="368"/>
      <c r="P30" s="368"/>
      <c r="Q30" s="367"/>
      <c r="R30" s="375"/>
      <c r="S30" s="369"/>
      <c r="T30" s="348"/>
    </row>
    <row r="31" spans="1:23" s="349" customFormat="1" x14ac:dyDescent="0.3">
      <c r="A31" s="365"/>
      <c r="B31" s="358" t="s">
        <v>229</v>
      </c>
      <c r="C31" s="367"/>
      <c r="D31" s="373">
        <v>116809</v>
      </c>
      <c r="E31" s="373"/>
      <c r="F31" s="373">
        <v>151700</v>
      </c>
      <c r="G31" s="373"/>
      <c r="H31" s="373">
        <v>12000</v>
      </c>
      <c r="I31" s="373"/>
      <c r="J31" s="373">
        <v>12000</v>
      </c>
      <c r="K31" s="373"/>
      <c r="L31" s="373">
        <v>7500</v>
      </c>
      <c r="M31" s="368"/>
      <c r="N31" s="378"/>
      <c r="O31" s="368"/>
      <c r="P31" s="368"/>
      <c r="Q31" s="367"/>
      <c r="R31" s="368">
        <f>SUM(D31:L31)</f>
        <v>300009</v>
      </c>
      <c r="S31" s="369"/>
      <c r="T31" s="348"/>
    </row>
    <row r="32" spans="1:23" s="349" customFormat="1" x14ac:dyDescent="0.3">
      <c r="A32" s="365"/>
      <c r="B32" s="358" t="s">
        <v>230</v>
      </c>
      <c r="C32" s="367"/>
      <c r="D32" s="373">
        <f>D31*D35</f>
        <v>41567.802591699998</v>
      </c>
      <c r="E32" s="373"/>
      <c r="F32" s="373">
        <f>F31*F35</f>
        <v>53984.159209999998</v>
      </c>
      <c r="G32" s="373"/>
      <c r="H32" s="373">
        <f>H31</f>
        <v>12000</v>
      </c>
      <c r="I32" s="373"/>
      <c r="J32" s="373">
        <f>+J31</f>
        <v>12000</v>
      </c>
      <c r="K32" s="373"/>
      <c r="L32" s="373">
        <f>L31</f>
        <v>7500</v>
      </c>
      <c r="M32" s="368"/>
      <c r="N32" s="378"/>
      <c r="O32" s="368"/>
      <c r="P32" s="368"/>
      <c r="Q32" s="367"/>
      <c r="R32" s="368">
        <f>SUM(D32:L32)</f>
        <v>127051.9618017</v>
      </c>
      <c r="S32" s="369"/>
      <c r="T32" s="348"/>
    </row>
    <row r="33" spans="1:20" s="349" customFormat="1" x14ac:dyDescent="0.3">
      <c r="A33" s="365"/>
      <c r="B33" s="362" t="s">
        <v>231</v>
      </c>
      <c r="C33" s="367"/>
      <c r="D33" s="377">
        <f>D31*D34</f>
        <v>32778.030469799996</v>
      </c>
      <c r="E33" s="377"/>
      <c r="F33" s="377">
        <f>F31*F34</f>
        <v>42568.870739999998</v>
      </c>
      <c r="G33" s="377"/>
      <c r="H33" s="377">
        <f t="shared" ref="H33:L33" si="4">H31*H34</f>
        <v>12000</v>
      </c>
      <c r="I33" s="377"/>
      <c r="J33" s="377">
        <f t="shared" si="4"/>
        <v>12000</v>
      </c>
      <c r="K33" s="377"/>
      <c r="L33" s="377">
        <f t="shared" si="4"/>
        <v>7500</v>
      </c>
      <c r="M33" s="375"/>
      <c r="N33" s="378"/>
      <c r="O33" s="368"/>
      <c r="P33" s="368"/>
      <c r="Q33" s="367"/>
      <c r="R33" s="375">
        <f>SUM(D33:L33)</f>
        <v>106846.90120979999</v>
      </c>
      <c r="S33" s="369"/>
      <c r="T33" s="348"/>
    </row>
    <row r="34" spans="1:20" s="273" customFormat="1" x14ac:dyDescent="0.3">
      <c r="A34" s="265"/>
      <c r="B34" s="266" t="s">
        <v>103</v>
      </c>
      <c r="C34" s="267"/>
      <c r="D34" s="268">
        <v>0.28061219999999998</v>
      </c>
      <c r="E34" s="268"/>
      <c r="F34" s="268">
        <v>0.28061219999999998</v>
      </c>
      <c r="G34" s="268"/>
      <c r="H34" s="268">
        <v>1</v>
      </c>
      <c r="I34" s="268"/>
      <c r="J34" s="268">
        <v>1</v>
      </c>
      <c r="K34" s="268"/>
      <c r="L34" s="268">
        <v>1</v>
      </c>
      <c r="M34" s="268"/>
      <c r="N34" s="268"/>
      <c r="O34" s="269"/>
      <c r="P34" s="269"/>
      <c r="Q34" s="267"/>
      <c r="R34" s="270"/>
      <c r="S34" s="271"/>
      <c r="T34" s="272"/>
    </row>
    <row r="35" spans="1:20" s="273" customFormat="1" x14ac:dyDescent="0.3">
      <c r="A35" s="265"/>
      <c r="B35" s="266" t="s">
        <v>104</v>
      </c>
      <c r="C35" s="267"/>
      <c r="D35" s="268">
        <v>0.35586129999999999</v>
      </c>
      <c r="E35" s="268"/>
      <c r="F35" s="268">
        <v>0.35586129999999999</v>
      </c>
      <c r="G35" s="268"/>
      <c r="H35" s="268">
        <v>1</v>
      </c>
      <c r="I35" s="268"/>
      <c r="J35" s="268">
        <v>1</v>
      </c>
      <c r="K35" s="268"/>
      <c r="L35" s="268">
        <v>1</v>
      </c>
      <c r="M35" s="268"/>
      <c r="N35" s="268"/>
      <c r="O35" s="274"/>
      <c r="P35" s="275"/>
      <c r="Q35" s="267"/>
      <c r="R35" s="274"/>
      <c r="S35" s="271"/>
      <c r="T35" s="272"/>
    </row>
    <row r="36" spans="1:20" s="349" customFormat="1" x14ac:dyDescent="0.3">
      <c r="A36" s="365"/>
      <c r="B36" s="358" t="s">
        <v>8</v>
      </c>
      <c r="C36" s="358"/>
      <c r="D36" s="366" t="s">
        <v>240</v>
      </c>
      <c r="E36" s="366"/>
      <c r="F36" s="366" t="s">
        <v>220</v>
      </c>
      <c r="G36" s="366"/>
      <c r="H36" s="366" t="s">
        <v>247</v>
      </c>
      <c r="I36" s="366"/>
      <c r="J36" s="366" t="s">
        <v>250</v>
      </c>
      <c r="K36" s="366"/>
      <c r="L36" s="366" t="s">
        <v>252</v>
      </c>
      <c r="M36" s="366"/>
      <c r="N36" s="366"/>
      <c r="O36" s="379"/>
      <c r="P36" s="380"/>
      <c r="Q36" s="358"/>
      <c r="R36" s="358"/>
      <c r="S36" s="361"/>
      <c r="T36" s="348"/>
    </row>
    <row r="37" spans="1:20" s="349" customFormat="1" x14ac:dyDescent="0.3">
      <c r="A37" s="365"/>
      <c r="B37" s="358" t="s">
        <v>9</v>
      </c>
      <c r="C37" s="381"/>
      <c r="D37" s="380">
        <v>1.7099999999999999E-3</v>
      </c>
      <c r="E37" s="380"/>
      <c r="F37" s="380">
        <v>1.1268800000000001E-2</v>
      </c>
      <c r="G37" s="380"/>
      <c r="H37" s="380">
        <v>1.67688E-2</v>
      </c>
      <c r="I37" s="380"/>
      <c r="J37" s="380">
        <v>1.97688E-2</v>
      </c>
      <c r="K37" s="380"/>
      <c r="L37" s="380">
        <v>2.3268799999999999E-2</v>
      </c>
      <c r="M37" s="379"/>
      <c r="N37" s="380"/>
      <c r="O37" s="366"/>
      <c r="P37" s="366"/>
      <c r="Q37" s="358"/>
      <c r="R37" s="379"/>
      <c r="S37" s="361"/>
      <c r="T37" s="348"/>
    </row>
    <row r="38" spans="1:20" s="349" customFormat="1" x14ac:dyDescent="0.3">
      <c r="A38" s="365"/>
      <c r="B38" s="358" t="s">
        <v>10</v>
      </c>
      <c r="C38" s="381"/>
      <c r="D38" s="380">
        <v>1.6900000000000001E-3</v>
      </c>
      <c r="E38" s="380"/>
      <c r="F38" s="380">
        <v>1.08869E-2</v>
      </c>
      <c r="G38" s="380"/>
      <c r="H38" s="380">
        <v>1.6386899999999999E-2</v>
      </c>
      <c r="I38" s="380"/>
      <c r="J38" s="380">
        <v>1.9386899999999999E-2</v>
      </c>
      <c r="K38" s="380"/>
      <c r="L38" s="380">
        <v>2.2886900000000002E-2</v>
      </c>
      <c r="M38" s="379"/>
      <c r="N38" s="380"/>
      <c r="O38" s="366"/>
      <c r="P38" s="366"/>
      <c r="Q38" s="358"/>
      <c r="R38" s="358"/>
      <c r="S38" s="361"/>
      <c r="T38" s="348"/>
    </row>
    <row r="39" spans="1:20" s="349" customFormat="1" x14ac:dyDescent="0.3">
      <c r="A39" s="365"/>
      <c r="B39" s="358" t="s">
        <v>235</v>
      </c>
      <c r="C39" s="381"/>
      <c r="D39" s="382" t="s">
        <v>260</v>
      </c>
      <c r="E39" s="380"/>
      <c r="F39" s="380" t="s">
        <v>220</v>
      </c>
      <c r="G39" s="380"/>
      <c r="H39" s="380" t="s">
        <v>247</v>
      </c>
      <c r="I39" s="380"/>
      <c r="J39" s="366" t="s">
        <v>250</v>
      </c>
      <c r="K39" s="380"/>
      <c r="L39" s="380" t="s">
        <v>252</v>
      </c>
      <c r="M39" s="379"/>
      <c r="N39" s="380"/>
      <c r="O39" s="366"/>
      <c r="P39" s="366"/>
      <c r="Q39" s="358"/>
      <c r="R39" s="358"/>
      <c r="S39" s="361"/>
      <c r="T39" s="348"/>
    </row>
    <row r="40" spans="1:20" s="349" customFormat="1" x14ac:dyDescent="0.3">
      <c r="A40" s="365"/>
      <c r="B40" s="358" t="s">
        <v>236</v>
      </c>
      <c r="C40" s="381"/>
      <c r="D40" s="380">
        <v>1.36688E-2</v>
      </c>
      <c r="E40" s="380"/>
      <c r="F40" s="380">
        <f>+F37</f>
        <v>1.1268800000000001E-2</v>
      </c>
      <c r="G40" s="380"/>
      <c r="H40" s="380">
        <f>+H37</f>
        <v>1.67688E-2</v>
      </c>
      <c r="I40" s="380"/>
      <c r="J40" s="380">
        <f>+J37</f>
        <v>1.97688E-2</v>
      </c>
      <c r="K40" s="380"/>
      <c r="L40" s="380">
        <f>+L37</f>
        <v>2.3268799999999999E-2</v>
      </c>
      <c r="M40" s="379"/>
      <c r="N40" s="380"/>
      <c r="O40" s="366"/>
      <c r="P40" s="366"/>
      <c r="Q40" s="358"/>
      <c r="R40" s="379">
        <f>SUMPRODUCT(D40:L40,D32:L32)/R32</f>
        <v>1.4084677229652452E-2</v>
      </c>
      <c r="S40" s="361"/>
      <c r="T40" s="348"/>
    </row>
    <row r="41" spans="1:20" s="349" customFormat="1" x14ac:dyDescent="0.3">
      <c r="A41" s="365"/>
      <c r="B41" s="358" t="s">
        <v>237</v>
      </c>
      <c r="C41" s="381"/>
      <c r="D41" s="380">
        <v>1.3286900000000001E-2</v>
      </c>
      <c r="E41" s="380"/>
      <c r="F41" s="380">
        <f>+F38</f>
        <v>1.08869E-2</v>
      </c>
      <c r="G41" s="380"/>
      <c r="H41" s="380">
        <f>+H38</f>
        <v>1.6386899999999999E-2</v>
      </c>
      <c r="I41" s="380"/>
      <c r="J41" s="380">
        <f>+J38</f>
        <v>1.9386899999999999E-2</v>
      </c>
      <c r="K41" s="380"/>
      <c r="L41" s="380">
        <f>+L38</f>
        <v>2.2886900000000002E-2</v>
      </c>
      <c r="M41" s="379"/>
      <c r="N41" s="380"/>
      <c r="O41" s="366"/>
      <c r="P41" s="366"/>
      <c r="Q41" s="358"/>
      <c r="R41" s="358"/>
      <c r="S41" s="361"/>
      <c r="T41" s="348"/>
    </row>
    <row r="42" spans="1:20" s="349" customFormat="1" x14ac:dyDescent="0.3">
      <c r="A42" s="365"/>
      <c r="B42" s="358" t="s">
        <v>238</v>
      </c>
      <c r="C42" s="358"/>
      <c r="D42" s="381">
        <v>43631</v>
      </c>
      <c r="E42" s="381"/>
      <c r="F42" s="381">
        <v>43631</v>
      </c>
      <c r="G42" s="381"/>
      <c r="H42" s="381">
        <v>43631</v>
      </c>
      <c r="I42" s="381"/>
      <c r="J42" s="381">
        <v>43631</v>
      </c>
      <c r="K42" s="381"/>
      <c r="L42" s="381">
        <v>43631</v>
      </c>
      <c r="M42" s="381"/>
      <c r="N42" s="381"/>
      <c r="O42" s="366"/>
      <c r="P42" s="366"/>
      <c r="Q42" s="358"/>
      <c r="R42" s="358"/>
      <c r="S42" s="361"/>
      <c r="T42" s="348"/>
    </row>
    <row r="43" spans="1:20" s="349" customFormat="1" x14ac:dyDescent="0.3">
      <c r="A43" s="365"/>
      <c r="B43" s="358" t="s">
        <v>11</v>
      </c>
      <c r="C43" s="358"/>
      <c r="D43" s="381">
        <v>43631</v>
      </c>
      <c r="E43" s="381"/>
      <c r="F43" s="381">
        <v>43631</v>
      </c>
      <c r="G43" s="366"/>
      <c r="H43" s="381">
        <v>43631</v>
      </c>
      <c r="I43" s="366"/>
      <c r="J43" s="381">
        <v>43631</v>
      </c>
      <c r="K43" s="366"/>
      <c r="L43" s="381" t="s">
        <v>97</v>
      </c>
      <c r="M43" s="366"/>
      <c r="N43" s="381"/>
      <c r="O43" s="366"/>
      <c r="P43" s="366"/>
      <c r="Q43" s="358"/>
      <c r="R43" s="358"/>
      <c r="S43" s="361"/>
      <c r="T43" s="348"/>
    </row>
    <row r="44" spans="1:20" s="349" customFormat="1" x14ac:dyDescent="0.3">
      <c r="A44" s="365"/>
      <c r="B44" s="358" t="s">
        <v>98</v>
      </c>
      <c r="C44" s="358"/>
      <c r="D44" s="366" t="s">
        <v>241</v>
      </c>
      <c r="E44" s="366"/>
      <c r="F44" s="366" t="s">
        <v>246</v>
      </c>
      <c r="G44" s="366"/>
      <c r="H44" s="366" t="s">
        <v>248</v>
      </c>
      <c r="I44" s="366"/>
      <c r="J44" s="366" t="s">
        <v>251</v>
      </c>
      <c r="K44" s="366"/>
      <c r="L44" s="366" t="s">
        <v>97</v>
      </c>
      <c r="M44" s="366"/>
      <c r="N44" s="366"/>
      <c r="O44" s="383"/>
      <c r="P44" s="383"/>
      <c r="Q44" s="383"/>
      <c r="R44" s="383"/>
      <c r="S44" s="361"/>
      <c r="T44" s="348"/>
    </row>
    <row r="45" spans="1:20" s="349" customFormat="1" x14ac:dyDescent="0.3">
      <c r="A45" s="365"/>
      <c r="B45" s="358" t="s">
        <v>239</v>
      </c>
      <c r="C45" s="358"/>
      <c r="D45" s="366" t="s">
        <v>273</v>
      </c>
      <c r="E45" s="366"/>
      <c r="F45" s="366" t="s">
        <v>246</v>
      </c>
      <c r="G45" s="366"/>
      <c r="H45" s="366" t="s">
        <v>248</v>
      </c>
      <c r="I45" s="366"/>
      <c r="J45" s="366" t="s">
        <v>251</v>
      </c>
      <c r="K45" s="366"/>
      <c r="L45" s="366" t="s">
        <v>97</v>
      </c>
      <c r="M45" s="366"/>
      <c r="N45" s="366"/>
      <c r="O45" s="383"/>
      <c r="P45" s="383"/>
      <c r="Q45" s="383"/>
      <c r="R45" s="383"/>
      <c r="S45" s="361"/>
      <c r="T45" s="348"/>
    </row>
    <row r="46" spans="1:20" s="349" customFormat="1" x14ac:dyDescent="0.3">
      <c r="A46" s="365"/>
      <c r="B46" s="358"/>
      <c r="C46" s="358"/>
      <c r="D46" s="366"/>
      <c r="E46" s="366"/>
      <c r="F46" s="366"/>
      <c r="G46" s="366"/>
      <c r="H46" s="366"/>
      <c r="I46" s="366"/>
      <c r="J46" s="366"/>
      <c r="K46" s="366"/>
      <c r="L46" s="366"/>
      <c r="M46" s="366"/>
      <c r="N46" s="366"/>
      <c r="O46" s="358"/>
      <c r="P46" s="358"/>
      <c r="Q46" s="358"/>
      <c r="R46" s="379" t="s">
        <v>130</v>
      </c>
      <c r="S46" s="361"/>
      <c r="T46" s="348"/>
    </row>
    <row r="47" spans="1:20" s="349" customFormat="1" x14ac:dyDescent="0.3">
      <c r="A47" s="365"/>
      <c r="B47" s="358" t="s">
        <v>253</v>
      </c>
      <c r="C47" s="358"/>
      <c r="D47" s="366"/>
      <c r="E47" s="366"/>
      <c r="F47" s="366"/>
      <c r="G47" s="366"/>
      <c r="H47" s="366"/>
      <c r="I47" s="366"/>
      <c r="J47" s="366"/>
      <c r="K47" s="366"/>
      <c r="L47" s="366"/>
      <c r="M47" s="366"/>
      <c r="N47" s="366"/>
      <c r="O47" s="358"/>
      <c r="P47" s="358"/>
      <c r="Q47" s="358"/>
      <c r="R47" s="384">
        <f>SUM(H31:L31)/(D31+F31)</f>
        <v>0.11731450342446621</v>
      </c>
      <c r="S47" s="361"/>
      <c r="T47" s="348"/>
    </row>
    <row r="48" spans="1:20" s="349" customFormat="1" x14ac:dyDescent="0.3">
      <c r="A48" s="365"/>
      <c r="B48" s="358" t="s">
        <v>254</v>
      </c>
      <c r="C48" s="358"/>
      <c r="D48" s="358"/>
      <c r="E48" s="358"/>
      <c r="F48" s="358"/>
      <c r="G48" s="358"/>
      <c r="H48" s="358"/>
      <c r="I48" s="358"/>
      <c r="J48" s="358"/>
      <c r="K48" s="358"/>
      <c r="L48" s="358"/>
      <c r="M48" s="358"/>
      <c r="N48" s="358"/>
      <c r="O48" s="358"/>
      <c r="P48" s="358"/>
      <c r="Q48" s="358"/>
      <c r="R48" s="384">
        <f>SUM(H33:L33)/(D33+F33)</f>
        <v>0.4180662972759781</v>
      </c>
      <c r="S48" s="361"/>
      <c r="T48" s="348"/>
    </row>
    <row r="49" spans="1:21" s="349" customFormat="1" x14ac:dyDescent="0.3">
      <c r="A49" s="365"/>
      <c r="B49" s="358" t="s">
        <v>255</v>
      </c>
      <c r="C49" s="358"/>
      <c r="D49" s="358"/>
      <c r="E49" s="358"/>
      <c r="F49" s="358"/>
      <c r="G49" s="358"/>
      <c r="H49" s="358"/>
      <c r="I49" s="358"/>
      <c r="J49" s="358"/>
      <c r="K49" s="358"/>
      <c r="L49" s="358"/>
      <c r="M49" s="358"/>
      <c r="N49" s="358"/>
      <c r="O49" s="358"/>
      <c r="P49" s="366"/>
      <c r="Q49" s="366"/>
      <c r="R49" s="368" t="s">
        <v>149</v>
      </c>
      <c r="S49" s="361"/>
      <c r="T49" s="348"/>
    </row>
    <row r="50" spans="1:21" s="349" customFormat="1" x14ac:dyDescent="0.3">
      <c r="A50" s="365"/>
      <c r="B50" s="358"/>
      <c r="C50" s="358"/>
      <c r="D50" s="358"/>
      <c r="E50" s="358"/>
      <c r="F50" s="358"/>
      <c r="G50" s="358"/>
      <c r="H50" s="358"/>
      <c r="I50" s="358"/>
      <c r="J50" s="358"/>
      <c r="K50" s="358"/>
      <c r="L50" s="358"/>
      <c r="M50" s="358"/>
      <c r="N50" s="358"/>
      <c r="O50" s="358"/>
      <c r="P50" s="358"/>
      <c r="Q50" s="358"/>
      <c r="R50" s="385"/>
      <c r="S50" s="361"/>
      <c r="T50" s="348"/>
    </row>
    <row r="51" spans="1:21" s="349" customFormat="1" x14ac:dyDescent="0.3">
      <c r="A51" s="365"/>
      <c r="B51" s="358" t="s">
        <v>225</v>
      </c>
      <c r="C51" s="358"/>
      <c r="D51" s="358"/>
      <c r="E51" s="358"/>
      <c r="F51" s="358"/>
      <c r="G51" s="358"/>
      <c r="H51" s="358"/>
      <c r="I51" s="358"/>
      <c r="J51" s="358"/>
      <c r="K51" s="358"/>
      <c r="L51" s="358"/>
      <c r="M51" s="358"/>
      <c r="N51" s="358"/>
      <c r="O51" s="358"/>
      <c r="P51" s="358"/>
      <c r="Q51" s="358"/>
      <c r="R51" s="386" t="s">
        <v>91</v>
      </c>
      <c r="S51" s="361"/>
      <c r="T51" s="348"/>
    </row>
    <row r="52" spans="1:21" s="349" customFormat="1" x14ac:dyDescent="0.3">
      <c r="A52" s="365"/>
      <c r="B52" s="362" t="s">
        <v>131</v>
      </c>
      <c r="C52" s="362"/>
      <c r="D52" s="362"/>
      <c r="E52" s="362"/>
      <c r="F52" s="362"/>
      <c r="G52" s="362"/>
      <c r="H52" s="362"/>
      <c r="I52" s="362"/>
      <c r="J52" s="362"/>
      <c r="K52" s="362"/>
      <c r="L52" s="362"/>
      <c r="M52" s="362"/>
      <c r="N52" s="362"/>
      <c r="O52" s="362"/>
      <c r="P52" s="387"/>
      <c r="Q52" s="387"/>
      <c r="R52" s="388">
        <v>43084</v>
      </c>
      <c r="S52" s="361"/>
      <c r="T52" s="348"/>
    </row>
    <row r="53" spans="1:21" s="349" customFormat="1" x14ac:dyDescent="0.3">
      <c r="A53" s="365"/>
      <c r="B53" s="358" t="s">
        <v>99</v>
      </c>
      <c r="C53" s="358"/>
      <c r="D53" s="389"/>
      <c r="E53" s="389"/>
      <c r="F53" s="389"/>
      <c r="G53" s="389"/>
      <c r="H53" s="389"/>
      <c r="I53" s="389"/>
      <c r="J53" s="389"/>
      <c r="K53" s="389"/>
      <c r="L53" s="389"/>
      <c r="M53" s="389"/>
      <c r="N53" s="358">
        <f>+R53-P53+1</f>
        <v>92</v>
      </c>
      <c r="O53" s="358"/>
      <c r="P53" s="390">
        <v>42901</v>
      </c>
      <c r="Q53" s="391"/>
      <c r="R53" s="390">
        <v>42992</v>
      </c>
      <c r="S53" s="361"/>
      <c r="T53" s="348"/>
    </row>
    <row r="54" spans="1:21" s="349" customFormat="1" x14ac:dyDescent="0.3">
      <c r="A54" s="365"/>
      <c r="B54" s="358" t="s">
        <v>100</v>
      </c>
      <c r="C54" s="358"/>
      <c r="D54" s="358"/>
      <c r="E54" s="358"/>
      <c r="F54" s="358"/>
      <c r="G54" s="358"/>
      <c r="H54" s="358"/>
      <c r="I54" s="358"/>
      <c r="J54" s="358"/>
      <c r="K54" s="358"/>
      <c r="L54" s="358"/>
      <c r="M54" s="358"/>
      <c r="N54" s="358">
        <f>+R54-P54+1</f>
        <v>91</v>
      </c>
      <c r="O54" s="358"/>
      <c r="P54" s="390">
        <v>42993</v>
      </c>
      <c r="Q54" s="391"/>
      <c r="R54" s="390">
        <v>43083</v>
      </c>
      <c r="S54" s="361"/>
      <c r="T54" s="348"/>
    </row>
    <row r="55" spans="1:21" s="349" customFormat="1" x14ac:dyDescent="0.3">
      <c r="A55" s="365"/>
      <c r="B55" s="358" t="s">
        <v>261</v>
      </c>
      <c r="C55" s="358"/>
      <c r="D55" s="358"/>
      <c r="E55" s="358"/>
      <c r="F55" s="358"/>
      <c r="G55" s="358"/>
      <c r="H55" s="358"/>
      <c r="I55" s="358"/>
      <c r="J55" s="358"/>
      <c r="K55" s="358"/>
      <c r="L55" s="358"/>
      <c r="M55" s="358"/>
      <c r="N55" s="358"/>
      <c r="O55" s="358"/>
      <c r="P55" s="390"/>
      <c r="Q55" s="391"/>
      <c r="R55" s="390" t="s">
        <v>263</v>
      </c>
      <c r="S55" s="361"/>
      <c r="T55" s="348"/>
    </row>
    <row r="56" spans="1:21" s="349" customFormat="1" x14ac:dyDescent="0.3">
      <c r="A56" s="365"/>
      <c r="B56" s="358" t="s">
        <v>262</v>
      </c>
      <c r="C56" s="358"/>
      <c r="D56" s="358"/>
      <c r="E56" s="358"/>
      <c r="F56" s="358"/>
      <c r="G56" s="358"/>
      <c r="H56" s="358"/>
      <c r="I56" s="358"/>
      <c r="J56" s="358"/>
      <c r="K56" s="358"/>
      <c r="L56" s="358"/>
      <c r="M56" s="358"/>
      <c r="N56" s="358"/>
      <c r="O56" s="358"/>
      <c r="P56" s="390"/>
      <c r="Q56" s="391"/>
      <c r="R56" s="390" t="s">
        <v>118</v>
      </c>
      <c r="S56" s="361"/>
      <c r="T56" s="348"/>
      <c r="U56" s="392"/>
    </row>
    <row r="57" spans="1:21" s="349" customFormat="1" x14ac:dyDescent="0.3">
      <c r="A57" s="365"/>
      <c r="B57" s="358" t="s">
        <v>12</v>
      </c>
      <c r="C57" s="358"/>
      <c r="D57" s="358"/>
      <c r="E57" s="358"/>
      <c r="F57" s="358"/>
      <c r="G57" s="358"/>
      <c r="H57" s="358"/>
      <c r="I57" s="358"/>
      <c r="J57" s="358"/>
      <c r="K57" s="358"/>
      <c r="L57" s="358"/>
      <c r="M57" s="358"/>
      <c r="N57" s="358"/>
      <c r="O57" s="358"/>
      <c r="P57" s="390"/>
      <c r="Q57" s="391"/>
      <c r="R57" s="390">
        <v>43070</v>
      </c>
      <c r="S57" s="361"/>
      <c r="T57" s="348"/>
    </row>
    <row r="58" spans="1:21" s="349" customFormat="1" x14ac:dyDescent="0.3">
      <c r="A58" s="344"/>
      <c r="B58" s="393"/>
      <c r="C58" s="393"/>
      <c r="D58" s="393"/>
      <c r="E58" s="393"/>
      <c r="F58" s="393"/>
      <c r="G58" s="393"/>
      <c r="H58" s="393"/>
      <c r="I58" s="393"/>
      <c r="J58" s="393"/>
      <c r="K58" s="393"/>
      <c r="L58" s="393"/>
      <c r="M58" s="393"/>
      <c r="N58" s="393"/>
      <c r="O58" s="393"/>
      <c r="P58" s="394"/>
      <c r="Q58" s="395"/>
      <c r="R58" s="394"/>
      <c r="S58" s="347"/>
      <c r="T58" s="348"/>
    </row>
    <row r="59" spans="1:21" s="349" customFormat="1" x14ac:dyDescent="0.3">
      <c r="A59" s="344"/>
      <c r="B59" s="346"/>
      <c r="C59" s="346"/>
      <c r="D59" s="346"/>
      <c r="E59" s="346"/>
      <c r="F59" s="346"/>
      <c r="G59" s="346"/>
      <c r="H59" s="346"/>
      <c r="I59" s="346"/>
      <c r="J59" s="346"/>
      <c r="K59" s="346"/>
      <c r="L59" s="346"/>
      <c r="M59" s="346"/>
      <c r="N59" s="346"/>
      <c r="O59" s="346"/>
      <c r="P59" s="396"/>
      <c r="Q59" s="397"/>
      <c r="R59" s="396"/>
      <c r="S59" s="347"/>
      <c r="T59" s="348"/>
    </row>
    <row r="60" spans="1:21" s="349" customFormat="1" ht="18.600000000000001" thickBot="1" x14ac:dyDescent="0.4">
      <c r="A60" s="398"/>
      <c r="B60" s="399" t="s">
        <v>294</v>
      </c>
      <c r="C60" s="400"/>
      <c r="D60" s="400"/>
      <c r="E60" s="400"/>
      <c r="F60" s="400"/>
      <c r="G60" s="400"/>
      <c r="H60" s="400"/>
      <c r="I60" s="400"/>
      <c r="J60" s="400"/>
      <c r="K60" s="400"/>
      <c r="L60" s="400"/>
      <c r="M60" s="400"/>
      <c r="N60" s="400"/>
      <c r="O60" s="400"/>
      <c r="P60" s="400"/>
      <c r="Q60" s="400"/>
      <c r="R60" s="401"/>
      <c r="S60" s="402"/>
      <c r="T60" s="348"/>
    </row>
    <row r="61" spans="1:21" x14ac:dyDescent="0.3">
      <c r="A61" s="443"/>
      <c r="B61" s="450" t="s">
        <v>13</v>
      </c>
      <c r="C61" s="444"/>
      <c r="D61" s="444"/>
      <c r="E61" s="444"/>
      <c r="F61" s="444"/>
      <c r="G61" s="444"/>
      <c r="H61" s="444"/>
      <c r="I61" s="444"/>
      <c r="J61" s="444"/>
      <c r="K61" s="444"/>
      <c r="L61" s="444"/>
      <c r="M61" s="444"/>
      <c r="N61" s="444"/>
      <c r="O61" s="444"/>
      <c r="P61" s="444"/>
      <c r="Q61" s="444"/>
      <c r="R61" s="451"/>
      <c r="S61" s="444"/>
      <c r="T61" s="247"/>
    </row>
    <row r="62" spans="1:21" x14ac:dyDescent="0.3">
      <c r="A62" s="249"/>
      <c r="B62" s="258"/>
      <c r="C62" s="251"/>
      <c r="D62" s="251"/>
      <c r="E62" s="251"/>
      <c r="F62" s="251"/>
      <c r="G62" s="251"/>
      <c r="H62" s="251"/>
      <c r="I62" s="251"/>
      <c r="J62" s="251"/>
      <c r="K62" s="251"/>
      <c r="L62" s="251"/>
      <c r="M62" s="251"/>
      <c r="N62" s="251"/>
      <c r="O62" s="251"/>
      <c r="P62" s="251"/>
      <c r="Q62" s="251"/>
      <c r="R62" s="279"/>
      <c r="S62" s="252"/>
      <c r="T62" s="247"/>
    </row>
    <row r="63" spans="1:21" s="273" customFormat="1" ht="46.8" x14ac:dyDescent="0.3">
      <c r="A63" s="280"/>
      <c r="B63" s="281" t="s">
        <v>14</v>
      </c>
      <c r="C63" s="282"/>
      <c r="D63" s="282"/>
      <c r="E63" s="282"/>
      <c r="F63" s="282" t="s">
        <v>76</v>
      </c>
      <c r="G63" s="282"/>
      <c r="H63" s="282" t="s">
        <v>78</v>
      </c>
      <c r="I63" s="282"/>
      <c r="J63" s="282" t="s">
        <v>162</v>
      </c>
      <c r="K63" s="282"/>
      <c r="L63" s="282" t="s">
        <v>163</v>
      </c>
      <c r="M63" s="282"/>
      <c r="N63" s="282" t="s">
        <v>81</v>
      </c>
      <c r="O63" s="282"/>
      <c r="P63" s="282" t="s">
        <v>86</v>
      </c>
      <c r="Q63" s="282"/>
      <c r="R63" s="283" t="s">
        <v>92</v>
      </c>
      <c r="S63" s="284"/>
      <c r="T63" s="272"/>
    </row>
    <row r="64" spans="1:21" s="349" customFormat="1" x14ac:dyDescent="0.3">
      <c r="A64" s="365"/>
      <c r="B64" s="358" t="s">
        <v>15</v>
      </c>
      <c r="C64" s="403"/>
      <c r="D64" s="403"/>
      <c r="E64" s="403"/>
      <c r="F64" s="403">
        <v>244234</v>
      </c>
      <c r="G64" s="403"/>
      <c r="H64" s="404">
        <v>127052</v>
      </c>
      <c r="I64" s="403"/>
      <c r="J64" s="404">
        <v>113</v>
      </c>
      <c r="K64" s="403"/>
      <c r="L64" s="403">
        <v>14846</v>
      </c>
      <c r="M64" s="403"/>
      <c r="N64" s="403">
        <v>0</v>
      </c>
      <c r="O64" s="403"/>
      <c r="P64" s="403">
        <f>2202+2608+436</f>
        <v>5246</v>
      </c>
      <c r="Q64" s="403"/>
      <c r="R64" s="404">
        <f>H64-J64-L64+N64-P64</f>
        <v>106847</v>
      </c>
      <c r="S64" s="361"/>
      <c r="T64" s="348"/>
    </row>
    <row r="65" spans="1:20" s="349" customFormat="1" x14ac:dyDescent="0.3">
      <c r="A65" s="365"/>
      <c r="B65" s="358" t="s">
        <v>16</v>
      </c>
      <c r="C65" s="403"/>
      <c r="D65" s="403"/>
      <c r="E65" s="403"/>
      <c r="F65" s="403">
        <v>0</v>
      </c>
      <c r="G65" s="403"/>
      <c r="H65" s="404">
        <v>0</v>
      </c>
      <c r="I65" s="403"/>
      <c r="J65" s="404">
        <v>0</v>
      </c>
      <c r="K65" s="403"/>
      <c r="L65" s="403">
        <v>0</v>
      </c>
      <c r="M65" s="403"/>
      <c r="N65" s="403">
        <v>0</v>
      </c>
      <c r="O65" s="403"/>
      <c r="P65" s="403">
        <v>0</v>
      </c>
      <c r="Q65" s="403"/>
      <c r="R65" s="404">
        <f>F65-J65-L65</f>
        <v>0</v>
      </c>
      <c r="S65" s="361"/>
      <c r="T65" s="348"/>
    </row>
    <row r="66" spans="1:20" s="349" customFormat="1" x14ac:dyDescent="0.3">
      <c r="A66" s="365"/>
      <c r="B66" s="358"/>
      <c r="C66" s="403"/>
      <c r="D66" s="403"/>
      <c r="E66" s="403"/>
      <c r="F66" s="403"/>
      <c r="G66" s="403"/>
      <c r="H66" s="404"/>
      <c r="I66" s="403"/>
      <c r="J66" s="404"/>
      <c r="K66" s="403"/>
      <c r="L66" s="403"/>
      <c r="M66" s="403"/>
      <c r="N66" s="403"/>
      <c r="O66" s="403"/>
      <c r="P66" s="403"/>
      <c r="Q66" s="403"/>
      <c r="R66" s="404"/>
      <c r="S66" s="361"/>
      <c r="T66" s="348"/>
    </row>
    <row r="67" spans="1:20" s="349" customFormat="1" x14ac:dyDescent="0.3">
      <c r="A67" s="365"/>
      <c r="B67" s="358" t="s">
        <v>17</v>
      </c>
      <c r="C67" s="403"/>
      <c r="D67" s="403"/>
      <c r="E67" s="403"/>
      <c r="F67" s="403">
        <f>SUM(F64:F66)</f>
        <v>244234</v>
      </c>
      <c r="G67" s="403"/>
      <c r="H67" s="403">
        <f>H64+H65</f>
        <v>127052</v>
      </c>
      <c r="I67" s="403"/>
      <c r="J67" s="403">
        <f>J64+J65</f>
        <v>113</v>
      </c>
      <c r="K67" s="403"/>
      <c r="L67" s="403">
        <f>SUM(L64:L66)</f>
        <v>14846</v>
      </c>
      <c r="M67" s="403"/>
      <c r="N67" s="403">
        <f>SUM(N64:N66)</f>
        <v>0</v>
      </c>
      <c r="O67" s="403"/>
      <c r="P67" s="403">
        <f>SUM(P64:P66)</f>
        <v>5246</v>
      </c>
      <c r="Q67" s="403"/>
      <c r="R67" s="403">
        <f>SUM(R64:R66)</f>
        <v>106847</v>
      </c>
      <c r="S67" s="361"/>
      <c r="T67" s="348"/>
    </row>
    <row r="68" spans="1:20" x14ac:dyDescent="0.3">
      <c r="A68" s="249"/>
      <c r="B68" s="277"/>
      <c r="C68" s="287"/>
      <c r="D68" s="287"/>
      <c r="E68" s="287"/>
      <c r="F68" s="287"/>
      <c r="G68" s="287"/>
      <c r="H68" s="287"/>
      <c r="I68" s="287"/>
      <c r="J68" s="287"/>
      <c r="K68" s="287"/>
      <c r="L68" s="287"/>
      <c r="M68" s="287"/>
      <c r="N68" s="287"/>
      <c r="O68" s="287"/>
      <c r="P68" s="287"/>
      <c r="Q68" s="287"/>
      <c r="R68" s="288"/>
      <c r="S68" s="252"/>
      <c r="T68" s="247"/>
    </row>
    <row r="69" spans="1:20" x14ac:dyDescent="0.3">
      <c r="A69" s="249"/>
      <c r="B69" s="254" t="s">
        <v>18</v>
      </c>
      <c r="C69" s="289"/>
      <c r="D69" s="289"/>
      <c r="E69" s="289"/>
      <c r="F69" s="289"/>
      <c r="G69" s="289"/>
      <c r="H69" s="289"/>
      <c r="I69" s="289"/>
      <c r="J69" s="289"/>
      <c r="K69" s="289"/>
      <c r="L69" s="289"/>
      <c r="M69" s="289"/>
      <c r="N69" s="289"/>
      <c r="O69" s="289"/>
      <c r="P69" s="289"/>
      <c r="Q69" s="289"/>
      <c r="R69" s="290"/>
      <c r="S69" s="252"/>
      <c r="T69" s="247"/>
    </row>
    <row r="70" spans="1:20" x14ac:dyDescent="0.3">
      <c r="A70" s="249"/>
      <c r="B70" s="251"/>
      <c r="C70" s="289"/>
      <c r="D70" s="289"/>
      <c r="E70" s="289"/>
      <c r="F70" s="289"/>
      <c r="G70" s="289"/>
      <c r="H70" s="289"/>
      <c r="I70" s="289"/>
      <c r="J70" s="289"/>
      <c r="K70" s="289"/>
      <c r="L70" s="289"/>
      <c r="M70" s="289"/>
      <c r="N70" s="289"/>
      <c r="O70" s="289"/>
      <c r="P70" s="289"/>
      <c r="Q70" s="289"/>
      <c r="R70" s="290"/>
      <c r="S70" s="252"/>
      <c r="T70" s="247"/>
    </row>
    <row r="71" spans="1:20" s="349" customFormat="1" x14ac:dyDescent="0.3">
      <c r="A71" s="365"/>
      <c r="B71" s="358" t="s">
        <v>15</v>
      </c>
      <c r="C71" s="403"/>
      <c r="D71" s="403"/>
      <c r="E71" s="403"/>
      <c r="F71" s="403"/>
      <c r="G71" s="403"/>
      <c r="H71" s="403"/>
      <c r="I71" s="403"/>
      <c r="J71" s="403"/>
      <c r="K71" s="403"/>
      <c r="L71" s="403"/>
      <c r="M71" s="403"/>
      <c r="N71" s="403"/>
      <c r="O71" s="403"/>
      <c r="P71" s="403"/>
      <c r="Q71" s="403"/>
      <c r="R71" s="403"/>
      <c r="S71" s="361"/>
      <c r="T71" s="348"/>
    </row>
    <row r="72" spans="1:20" s="349" customFormat="1" x14ac:dyDescent="0.3">
      <c r="A72" s="365"/>
      <c r="B72" s="358" t="s">
        <v>16</v>
      </c>
      <c r="C72" s="403"/>
      <c r="D72" s="403"/>
      <c r="E72" s="403"/>
      <c r="F72" s="403"/>
      <c r="G72" s="403"/>
      <c r="H72" s="403"/>
      <c r="I72" s="403"/>
      <c r="J72" s="403"/>
      <c r="K72" s="403"/>
      <c r="L72" s="403"/>
      <c r="M72" s="403"/>
      <c r="N72" s="403"/>
      <c r="O72" s="403"/>
      <c r="P72" s="403"/>
      <c r="Q72" s="403"/>
      <c r="R72" s="403"/>
      <c r="S72" s="361"/>
      <c r="T72" s="348"/>
    </row>
    <row r="73" spans="1:20" s="349" customFormat="1" x14ac:dyDescent="0.3">
      <c r="A73" s="365"/>
      <c r="B73" s="358"/>
      <c r="C73" s="403"/>
      <c r="D73" s="403"/>
      <c r="E73" s="403"/>
      <c r="F73" s="403"/>
      <c r="G73" s="403"/>
      <c r="H73" s="403"/>
      <c r="I73" s="403"/>
      <c r="J73" s="403"/>
      <c r="K73" s="403"/>
      <c r="L73" s="403"/>
      <c r="M73" s="403"/>
      <c r="N73" s="403"/>
      <c r="O73" s="403"/>
      <c r="P73" s="403"/>
      <c r="Q73" s="403"/>
      <c r="R73" s="403"/>
      <c r="S73" s="361"/>
      <c r="T73" s="348"/>
    </row>
    <row r="74" spans="1:20" s="349" customFormat="1" x14ac:dyDescent="0.3">
      <c r="A74" s="365"/>
      <c r="B74" s="358" t="s">
        <v>17</v>
      </c>
      <c r="C74" s="403"/>
      <c r="D74" s="403"/>
      <c r="E74" s="403"/>
      <c r="F74" s="403"/>
      <c r="G74" s="403"/>
      <c r="H74" s="403"/>
      <c r="I74" s="403"/>
      <c r="J74" s="403"/>
      <c r="K74" s="403"/>
      <c r="L74" s="403"/>
      <c r="M74" s="403"/>
      <c r="N74" s="403"/>
      <c r="O74" s="403"/>
      <c r="P74" s="403"/>
      <c r="Q74" s="403"/>
      <c r="R74" s="403"/>
      <c r="S74" s="361"/>
      <c r="T74" s="348"/>
    </row>
    <row r="75" spans="1:20" s="349" customFormat="1" x14ac:dyDescent="0.3">
      <c r="A75" s="365"/>
      <c r="B75" s="358"/>
      <c r="C75" s="403"/>
      <c r="D75" s="403"/>
      <c r="E75" s="403"/>
      <c r="F75" s="403"/>
      <c r="G75" s="403"/>
      <c r="H75" s="403"/>
      <c r="I75" s="403"/>
      <c r="J75" s="403"/>
      <c r="K75" s="403"/>
      <c r="L75" s="403"/>
      <c r="M75" s="403"/>
      <c r="N75" s="403"/>
      <c r="O75" s="403"/>
      <c r="P75" s="403"/>
      <c r="Q75" s="403"/>
      <c r="R75" s="403"/>
      <c r="S75" s="361"/>
      <c r="T75" s="348"/>
    </row>
    <row r="76" spans="1:20" s="349" customFormat="1" x14ac:dyDescent="0.3">
      <c r="A76" s="365"/>
      <c r="B76" s="358" t="s">
        <v>19</v>
      </c>
      <c r="C76" s="403"/>
      <c r="D76" s="403"/>
      <c r="E76" s="403"/>
      <c r="F76" s="403">
        <v>0</v>
      </c>
      <c r="G76" s="403"/>
      <c r="H76" s="403">
        <v>0</v>
      </c>
      <c r="I76" s="403"/>
      <c r="J76" s="403"/>
      <c r="K76" s="403"/>
      <c r="L76" s="403"/>
      <c r="M76" s="403"/>
      <c r="N76" s="403"/>
      <c r="O76" s="403"/>
      <c r="P76" s="403"/>
      <c r="Q76" s="403"/>
      <c r="R76" s="404">
        <v>0</v>
      </c>
      <c r="S76" s="361"/>
      <c r="T76" s="348"/>
    </row>
    <row r="77" spans="1:20" s="349" customFormat="1" x14ac:dyDescent="0.3">
      <c r="A77" s="365"/>
      <c r="B77" s="358" t="s">
        <v>196</v>
      </c>
      <c r="C77" s="403"/>
      <c r="D77" s="403"/>
      <c r="E77" s="403"/>
      <c r="F77" s="403">
        <v>53165</v>
      </c>
      <c r="G77" s="403"/>
      <c r="H77" s="403">
        <v>0</v>
      </c>
      <c r="I77" s="403"/>
      <c r="J77" s="403">
        <v>0</v>
      </c>
      <c r="K77" s="403"/>
      <c r="L77" s="403">
        <v>0</v>
      </c>
      <c r="M77" s="403"/>
      <c r="N77" s="403"/>
      <c r="O77" s="403"/>
      <c r="P77" s="403"/>
      <c r="Q77" s="403"/>
      <c r="R77" s="403">
        <v>0</v>
      </c>
      <c r="S77" s="361"/>
      <c r="T77" s="348"/>
    </row>
    <row r="78" spans="1:20" s="349" customFormat="1" x14ac:dyDescent="0.3">
      <c r="A78" s="365"/>
      <c r="B78" s="358" t="s">
        <v>206</v>
      </c>
      <c r="C78" s="403"/>
      <c r="D78" s="403"/>
      <c r="E78" s="403"/>
      <c r="F78" s="403">
        <v>2610</v>
      </c>
      <c r="G78" s="403"/>
      <c r="H78" s="403">
        <v>0</v>
      </c>
      <c r="I78" s="403"/>
      <c r="J78" s="403"/>
      <c r="K78" s="403"/>
      <c r="L78" s="403"/>
      <c r="M78" s="403"/>
      <c r="N78" s="403">
        <v>0</v>
      </c>
      <c r="O78" s="403"/>
      <c r="P78" s="403"/>
      <c r="Q78" s="403"/>
      <c r="R78" s="403">
        <f>H78+N78</f>
        <v>0</v>
      </c>
      <c r="S78" s="361"/>
      <c r="T78" s="348"/>
    </row>
    <row r="79" spans="1:20" s="349" customFormat="1" x14ac:dyDescent="0.3">
      <c r="A79" s="365"/>
      <c r="B79" s="358" t="s">
        <v>20</v>
      </c>
      <c r="C79" s="403"/>
      <c r="D79" s="403"/>
      <c r="E79" s="403"/>
      <c r="F79" s="403">
        <v>0</v>
      </c>
      <c r="G79" s="403"/>
      <c r="H79" s="403">
        <v>0</v>
      </c>
      <c r="I79" s="403"/>
      <c r="J79" s="403"/>
      <c r="K79" s="403"/>
      <c r="L79" s="403"/>
      <c r="M79" s="403"/>
      <c r="N79" s="403"/>
      <c r="O79" s="403"/>
      <c r="P79" s="403"/>
      <c r="Q79" s="403"/>
      <c r="R79" s="403">
        <v>0</v>
      </c>
      <c r="S79" s="361"/>
      <c r="T79" s="348"/>
    </row>
    <row r="80" spans="1:20" s="349" customFormat="1" x14ac:dyDescent="0.3">
      <c r="A80" s="365"/>
      <c r="B80" s="358" t="s">
        <v>21</v>
      </c>
      <c r="C80" s="403"/>
      <c r="D80" s="403"/>
      <c r="E80" s="403"/>
      <c r="F80" s="403">
        <f>SUM(F67:F79)</f>
        <v>300009</v>
      </c>
      <c r="G80" s="403"/>
      <c r="H80" s="403">
        <f>SUM(H67:H79)</f>
        <v>127052</v>
      </c>
      <c r="I80" s="403"/>
      <c r="J80" s="403"/>
      <c r="K80" s="403"/>
      <c r="L80" s="403"/>
      <c r="M80" s="403"/>
      <c r="N80" s="403"/>
      <c r="O80" s="403"/>
      <c r="P80" s="403"/>
      <c r="Q80" s="403"/>
      <c r="R80" s="403">
        <f>SUM(R67:R79)</f>
        <v>106847</v>
      </c>
      <c r="S80" s="361"/>
      <c r="T80" s="348"/>
    </row>
    <row r="81" spans="1:20" x14ac:dyDescent="0.3">
      <c r="A81" s="249"/>
      <c r="B81" s="277"/>
      <c r="C81" s="287"/>
      <c r="D81" s="287"/>
      <c r="E81" s="287"/>
      <c r="F81" s="287"/>
      <c r="G81" s="287"/>
      <c r="H81" s="287"/>
      <c r="I81" s="287"/>
      <c r="J81" s="287"/>
      <c r="K81" s="287"/>
      <c r="L81" s="287"/>
      <c r="M81" s="287"/>
      <c r="N81" s="287"/>
      <c r="O81" s="287"/>
      <c r="P81" s="287"/>
      <c r="Q81" s="287"/>
      <c r="R81" s="288"/>
      <c r="S81" s="252"/>
      <c r="T81" s="247"/>
    </row>
    <row r="82" spans="1:20" x14ac:dyDescent="0.3">
      <c r="A82" s="249"/>
      <c r="B82" s="251"/>
      <c r="C82" s="251"/>
      <c r="D82" s="251"/>
      <c r="E82" s="251"/>
      <c r="F82" s="251"/>
      <c r="G82" s="251"/>
      <c r="H82" s="251"/>
      <c r="I82" s="251"/>
      <c r="J82" s="251"/>
      <c r="K82" s="251"/>
      <c r="L82" s="251"/>
      <c r="M82" s="251"/>
      <c r="N82" s="251"/>
      <c r="O82" s="251"/>
      <c r="P82" s="251"/>
      <c r="Q82" s="251"/>
      <c r="R82" s="251"/>
      <c r="S82" s="252"/>
      <c r="T82" s="247"/>
    </row>
    <row r="83" spans="1:20" x14ac:dyDescent="0.3">
      <c r="A83" s="443"/>
      <c r="B83" s="452" t="s">
        <v>22</v>
      </c>
      <c r="C83" s="452"/>
      <c r="D83" s="453"/>
      <c r="E83" s="453"/>
      <c r="F83" s="453"/>
      <c r="G83" s="453"/>
      <c r="H83" s="454" t="s">
        <v>77</v>
      </c>
      <c r="I83" s="453"/>
      <c r="J83" s="455">
        <f>+P206</f>
        <v>43069</v>
      </c>
      <c r="K83" s="453"/>
      <c r="L83" s="453"/>
      <c r="M83" s="453"/>
      <c r="N83" s="453"/>
      <c r="O83" s="453"/>
      <c r="P83" s="453" t="s">
        <v>87</v>
      </c>
      <c r="Q83" s="453"/>
      <c r="R83" s="453" t="s">
        <v>93</v>
      </c>
      <c r="S83" s="445"/>
      <c r="T83" s="247"/>
    </row>
    <row r="84" spans="1:20" s="349" customFormat="1" x14ac:dyDescent="0.3">
      <c r="A84" s="344"/>
      <c r="B84" s="393" t="s">
        <v>23</v>
      </c>
      <c r="C84" s="393"/>
      <c r="D84" s="393"/>
      <c r="E84" s="393"/>
      <c r="F84" s="393"/>
      <c r="G84" s="393"/>
      <c r="H84" s="393"/>
      <c r="I84" s="393"/>
      <c r="J84" s="393"/>
      <c r="K84" s="393"/>
      <c r="L84" s="393"/>
      <c r="M84" s="393"/>
      <c r="N84" s="393"/>
      <c r="O84" s="393"/>
      <c r="P84" s="408">
        <v>0</v>
      </c>
      <c r="Q84" s="393"/>
      <c r="R84" s="411">
        <v>0</v>
      </c>
      <c r="S84" s="347"/>
      <c r="T84" s="348"/>
    </row>
    <row r="85" spans="1:20" s="349" customFormat="1" x14ac:dyDescent="0.3">
      <c r="A85" s="365"/>
      <c r="B85" s="358" t="s">
        <v>218</v>
      </c>
      <c r="C85" s="358"/>
      <c r="D85" s="383"/>
      <c r="E85" s="383"/>
      <c r="F85" s="383"/>
      <c r="G85" s="405"/>
      <c r="H85" s="383"/>
      <c r="I85" s="358"/>
      <c r="J85" s="406"/>
      <c r="K85" s="358"/>
      <c r="L85" s="358"/>
      <c r="M85" s="358"/>
      <c r="N85" s="358"/>
      <c r="O85" s="358"/>
      <c r="P85" s="403">
        <f>-N78</f>
        <v>0</v>
      </c>
      <c r="Q85" s="358"/>
      <c r="R85" s="404"/>
      <c r="S85" s="361"/>
      <c r="T85" s="348"/>
    </row>
    <row r="86" spans="1:20" s="349" customFormat="1" x14ac:dyDescent="0.3">
      <c r="A86" s="365"/>
      <c r="B86" s="358" t="s">
        <v>219</v>
      </c>
      <c r="C86" s="358"/>
      <c r="D86" s="383"/>
      <c r="E86" s="383"/>
      <c r="F86" s="383"/>
      <c r="G86" s="405"/>
      <c r="H86" s="383"/>
      <c r="I86" s="358"/>
      <c r="J86" s="406"/>
      <c r="K86" s="358"/>
      <c r="L86" s="358"/>
      <c r="M86" s="358"/>
      <c r="N86" s="358"/>
      <c r="O86" s="358"/>
      <c r="P86" s="403">
        <v>0</v>
      </c>
      <c r="Q86" s="358"/>
      <c r="R86" s="404"/>
      <c r="S86" s="361"/>
      <c r="T86" s="348"/>
    </row>
    <row r="87" spans="1:20" s="349" customFormat="1" x14ac:dyDescent="0.3">
      <c r="A87" s="365"/>
      <c r="B87" s="358" t="s">
        <v>24</v>
      </c>
      <c r="C87" s="358"/>
      <c r="D87" s="383"/>
      <c r="E87" s="383"/>
      <c r="F87" s="383"/>
      <c r="G87" s="405"/>
      <c r="H87" s="383"/>
      <c r="I87" s="358"/>
      <c r="J87" s="406"/>
      <c r="K87" s="358"/>
      <c r="L87" s="358"/>
      <c r="M87" s="358"/>
      <c r="N87" s="358"/>
      <c r="O87" s="358"/>
      <c r="P87" s="403">
        <f>+J64+L64+P64</f>
        <v>20205</v>
      </c>
      <c r="Q87" s="358"/>
      <c r="R87" s="404"/>
      <c r="S87" s="361"/>
      <c r="T87" s="348"/>
    </row>
    <row r="88" spans="1:20" s="349" customFormat="1" x14ac:dyDescent="0.3">
      <c r="A88" s="365"/>
      <c r="B88" s="358" t="s">
        <v>135</v>
      </c>
      <c r="C88" s="358"/>
      <c r="D88" s="383"/>
      <c r="E88" s="383"/>
      <c r="F88" s="383"/>
      <c r="G88" s="405"/>
      <c r="H88" s="383"/>
      <c r="I88" s="358"/>
      <c r="J88" s="406"/>
      <c r="K88" s="358"/>
      <c r="L88" s="358"/>
      <c r="M88" s="358"/>
      <c r="N88" s="358"/>
      <c r="O88" s="358"/>
      <c r="P88" s="403"/>
      <c r="Q88" s="358"/>
      <c r="R88" s="404">
        <f>1808-430</f>
        <v>1378</v>
      </c>
      <c r="S88" s="361"/>
      <c r="T88" s="348"/>
    </row>
    <row r="89" spans="1:20" s="349" customFormat="1" x14ac:dyDescent="0.3">
      <c r="A89" s="365"/>
      <c r="B89" s="358" t="s">
        <v>133</v>
      </c>
      <c r="C89" s="358"/>
      <c r="D89" s="383"/>
      <c r="E89" s="383"/>
      <c r="F89" s="383"/>
      <c r="G89" s="405"/>
      <c r="H89" s="383"/>
      <c r="I89" s="358"/>
      <c r="J89" s="406"/>
      <c r="K89" s="358"/>
      <c r="L89" s="358"/>
      <c r="M89" s="358"/>
      <c r="N89" s="358"/>
      <c r="O89" s="358"/>
      <c r="P89" s="403"/>
      <c r="Q89" s="358"/>
      <c r="R89" s="404">
        <v>72</v>
      </c>
      <c r="S89" s="361"/>
      <c r="T89" s="348"/>
    </row>
    <row r="90" spans="1:20" s="349" customFormat="1" x14ac:dyDescent="0.3">
      <c r="A90" s="365"/>
      <c r="B90" s="358" t="s">
        <v>134</v>
      </c>
      <c r="C90" s="358"/>
      <c r="D90" s="383"/>
      <c r="E90" s="383"/>
      <c r="F90" s="383"/>
      <c r="G90" s="405"/>
      <c r="H90" s="383"/>
      <c r="I90" s="358"/>
      <c r="J90" s="406"/>
      <c r="K90" s="358"/>
      <c r="L90" s="358"/>
      <c r="M90" s="358"/>
      <c r="N90" s="358"/>
      <c r="O90" s="358"/>
      <c r="P90" s="403"/>
      <c r="Q90" s="358"/>
      <c r="R90" s="404">
        <v>20</v>
      </c>
      <c r="S90" s="361"/>
      <c r="T90" s="348"/>
    </row>
    <row r="91" spans="1:20" s="349" customFormat="1" x14ac:dyDescent="0.3">
      <c r="A91" s="365"/>
      <c r="B91" s="358" t="s">
        <v>143</v>
      </c>
      <c r="C91" s="358"/>
      <c r="D91" s="383"/>
      <c r="E91" s="383"/>
      <c r="F91" s="383"/>
      <c r="G91" s="405"/>
      <c r="H91" s="383"/>
      <c r="I91" s="358"/>
      <c r="J91" s="406"/>
      <c r="K91" s="358"/>
      <c r="L91" s="358"/>
      <c r="M91" s="358"/>
      <c r="N91" s="358"/>
      <c r="O91" s="358"/>
      <c r="P91" s="403"/>
      <c r="Q91" s="358"/>
      <c r="R91" s="404">
        <v>0</v>
      </c>
      <c r="S91" s="361"/>
      <c r="T91" s="348"/>
    </row>
    <row r="92" spans="1:20" s="349" customFormat="1" x14ac:dyDescent="0.3">
      <c r="A92" s="365"/>
      <c r="B92" s="358" t="s">
        <v>145</v>
      </c>
      <c r="C92" s="358"/>
      <c r="D92" s="383"/>
      <c r="E92" s="383"/>
      <c r="F92" s="383"/>
      <c r="G92" s="405"/>
      <c r="H92" s="383"/>
      <c r="I92" s="358"/>
      <c r="J92" s="406"/>
      <c r="K92" s="358"/>
      <c r="L92" s="358"/>
      <c r="M92" s="358"/>
      <c r="N92" s="358"/>
      <c r="O92" s="358"/>
      <c r="P92" s="403"/>
      <c r="Q92" s="358"/>
      <c r="R92" s="404">
        <v>124</v>
      </c>
      <c r="S92" s="361"/>
      <c r="T92" s="348"/>
    </row>
    <row r="93" spans="1:20" s="349" customFormat="1" x14ac:dyDescent="0.3">
      <c r="A93" s="365"/>
      <c r="B93" s="358" t="s">
        <v>164</v>
      </c>
      <c r="C93" s="358"/>
      <c r="D93" s="383"/>
      <c r="E93" s="383"/>
      <c r="F93" s="383"/>
      <c r="G93" s="405"/>
      <c r="H93" s="383"/>
      <c r="I93" s="358"/>
      <c r="J93" s="406"/>
      <c r="K93" s="358"/>
      <c r="L93" s="358"/>
      <c r="M93" s="358"/>
      <c r="N93" s="358"/>
      <c r="O93" s="358"/>
      <c r="P93" s="403"/>
      <c r="Q93" s="358"/>
      <c r="R93" s="404">
        <v>0</v>
      </c>
      <c r="S93" s="361"/>
      <c r="T93" s="348"/>
    </row>
    <row r="94" spans="1:20" s="349" customFormat="1" x14ac:dyDescent="0.3">
      <c r="A94" s="365"/>
      <c r="B94" s="358" t="s">
        <v>165</v>
      </c>
      <c r="C94" s="358"/>
      <c r="D94" s="383"/>
      <c r="E94" s="383"/>
      <c r="F94" s="383"/>
      <c r="G94" s="405"/>
      <c r="H94" s="383"/>
      <c r="I94" s="358"/>
      <c r="J94" s="406"/>
      <c r="K94" s="358"/>
      <c r="L94" s="358"/>
      <c r="M94" s="358"/>
      <c r="N94" s="358"/>
      <c r="O94" s="358"/>
      <c r="P94" s="403"/>
      <c r="Q94" s="358"/>
      <c r="R94" s="404">
        <v>0</v>
      </c>
      <c r="S94" s="361"/>
      <c r="T94" s="348"/>
    </row>
    <row r="95" spans="1:20" s="349" customFormat="1" x14ac:dyDescent="0.3">
      <c r="A95" s="365"/>
      <c r="B95" s="358" t="s">
        <v>166</v>
      </c>
      <c r="C95" s="358"/>
      <c r="D95" s="358"/>
      <c r="E95" s="358"/>
      <c r="F95" s="358"/>
      <c r="G95" s="358"/>
      <c r="H95" s="358"/>
      <c r="I95" s="358"/>
      <c r="J95" s="358"/>
      <c r="K95" s="358"/>
      <c r="L95" s="358"/>
      <c r="M95" s="358"/>
      <c r="N95" s="358"/>
      <c r="O95" s="358"/>
      <c r="P95" s="403"/>
      <c r="Q95" s="358"/>
      <c r="R95" s="404">
        <v>0</v>
      </c>
      <c r="S95" s="361"/>
      <c r="T95" s="348"/>
    </row>
    <row r="96" spans="1:20" s="349" customFormat="1" x14ac:dyDescent="0.3">
      <c r="A96" s="365"/>
      <c r="B96" s="358" t="s">
        <v>264</v>
      </c>
      <c r="C96" s="358"/>
      <c r="D96" s="358"/>
      <c r="E96" s="358"/>
      <c r="F96" s="358"/>
      <c r="G96" s="358"/>
      <c r="H96" s="358"/>
      <c r="I96" s="358"/>
      <c r="J96" s="358"/>
      <c r="K96" s="358"/>
      <c r="L96" s="358"/>
      <c r="M96" s="358"/>
      <c r="N96" s="358"/>
      <c r="O96" s="358"/>
      <c r="P96" s="403"/>
      <c r="Q96" s="358"/>
      <c r="R96" s="404">
        <v>0</v>
      </c>
      <c r="S96" s="361"/>
      <c r="T96" s="348"/>
    </row>
    <row r="97" spans="1:21" s="349" customFormat="1" x14ac:dyDescent="0.3">
      <c r="A97" s="365"/>
      <c r="B97" s="358" t="s">
        <v>25</v>
      </c>
      <c r="C97" s="358"/>
      <c r="D97" s="358"/>
      <c r="E97" s="358"/>
      <c r="F97" s="358"/>
      <c r="G97" s="358"/>
      <c r="H97" s="358"/>
      <c r="I97" s="358"/>
      <c r="J97" s="358"/>
      <c r="K97" s="358"/>
      <c r="L97" s="358"/>
      <c r="M97" s="358"/>
      <c r="N97" s="358"/>
      <c r="O97" s="358"/>
      <c r="P97" s="403">
        <f>SUM(P84:P96)</f>
        <v>20205</v>
      </c>
      <c r="Q97" s="358"/>
      <c r="R97" s="403">
        <f>SUM(R84:R96)</f>
        <v>1594</v>
      </c>
      <c r="S97" s="361"/>
      <c r="T97" s="348"/>
    </row>
    <row r="98" spans="1:21" s="349" customFormat="1" x14ac:dyDescent="0.3">
      <c r="A98" s="365"/>
      <c r="B98" s="358" t="s">
        <v>26</v>
      </c>
      <c r="C98" s="358"/>
      <c r="D98" s="358"/>
      <c r="E98" s="358"/>
      <c r="F98" s="358"/>
      <c r="G98" s="358"/>
      <c r="H98" s="358"/>
      <c r="I98" s="358"/>
      <c r="J98" s="358"/>
      <c r="K98" s="358"/>
      <c r="L98" s="358"/>
      <c r="M98" s="358"/>
      <c r="N98" s="358"/>
      <c r="O98" s="358"/>
      <c r="P98" s="403">
        <f>-R98</f>
        <v>0</v>
      </c>
      <c r="Q98" s="358"/>
      <c r="R98" s="404">
        <v>0</v>
      </c>
      <c r="S98" s="361"/>
      <c r="T98" s="348"/>
    </row>
    <row r="99" spans="1:21" s="349" customFormat="1" x14ac:dyDescent="0.3">
      <c r="A99" s="365"/>
      <c r="B99" s="358" t="s">
        <v>150</v>
      </c>
      <c r="C99" s="358"/>
      <c r="D99" s="358"/>
      <c r="E99" s="358"/>
      <c r="F99" s="358"/>
      <c r="G99" s="358"/>
      <c r="H99" s="358"/>
      <c r="I99" s="358"/>
      <c r="J99" s="358"/>
      <c r="K99" s="358"/>
      <c r="L99" s="358"/>
      <c r="M99" s="358"/>
      <c r="N99" s="358"/>
      <c r="O99" s="358"/>
      <c r="P99" s="403"/>
      <c r="Q99" s="358"/>
      <c r="R99" s="404">
        <v>0</v>
      </c>
      <c r="S99" s="361"/>
      <c r="T99" s="348"/>
    </row>
    <row r="100" spans="1:21" s="349" customFormat="1" x14ac:dyDescent="0.3">
      <c r="A100" s="365"/>
      <c r="B100" s="358" t="s">
        <v>27</v>
      </c>
      <c r="C100" s="358"/>
      <c r="D100" s="358"/>
      <c r="E100" s="358"/>
      <c r="F100" s="358"/>
      <c r="G100" s="358"/>
      <c r="H100" s="358"/>
      <c r="I100" s="358"/>
      <c r="J100" s="358"/>
      <c r="K100" s="358"/>
      <c r="L100" s="358"/>
      <c r="M100" s="358"/>
      <c r="N100" s="358"/>
      <c r="O100" s="358"/>
      <c r="P100" s="403">
        <f>P97+P98</f>
        <v>20205</v>
      </c>
      <c r="Q100" s="358"/>
      <c r="R100" s="403">
        <f>R97+R98+R99</f>
        <v>1594</v>
      </c>
      <c r="S100" s="361"/>
      <c r="T100" s="348"/>
    </row>
    <row r="101" spans="1:21" x14ac:dyDescent="0.3">
      <c r="A101" s="276"/>
      <c r="B101" s="293" t="s">
        <v>28</v>
      </c>
      <c r="C101" s="291"/>
      <c r="D101" s="291"/>
      <c r="E101" s="291"/>
      <c r="F101" s="291"/>
      <c r="G101" s="291"/>
      <c r="H101" s="291"/>
      <c r="I101" s="291"/>
      <c r="J101" s="291"/>
      <c r="K101" s="291"/>
      <c r="L101" s="291"/>
      <c r="M101" s="291"/>
      <c r="N101" s="291"/>
      <c r="O101" s="291"/>
      <c r="P101" s="285"/>
      <c r="Q101" s="263"/>
      <c r="R101" s="286"/>
      <c r="S101" s="292"/>
      <c r="T101" s="247"/>
    </row>
    <row r="102" spans="1:21" s="349" customFormat="1" x14ac:dyDescent="0.3">
      <c r="A102" s="365">
        <v>1</v>
      </c>
      <c r="B102" s="358" t="s">
        <v>175</v>
      </c>
      <c r="C102" s="358"/>
      <c r="D102" s="358"/>
      <c r="E102" s="358"/>
      <c r="F102" s="358"/>
      <c r="G102" s="358"/>
      <c r="H102" s="358"/>
      <c r="I102" s="358"/>
      <c r="J102" s="358"/>
      <c r="K102" s="358"/>
      <c r="L102" s="358"/>
      <c r="M102" s="358"/>
      <c r="N102" s="358"/>
      <c r="O102" s="358"/>
      <c r="P102" s="403"/>
      <c r="Q102" s="358"/>
      <c r="R102" s="404">
        <v>0</v>
      </c>
      <c r="S102" s="361"/>
      <c r="T102" s="348"/>
    </row>
    <row r="103" spans="1:21" s="349" customFormat="1" x14ac:dyDescent="0.3">
      <c r="A103" s="365">
        <v>2</v>
      </c>
      <c r="B103" s="358" t="s">
        <v>195</v>
      </c>
      <c r="C103" s="358"/>
      <c r="D103" s="358"/>
      <c r="E103" s="358"/>
      <c r="F103" s="358"/>
      <c r="G103" s="358"/>
      <c r="H103" s="358"/>
      <c r="I103" s="358"/>
      <c r="J103" s="358"/>
      <c r="K103" s="358"/>
      <c r="L103" s="358"/>
      <c r="M103" s="358"/>
      <c r="N103" s="358"/>
      <c r="O103" s="358"/>
      <c r="P103" s="358"/>
      <c r="Q103" s="358"/>
      <c r="R103" s="404">
        <v>-3</v>
      </c>
      <c r="S103" s="361"/>
      <c r="T103" s="348"/>
    </row>
    <row r="104" spans="1:21" s="349" customFormat="1" x14ac:dyDescent="0.3">
      <c r="A104" s="365">
        <v>3</v>
      </c>
      <c r="B104" s="358" t="s">
        <v>287</v>
      </c>
      <c r="C104" s="358"/>
      <c r="D104" s="358"/>
      <c r="E104" s="358"/>
      <c r="F104" s="358"/>
      <c r="G104" s="358"/>
      <c r="H104" s="358"/>
      <c r="I104" s="358"/>
      <c r="J104" s="358"/>
      <c r="K104" s="358"/>
      <c r="L104" s="358"/>
      <c r="M104" s="358"/>
      <c r="N104" s="358"/>
      <c r="O104" s="358"/>
      <c r="P104" s="358"/>
      <c r="Q104" s="358"/>
      <c r="R104" s="404">
        <f>-48-5-3</f>
        <v>-56</v>
      </c>
      <c r="S104" s="361"/>
      <c r="T104" s="348"/>
    </row>
    <row r="105" spans="1:21" s="349" customFormat="1" x14ac:dyDescent="0.3">
      <c r="A105" s="365">
        <v>4</v>
      </c>
      <c r="B105" s="358" t="s">
        <v>96</v>
      </c>
      <c r="C105" s="358"/>
      <c r="D105" s="358"/>
      <c r="E105" s="358"/>
      <c r="F105" s="358"/>
      <c r="G105" s="358"/>
      <c r="H105" s="358"/>
      <c r="I105" s="358"/>
      <c r="J105" s="358"/>
      <c r="K105" s="358"/>
      <c r="L105" s="358"/>
      <c r="M105" s="358"/>
      <c r="N105" s="358"/>
      <c r="O105" s="358"/>
      <c r="P105" s="358"/>
      <c r="Q105" s="358"/>
      <c r="R105" s="404">
        <v>-59</v>
      </c>
      <c r="S105" s="361"/>
      <c r="T105" s="348"/>
    </row>
    <row r="106" spans="1:21" s="349" customFormat="1" x14ac:dyDescent="0.3">
      <c r="A106" s="365" t="s">
        <v>274</v>
      </c>
      <c r="B106" s="358" t="s">
        <v>272</v>
      </c>
      <c r="C106" s="358"/>
      <c r="D106" s="358"/>
      <c r="E106" s="358"/>
      <c r="F106" s="358"/>
      <c r="G106" s="358"/>
      <c r="H106" s="358"/>
      <c r="I106" s="358"/>
      <c r="J106" s="358"/>
      <c r="K106" s="358"/>
      <c r="L106" s="358"/>
      <c r="M106" s="358"/>
      <c r="N106" s="358"/>
      <c r="O106" s="358"/>
      <c r="P106" s="358"/>
      <c r="Q106" s="358"/>
      <c r="R106" s="404">
        <v>-142</v>
      </c>
      <c r="S106" s="361"/>
      <c r="T106" s="348"/>
      <c r="U106" s="407"/>
    </row>
    <row r="107" spans="1:21" s="349" customFormat="1" x14ac:dyDescent="0.3">
      <c r="A107" s="365" t="s">
        <v>275</v>
      </c>
      <c r="B107" s="358" t="s">
        <v>266</v>
      </c>
      <c r="C107" s="358"/>
      <c r="D107" s="358"/>
      <c r="E107" s="358"/>
      <c r="F107" s="358"/>
      <c r="G107" s="358"/>
      <c r="H107" s="358"/>
      <c r="I107" s="358"/>
      <c r="J107" s="358"/>
      <c r="K107" s="358"/>
      <c r="L107" s="358"/>
      <c r="M107" s="358"/>
      <c r="N107" s="358"/>
      <c r="O107" s="358"/>
      <c r="P107" s="358"/>
      <c r="Q107" s="358"/>
      <c r="R107" s="404">
        <v>-151</v>
      </c>
      <c r="S107" s="361"/>
      <c r="T107" s="348"/>
      <c r="U107" s="407"/>
    </row>
    <row r="108" spans="1:21" s="349" customFormat="1" x14ac:dyDescent="0.3">
      <c r="A108" s="365">
        <v>6</v>
      </c>
      <c r="B108" s="358" t="s">
        <v>189</v>
      </c>
      <c r="C108" s="358"/>
      <c r="D108" s="358"/>
      <c r="E108" s="358"/>
      <c r="F108" s="358"/>
      <c r="G108" s="358"/>
      <c r="H108" s="358"/>
      <c r="I108" s="358"/>
      <c r="J108" s="358"/>
      <c r="K108" s="358"/>
      <c r="L108" s="358"/>
      <c r="M108" s="358"/>
      <c r="N108" s="358"/>
      <c r="O108" s="358"/>
      <c r="P108" s="358"/>
      <c r="Q108" s="358"/>
      <c r="R108" s="404">
        <v>-50</v>
      </c>
      <c r="S108" s="361"/>
      <c r="T108" s="348"/>
      <c r="U108" s="407"/>
    </row>
    <row r="109" spans="1:21" s="349" customFormat="1" x14ac:dyDescent="0.3">
      <c r="A109" s="365">
        <v>7</v>
      </c>
      <c r="B109" s="358" t="s">
        <v>190</v>
      </c>
      <c r="C109" s="358"/>
      <c r="D109" s="358"/>
      <c r="E109" s="358"/>
      <c r="F109" s="358"/>
      <c r="G109" s="358"/>
      <c r="H109" s="358"/>
      <c r="I109" s="358"/>
      <c r="J109" s="358"/>
      <c r="K109" s="358"/>
      <c r="L109" s="358"/>
      <c r="M109" s="358"/>
      <c r="N109" s="358"/>
      <c r="O109" s="358"/>
      <c r="P109" s="358"/>
      <c r="Q109" s="358"/>
      <c r="R109" s="404">
        <v>-59</v>
      </c>
      <c r="S109" s="361"/>
      <c r="T109" s="348"/>
      <c r="U109" s="407"/>
    </row>
    <row r="110" spans="1:21" s="349" customFormat="1" x14ac:dyDescent="0.3">
      <c r="A110" s="365">
        <v>8</v>
      </c>
      <c r="B110" s="358" t="s">
        <v>156</v>
      </c>
      <c r="C110" s="358"/>
      <c r="D110" s="358"/>
      <c r="E110" s="358"/>
      <c r="F110" s="358"/>
      <c r="G110" s="358"/>
      <c r="H110" s="358"/>
      <c r="I110" s="358"/>
      <c r="J110" s="358"/>
      <c r="K110" s="358"/>
      <c r="L110" s="358"/>
      <c r="M110" s="358"/>
      <c r="N110" s="358"/>
      <c r="O110" s="358"/>
      <c r="P110" s="358"/>
      <c r="Q110" s="358"/>
      <c r="R110" s="404">
        <v>0</v>
      </c>
      <c r="S110" s="361"/>
      <c r="T110" s="348"/>
      <c r="U110" s="407"/>
    </row>
    <row r="111" spans="1:21" s="349" customFormat="1" x14ac:dyDescent="0.3">
      <c r="A111" s="365">
        <v>9</v>
      </c>
      <c r="B111" s="358" t="s">
        <v>37</v>
      </c>
      <c r="C111" s="358"/>
      <c r="D111" s="358"/>
      <c r="E111" s="358"/>
      <c r="F111" s="358"/>
      <c r="G111" s="358"/>
      <c r="H111" s="358"/>
      <c r="I111" s="358"/>
      <c r="J111" s="358"/>
      <c r="K111" s="358"/>
      <c r="L111" s="358"/>
      <c r="M111" s="358"/>
      <c r="N111" s="358"/>
      <c r="O111" s="358"/>
      <c r="P111" s="403">
        <f>-R111</f>
        <v>0</v>
      </c>
      <c r="Q111" s="358"/>
      <c r="R111" s="404">
        <v>0</v>
      </c>
      <c r="S111" s="361"/>
      <c r="T111" s="348"/>
    </row>
    <row r="112" spans="1:21" s="349" customFormat="1" x14ac:dyDescent="0.3">
      <c r="A112" s="365">
        <v>10</v>
      </c>
      <c r="B112" s="358" t="s">
        <v>101</v>
      </c>
      <c r="C112" s="358"/>
      <c r="D112" s="358"/>
      <c r="E112" s="358"/>
      <c r="F112" s="358"/>
      <c r="G112" s="358"/>
      <c r="H112" s="358"/>
      <c r="I112" s="358"/>
      <c r="J112" s="358"/>
      <c r="K112" s="358"/>
      <c r="L112" s="358"/>
      <c r="M112" s="358"/>
      <c r="N112" s="358"/>
      <c r="O112" s="358"/>
      <c r="P112" s="358"/>
      <c r="Q112" s="358"/>
      <c r="R112" s="404">
        <v>0</v>
      </c>
      <c r="S112" s="361"/>
      <c r="T112" s="348"/>
    </row>
    <row r="113" spans="1:20" s="349" customFormat="1" x14ac:dyDescent="0.3">
      <c r="A113" s="365">
        <v>11</v>
      </c>
      <c r="B113" s="358" t="s">
        <v>29</v>
      </c>
      <c r="C113" s="358"/>
      <c r="D113" s="358"/>
      <c r="E113" s="358"/>
      <c r="F113" s="358"/>
      <c r="G113" s="358"/>
      <c r="H113" s="358"/>
      <c r="I113" s="358"/>
      <c r="J113" s="358"/>
      <c r="K113" s="358"/>
      <c r="L113" s="358"/>
      <c r="M113" s="358"/>
      <c r="N113" s="358"/>
      <c r="O113" s="358"/>
      <c r="P113" s="358"/>
      <c r="Q113" s="358"/>
      <c r="R113" s="404">
        <v>-20</v>
      </c>
      <c r="S113" s="361"/>
      <c r="T113" s="348"/>
    </row>
    <row r="114" spans="1:20" s="349" customFormat="1" x14ac:dyDescent="0.3">
      <c r="A114" s="365">
        <v>12</v>
      </c>
      <c r="B114" s="358" t="s">
        <v>138</v>
      </c>
      <c r="C114" s="358"/>
      <c r="D114" s="358"/>
      <c r="E114" s="358"/>
      <c r="F114" s="358"/>
      <c r="G114" s="358"/>
      <c r="H114" s="358"/>
      <c r="I114" s="358"/>
      <c r="J114" s="358"/>
      <c r="K114" s="358"/>
      <c r="L114" s="358"/>
      <c r="M114" s="358"/>
      <c r="N114" s="358"/>
      <c r="O114" s="358"/>
      <c r="P114" s="358"/>
      <c r="Q114" s="358"/>
      <c r="R114" s="404">
        <v>0</v>
      </c>
      <c r="S114" s="361"/>
      <c r="T114" s="348"/>
    </row>
    <row r="115" spans="1:20" s="349" customFormat="1" x14ac:dyDescent="0.3">
      <c r="A115" s="365">
        <v>13</v>
      </c>
      <c r="B115" s="358" t="s">
        <v>267</v>
      </c>
      <c r="C115" s="358"/>
      <c r="D115" s="358"/>
      <c r="E115" s="358"/>
      <c r="F115" s="358"/>
      <c r="G115" s="358"/>
      <c r="H115" s="358"/>
      <c r="I115" s="358"/>
      <c r="J115" s="358"/>
      <c r="K115" s="358"/>
      <c r="L115" s="358"/>
      <c r="M115" s="358"/>
      <c r="N115" s="358"/>
      <c r="O115" s="358"/>
      <c r="P115" s="358"/>
      <c r="Q115" s="358"/>
      <c r="R115" s="404">
        <v>-44</v>
      </c>
      <c r="S115" s="361"/>
      <c r="T115" s="348"/>
    </row>
    <row r="116" spans="1:20" s="349" customFormat="1" x14ac:dyDescent="0.3">
      <c r="A116" s="365">
        <v>14</v>
      </c>
      <c r="B116" s="358" t="s">
        <v>157</v>
      </c>
      <c r="C116" s="358"/>
      <c r="D116" s="358"/>
      <c r="E116" s="358"/>
      <c r="F116" s="358"/>
      <c r="G116" s="358"/>
      <c r="H116" s="358"/>
      <c r="I116" s="358"/>
      <c r="J116" s="358"/>
      <c r="K116" s="358"/>
      <c r="L116" s="358"/>
      <c r="M116" s="358"/>
      <c r="N116" s="358"/>
      <c r="O116" s="358"/>
      <c r="P116" s="358"/>
      <c r="Q116" s="358"/>
      <c r="R116" s="404">
        <v>0</v>
      </c>
      <c r="S116" s="361"/>
      <c r="T116" s="348"/>
    </row>
    <row r="117" spans="1:20" s="349" customFormat="1" x14ac:dyDescent="0.3">
      <c r="A117" s="365">
        <v>15</v>
      </c>
      <c r="B117" s="358" t="s">
        <v>207</v>
      </c>
      <c r="C117" s="358"/>
      <c r="D117" s="358"/>
      <c r="E117" s="358"/>
      <c r="F117" s="358"/>
      <c r="G117" s="358"/>
      <c r="H117" s="358"/>
      <c r="I117" s="358"/>
      <c r="J117" s="358"/>
      <c r="K117" s="358"/>
      <c r="L117" s="358"/>
      <c r="M117" s="358"/>
      <c r="N117" s="358"/>
      <c r="O117" s="358"/>
      <c r="P117" s="358"/>
      <c r="Q117" s="358"/>
      <c r="R117" s="404">
        <v>-47</v>
      </c>
      <c r="S117" s="361"/>
      <c r="T117" s="348"/>
    </row>
    <row r="118" spans="1:20" s="349" customFormat="1" x14ac:dyDescent="0.3">
      <c r="A118" s="365">
        <v>16</v>
      </c>
      <c r="B118" s="358" t="s">
        <v>167</v>
      </c>
      <c r="C118" s="358"/>
      <c r="D118" s="358"/>
      <c r="E118" s="358"/>
      <c r="F118" s="358"/>
      <c r="G118" s="358"/>
      <c r="H118" s="358"/>
      <c r="I118" s="358"/>
      <c r="J118" s="358"/>
      <c r="K118" s="358"/>
      <c r="L118" s="358"/>
      <c r="M118" s="358"/>
      <c r="N118" s="358"/>
      <c r="O118" s="358"/>
      <c r="P118" s="358"/>
      <c r="Q118" s="358"/>
      <c r="R118" s="404">
        <f>-14-177</f>
        <v>-191</v>
      </c>
      <c r="S118" s="361"/>
      <c r="T118" s="348"/>
    </row>
    <row r="119" spans="1:20" s="349" customFormat="1" x14ac:dyDescent="0.3">
      <c r="A119" s="365">
        <v>17</v>
      </c>
      <c r="B119" s="358" t="s">
        <v>268</v>
      </c>
      <c r="C119" s="358"/>
      <c r="D119" s="358"/>
      <c r="E119" s="358"/>
      <c r="F119" s="358"/>
      <c r="G119" s="358"/>
      <c r="H119" s="358"/>
      <c r="I119" s="358"/>
      <c r="J119" s="358"/>
      <c r="K119" s="358"/>
      <c r="L119" s="358"/>
      <c r="M119" s="358"/>
      <c r="N119" s="358"/>
      <c r="O119" s="358"/>
      <c r="P119" s="358"/>
      <c r="Q119" s="358"/>
      <c r="R119" s="404">
        <f>-R100-SUM(R102:R118)</f>
        <v>-772</v>
      </c>
      <c r="S119" s="361"/>
      <c r="T119" s="348"/>
    </row>
    <row r="120" spans="1:20" x14ac:dyDescent="0.3">
      <c r="A120" s="276"/>
      <c r="B120" s="293" t="s">
        <v>30</v>
      </c>
      <c r="C120" s="291"/>
      <c r="D120" s="291"/>
      <c r="E120" s="291"/>
      <c r="F120" s="291"/>
      <c r="G120" s="291"/>
      <c r="H120" s="291"/>
      <c r="I120" s="291"/>
      <c r="J120" s="291"/>
      <c r="K120" s="291"/>
      <c r="L120" s="291"/>
      <c r="M120" s="291"/>
      <c r="N120" s="291"/>
      <c r="O120" s="291"/>
      <c r="P120" s="263"/>
      <c r="Q120" s="263"/>
      <c r="R120" s="294"/>
      <c r="S120" s="292"/>
      <c r="T120" s="247"/>
    </row>
    <row r="121" spans="1:20" s="349" customFormat="1" x14ac:dyDescent="0.3">
      <c r="A121" s="365"/>
      <c r="B121" s="358" t="s">
        <v>208</v>
      </c>
      <c r="C121" s="358"/>
      <c r="D121" s="358"/>
      <c r="E121" s="358"/>
      <c r="F121" s="358"/>
      <c r="G121" s="358"/>
      <c r="H121" s="358"/>
      <c r="I121" s="358"/>
      <c r="J121" s="358"/>
      <c r="K121" s="358"/>
      <c r="L121" s="358"/>
      <c r="M121" s="358"/>
      <c r="N121" s="358"/>
      <c r="O121" s="358"/>
      <c r="P121" s="403">
        <f>-P188</f>
        <v>0</v>
      </c>
      <c r="Q121" s="403"/>
      <c r="R121" s="404"/>
      <c r="S121" s="361"/>
      <c r="T121" s="348"/>
    </row>
    <row r="122" spans="1:20" s="349" customFormat="1" x14ac:dyDescent="0.3">
      <c r="A122" s="365"/>
      <c r="B122" s="358" t="s">
        <v>209</v>
      </c>
      <c r="C122" s="358"/>
      <c r="D122" s="358"/>
      <c r="E122" s="358"/>
      <c r="F122" s="358"/>
      <c r="G122" s="358"/>
      <c r="H122" s="358"/>
      <c r="I122" s="358"/>
      <c r="J122" s="358"/>
      <c r="K122" s="358"/>
      <c r="L122" s="358"/>
      <c r="M122" s="358"/>
      <c r="N122" s="358"/>
      <c r="O122" s="358"/>
      <c r="P122" s="403">
        <f>-O188</f>
        <v>0</v>
      </c>
      <c r="Q122" s="403"/>
      <c r="R122" s="404"/>
      <c r="S122" s="361"/>
      <c r="T122" s="348"/>
    </row>
    <row r="123" spans="1:20" s="349" customFormat="1" x14ac:dyDescent="0.3">
      <c r="A123" s="365"/>
      <c r="B123" s="358" t="s">
        <v>270</v>
      </c>
      <c r="C123" s="358"/>
      <c r="D123" s="358"/>
      <c r="E123" s="358"/>
      <c r="F123" s="358"/>
      <c r="G123" s="358"/>
      <c r="H123" s="358"/>
      <c r="I123" s="358"/>
      <c r="J123" s="358"/>
      <c r="K123" s="358"/>
      <c r="L123" s="358"/>
      <c r="M123" s="358"/>
      <c r="N123" s="358"/>
      <c r="O123" s="358"/>
      <c r="P123" s="403">
        <v>-8790</v>
      </c>
      <c r="Q123" s="403"/>
      <c r="R123" s="404"/>
      <c r="S123" s="361"/>
      <c r="T123" s="348"/>
    </row>
    <row r="124" spans="1:20" s="349" customFormat="1" x14ac:dyDescent="0.3">
      <c r="A124" s="365"/>
      <c r="B124" s="358" t="s">
        <v>269</v>
      </c>
      <c r="C124" s="358"/>
      <c r="D124" s="358"/>
      <c r="E124" s="358"/>
      <c r="F124" s="358"/>
      <c r="G124" s="358"/>
      <c r="H124" s="358"/>
      <c r="I124" s="358"/>
      <c r="J124" s="358"/>
      <c r="K124" s="358"/>
      <c r="L124" s="358"/>
      <c r="M124" s="358"/>
      <c r="N124" s="358"/>
      <c r="O124" s="358"/>
      <c r="P124" s="403">
        <v>-11415</v>
      </c>
      <c r="Q124" s="403"/>
      <c r="R124" s="404"/>
      <c r="S124" s="361"/>
      <c r="T124" s="348"/>
    </row>
    <row r="125" spans="1:20" s="349" customFormat="1" x14ac:dyDescent="0.3">
      <c r="A125" s="365"/>
      <c r="B125" s="358" t="s">
        <v>181</v>
      </c>
      <c r="C125" s="358"/>
      <c r="D125" s="358"/>
      <c r="E125" s="358"/>
      <c r="F125" s="358"/>
      <c r="G125" s="358"/>
      <c r="H125" s="358"/>
      <c r="I125" s="358"/>
      <c r="J125" s="358"/>
      <c r="K125" s="358"/>
      <c r="L125" s="358"/>
      <c r="M125" s="358"/>
      <c r="N125" s="358"/>
      <c r="O125" s="358"/>
      <c r="P125" s="403">
        <v>0</v>
      </c>
      <c r="Q125" s="403"/>
      <c r="R125" s="404"/>
      <c r="S125" s="361"/>
      <c r="T125" s="348"/>
    </row>
    <row r="126" spans="1:20" s="349" customFormat="1" x14ac:dyDescent="0.3">
      <c r="A126" s="365"/>
      <c r="B126" s="358" t="s">
        <v>182</v>
      </c>
      <c r="C126" s="358"/>
      <c r="D126" s="358"/>
      <c r="E126" s="358"/>
      <c r="F126" s="358"/>
      <c r="G126" s="358"/>
      <c r="H126" s="358"/>
      <c r="I126" s="358"/>
      <c r="J126" s="358"/>
      <c r="K126" s="358"/>
      <c r="L126" s="358"/>
      <c r="M126" s="358"/>
      <c r="N126" s="358"/>
      <c r="O126" s="358"/>
      <c r="P126" s="403">
        <v>0</v>
      </c>
      <c r="Q126" s="403"/>
      <c r="R126" s="404"/>
      <c r="S126" s="361"/>
      <c r="T126" s="348"/>
    </row>
    <row r="127" spans="1:20" s="349" customFormat="1" x14ac:dyDescent="0.3">
      <c r="A127" s="365"/>
      <c r="B127" s="358" t="s">
        <v>271</v>
      </c>
      <c r="C127" s="358"/>
      <c r="D127" s="358"/>
      <c r="E127" s="358"/>
      <c r="F127" s="358"/>
      <c r="G127" s="358"/>
      <c r="H127" s="358"/>
      <c r="I127" s="358"/>
      <c r="J127" s="358"/>
      <c r="K127" s="358"/>
      <c r="L127" s="358"/>
      <c r="M127" s="358"/>
      <c r="N127" s="358"/>
      <c r="O127" s="358"/>
      <c r="P127" s="403">
        <v>0</v>
      </c>
      <c r="Q127" s="403"/>
      <c r="R127" s="404"/>
      <c r="S127" s="361"/>
      <c r="T127" s="348"/>
    </row>
    <row r="128" spans="1:20" s="349" customFormat="1" x14ac:dyDescent="0.3">
      <c r="A128" s="365"/>
      <c r="B128" s="358" t="s">
        <v>31</v>
      </c>
      <c r="C128" s="358"/>
      <c r="D128" s="358"/>
      <c r="E128" s="358"/>
      <c r="F128" s="358"/>
      <c r="G128" s="358"/>
      <c r="H128" s="358"/>
      <c r="I128" s="358"/>
      <c r="J128" s="358"/>
      <c r="K128" s="358"/>
      <c r="L128" s="358"/>
      <c r="M128" s="358"/>
      <c r="N128" s="358"/>
      <c r="O128" s="358"/>
      <c r="P128" s="403">
        <f>SUM(P121:P127)</f>
        <v>-20205</v>
      </c>
      <c r="Q128" s="403"/>
      <c r="R128" s="403">
        <f>SUM(R101:R127)</f>
        <v>-1594</v>
      </c>
      <c r="S128" s="361"/>
      <c r="T128" s="348"/>
    </row>
    <row r="129" spans="1:20" s="349" customFormat="1" x14ac:dyDescent="0.3">
      <c r="A129" s="365"/>
      <c r="B129" s="358" t="s">
        <v>32</v>
      </c>
      <c r="C129" s="358"/>
      <c r="D129" s="358"/>
      <c r="E129" s="358"/>
      <c r="F129" s="358"/>
      <c r="G129" s="358"/>
      <c r="H129" s="358"/>
      <c r="I129" s="358"/>
      <c r="J129" s="358"/>
      <c r="K129" s="358"/>
      <c r="L129" s="358"/>
      <c r="M129" s="358"/>
      <c r="N129" s="358"/>
      <c r="O129" s="358"/>
      <c r="P129" s="403">
        <f>P100+P128+P111</f>
        <v>0</v>
      </c>
      <c r="Q129" s="403"/>
      <c r="R129" s="403">
        <f>R100+R128</f>
        <v>0</v>
      </c>
      <c r="S129" s="361"/>
      <c r="T129" s="348"/>
    </row>
    <row r="130" spans="1:20" s="349" customFormat="1" x14ac:dyDescent="0.3">
      <c r="A130" s="344"/>
      <c r="B130" s="393"/>
      <c r="C130" s="393"/>
      <c r="D130" s="393"/>
      <c r="E130" s="393"/>
      <c r="F130" s="393"/>
      <c r="G130" s="393"/>
      <c r="H130" s="393"/>
      <c r="I130" s="393"/>
      <c r="J130" s="393"/>
      <c r="K130" s="393"/>
      <c r="L130" s="393"/>
      <c r="M130" s="393"/>
      <c r="N130" s="393"/>
      <c r="O130" s="393"/>
      <c r="P130" s="408"/>
      <c r="Q130" s="408"/>
      <c r="R130" s="408"/>
      <c r="S130" s="347"/>
      <c r="T130" s="348"/>
    </row>
    <row r="131" spans="1:20" s="349" customFormat="1" x14ac:dyDescent="0.3">
      <c r="A131" s="344"/>
      <c r="B131" s="346"/>
      <c r="C131" s="346"/>
      <c r="D131" s="346"/>
      <c r="E131" s="346"/>
      <c r="F131" s="346"/>
      <c r="G131" s="346"/>
      <c r="H131" s="346"/>
      <c r="I131" s="346"/>
      <c r="J131" s="346"/>
      <c r="K131" s="346"/>
      <c r="L131" s="346"/>
      <c r="M131" s="346"/>
      <c r="N131" s="346"/>
      <c r="O131" s="346"/>
      <c r="P131" s="346"/>
      <c r="Q131" s="346"/>
      <c r="R131" s="409"/>
      <c r="S131" s="347"/>
      <c r="T131" s="348"/>
    </row>
    <row r="132" spans="1:20" s="349" customFormat="1" ht="18.600000000000001" thickBot="1" x14ac:dyDescent="0.4">
      <c r="A132" s="398"/>
      <c r="B132" s="399" t="str">
        <f>B60</f>
        <v>PM22 INVESTOR REPORT QUARTER ENDING NOVEMBER 2017</v>
      </c>
      <c r="C132" s="400"/>
      <c r="D132" s="400"/>
      <c r="E132" s="400"/>
      <c r="F132" s="400"/>
      <c r="G132" s="400"/>
      <c r="H132" s="400"/>
      <c r="I132" s="400"/>
      <c r="J132" s="400"/>
      <c r="K132" s="400"/>
      <c r="L132" s="400"/>
      <c r="M132" s="400"/>
      <c r="N132" s="400"/>
      <c r="O132" s="400"/>
      <c r="P132" s="400"/>
      <c r="Q132" s="400"/>
      <c r="R132" s="410"/>
      <c r="S132" s="402"/>
      <c r="T132" s="348"/>
    </row>
    <row r="133" spans="1:20" x14ac:dyDescent="0.3">
      <c r="A133" s="456"/>
      <c r="B133" s="457" t="s">
        <v>33</v>
      </c>
      <c r="C133" s="458"/>
      <c r="D133" s="458"/>
      <c r="E133" s="458"/>
      <c r="F133" s="458"/>
      <c r="G133" s="458"/>
      <c r="H133" s="458"/>
      <c r="I133" s="458"/>
      <c r="J133" s="458"/>
      <c r="K133" s="458"/>
      <c r="L133" s="458"/>
      <c r="M133" s="458"/>
      <c r="N133" s="458"/>
      <c r="O133" s="458"/>
      <c r="P133" s="458"/>
      <c r="Q133" s="458"/>
      <c r="R133" s="459"/>
      <c r="S133" s="460"/>
      <c r="T133" s="247"/>
    </row>
    <row r="134" spans="1:20" x14ac:dyDescent="0.3">
      <c r="A134" s="249"/>
      <c r="B134" s="295"/>
      <c r="C134" s="251"/>
      <c r="D134" s="251"/>
      <c r="E134" s="251"/>
      <c r="F134" s="251"/>
      <c r="G134" s="251"/>
      <c r="H134" s="251"/>
      <c r="I134" s="251"/>
      <c r="J134" s="251"/>
      <c r="K134" s="251"/>
      <c r="L134" s="251"/>
      <c r="M134" s="251"/>
      <c r="N134" s="251"/>
      <c r="O134" s="251"/>
      <c r="P134" s="251"/>
      <c r="Q134" s="251"/>
      <c r="R134" s="279"/>
      <c r="S134" s="252"/>
      <c r="T134" s="247"/>
    </row>
    <row r="135" spans="1:20" x14ac:dyDescent="0.3">
      <c r="A135" s="249"/>
      <c r="B135" s="296" t="s">
        <v>34</v>
      </c>
      <c r="C135" s="251"/>
      <c r="D135" s="251"/>
      <c r="E135" s="251"/>
      <c r="F135" s="251"/>
      <c r="G135" s="251"/>
      <c r="H135" s="251"/>
      <c r="I135" s="251"/>
      <c r="J135" s="251"/>
      <c r="K135" s="251"/>
      <c r="L135" s="251"/>
      <c r="M135" s="251"/>
      <c r="N135" s="251"/>
      <c r="O135" s="251"/>
      <c r="P135" s="251"/>
      <c r="Q135" s="251"/>
      <c r="R135" s="279"/>
      <c r="S135" s="252"/>
      <c r="T135" s="247"/>
    </row>
    <row r="136" spans="1:20" s="349" customFormat="1" x14ac:dyDescent="0.3">
      <c r="A136" s="365"/>
      <c r="B136" s="358" t="s">
        <v>35</v>
      </c>
      <c r="C136" s="358"/>
      <c r="D136" s="358"/>
      <c r="E136" s="358"/>
      <c r="F136" s="358"/>
      <c r="G136" s="358"/>
      <c r="H136" s="358"/>
      <c r="I136" s="358"/>
      <c r="J136" s="358"/>
      <c r="K136" s="358"/>
      <c r="L136" s="358"/>
      <c r="M136" s="358"/>
      <c r="N136" s="358"/>
      <c r="O136" s="358"/>
      <c r="P136" s="358"/>
      <c r="Q136" s="358"/>
      <c r="R136" s="404">
        <v>7502</v>
      </c>
      <c r="S136" s="361"/>
      <c r="T136" s="348"/>
    </row>
    <row r="137" spans="1:20" s="349" customFormat="1" x14ac:dyDescent="0.3">
      <c r="A137" s="365"/>
      <c r="B137" s="358" t="s">
        <v>36</v>
      </c>
      <c r="C137" s="358"/>
      <c r="D137" s="358"/>
      <c r="E137" s="358"/>
      <c r="F137" s="358"/>
      <c r="G137" s="358"/>
      <c r="H137" s="358"/>
      <c r="I137" s="358"/>
      <c r="J137" s="358"/>
      <c r="K137" s="358"/>
      <c r="L137" s="358"/>
      <c r="M137" s="358"/>
      <c r="N137" s="358"/>
      <c r="O137" s="358"/>
      <c r="P137" s="358"/>
      <c r="Q137" s="358"/>
      <c r="R137" s="404">
        <v>0</v>
      </c>
      <c r="S137" s="361"/>
      <c r="T137" s="348"/>
    </row>
    <row r="138" spans="1:20" s="349" customFormat="1" x14ac:dyDescent="0.3">
      <c r="A138" s="365"/>
      <c r="B138" s="358" t="s">
        <v>169</v>
      </c>
      <c r="C138" s="358"/>
      <c r="D138" s="358"/>
      <c r="E138" s="358"/>
      <c r="F138" s="358"/>
      <c r="G138" s="358"/>
      <c r="H138" s="358"/>
      <c r="I138" s="358"/>
      <c r="J138" s="358"/>
      <c r="K138" s="358"/>
      <c r="L138" s="358"/>
      <c r="M138" s="358"/>
      <c r="N138" s="358"/>
      <c r="O138" s="358"/>
      <c r="P138" s="358"/>
      <c r="Q138" s="358"/>
      <c r="R138" s="404">
        <f>R136-R139</f>
        <v>5018.3274697550005</v>
      </c>
      <c r="S138" s="361"/>
      <c r="T138" s="348"/>
    </row>
    <row r="139" spans="1:20" s="349" customFormat="1" x14ac:dyDescent="0.3">
      <c r="A139" s="365"/>
      <c r="B139" s="358" t="s">
        <v>210</v>
      </c>
      <c r="C139" s="358"/>
      <c r="D139" s="358"/>
      <c r="E139" s="358"/>
      <c r="F139" s="358"/>
      <c r="G139" s="358"/>
      <c r="H139" s="358"/>
      <c r="I139" s="358"/>
      <c r="J139" s="358"/>
      <c r="K139" s="358"/>
      <c r="L139" s="358"/>
      <c r="M139" s="358"/>
      <c r="N139" s="358"/>
      <c r="O139" s="358"/>
      <c r="P139" s="358"/>
      <c r="Q139" s="358"/>
      <c r="R139" s="404">
        <f>SUM(D33:J33)*0.025</f>
        <v>2483.672530245</v>
      </c>
      <c r="S139" s="361"/>
      <c r="T139" s="348"/>
    </row>
    <row r="140" spans="1:20" s="349" customFormat="1" x14ac:dyDescent="0.3">
      <c r="A140" s="365"/>
      <c r="B140" s="358" t="s">
        <v>108</v>
      </c>
      <c r="C140" s="358"/>
      <c r="D140" s="358"/>
      <c r="E140" s="358"/>
      <c r="F140" s="358"/>
      <c r="G140" s="358"/>
      <c r="H140" s="358"/>
      <c r="I140" s="358"/>
      <c r="J140" s="358"/>
      <c r="K140" s="358"/>
      <c r="L140" s="358"/>
      <c r="M140" s="358"/>
      <c r="N140" s="358"/>
      <c r="O140" s="358"/>
      <c r="P140" s="358"/>
      <c r="Q140" s="358"/>
      <c r="R140" s="404"/>
      <c r="S140" s="361"/>
      <c r="T140" s="348"/>
    </row>
    <row r="141" spans="1:20" s="349" customFormat="1" x14ac:dyDescent="0.3">
      <c r="A141" s="365"/>
      <c r="B141" s="358" t="s">
        <v>155</v>
      </c>
      <c r="C141" s="358"/>
      <c r="D141" s="358"/>
      <c r="E141" s="358"/>
      <c r="F141" s="358"/>
      <c r="G141" s="358"/>
      <c r="H141" s="358"/>
      <c r="I141" s="358"/>
      <c r="J141" s="358"/>
      <c r="K141" s="358"/>
      <c r="L141" s="358"/>
      <c r="M141" s="358"/>
      <c r="N141" s="358"/>
      <c r="O141" s="358"/>
      <c r="P141" s="358"/>
      <c r="Q141" s="358"/>
      <c r="R141" s="404">
        <v>0</v>
      </c>
      <c r="S141" s="361"/>
      <c r="T141" s="348"/>
    </row>
    <row r="142" spans="1:20" s="349" customFormat="1" x14ac:dyDescent="0.3">
      <c r="A142" s="365"/>
      <c r="B142" s="358" t="s">
        <v>189</v>
      </c>
      <c r="C142" s="358"/>
      <c r="D142" s="358"/>
      <c r="E142" s="358"/>
      <c r="F142" s="358"/>
      <c r="G142" s="358"/>
      <c r="H142" s="358"/>
      <c r="I142" s="358"/>
      <c r="J142" s="358"/>
      <c r="K142" s="358"/>
      <c r="L142" s="358"/>
      <c r="M142" s="358"/>
      <c r="N142" s="358"/>
      <c r="O142" s="358"/>
      <c r="P142" s="358"/>
      <c r="Q142" s="358"/>
      <c r="R142" s="404">
        <v>0</v>
      </c>
      <c r="S142" s="361"/>
      <c r="T142" s="348"/>
    </row>
    <row r="143" spans="1:20" s="349" customFormat="1" x14ac:dyDescent="0.3">
      <c r="A143" s="365"/>
      <c r="B143" s="358" t="s">
        <v>190</v>
      </c>
      <c r="C143" s="358"/>
      <c r="D143" s="358"/>
      <c r="E143" s="358"/>
      <c r="F143" s="358"/>
      <c r="G143" s="358"/>
      <c r="H143" s="358"/>
      <c r="I143" s="358"/>
      <c r="J143" s="358"/>
      <c r="K143" s="358"/>
      <c r="L143" s="358"/>
      <c r="M143" s="358"/>
      <c r="N143" s="358"/>
      <c r="O143" s="358"/>
      <c r="P143" s="358"/>
      <c r="Q143" s="358"/>
      <c r="R143" s="404">
        <v>0</v>
      </c>
      <c r="S143" s="361"/>
      <c r="T143" s="348"/>
    </row>
    <row r="144" spans="1:20" s="349" customFormat="1" x14ac:dyDescent="0.3">
      <c r="A144" s="365"/>
      <c r="B144" s="358" t="s">
        <v>37</v>
      </c>
      <c r="C144" s="358"/>
      <c r="D144" s="358"/>
      <c r="E144" s="358"/>
      <c r="F144" s="358"/>
      <c r="G144" s="358"/>
      <c r="H144" s="358"/>
      <c r="I144" s="358"/>
      <c r="J144" s="358"/>
      <c r="K144" s="358"/>
      <c r="L144" s="358"/>
      <c r="M144" s="358"/>
      <c r="N144" s="358"/>
      <c r="O144" s="358"/>
      <c r="P144" s="358"/>
      <c r="Q144" s="358"/>
      <c r="R144" s="404">
        <v>0</v>
      </c>
      <c r="S144" s="361"/>
      <c r="T144" s="348"/>
    </row>
    <row r="145" spans="1:21" s="349" customFormat="1" x14ac:dyDescent="0.3">
      <c r="A145" s="365"/>
      <c r="B145" s="358" t="s">
        <v>102</v>
      </c>
      <c r="C145" s="358"/>
      <c r="D145" s="358"/>
      <c r="E145" s="358"/>
      <c r="F145" s="358"/>
      <c r="G145" s="358"/>
      <c r="H145" s="358"/>
      <c r="I145" s="358"/>
      <c r="J145" s="358"/>
      <c r="K145" s="358"/>
      <c r="L145" s="358"/>
      <c r="M145" s="358"/>
      <c r="N145" s="358"/>
      <c r="O145" s="358"/>
      <c r="P145" s="358"/>
      <c r="Q145" s="358"/>
      <c r="R145" s="404">
        <v>0</v>
      </c>
      <c r="S145" s="361"/>
      <c r="T145" s="348"/>
    </row>
    <row r="146" spans="1:21" s="349" customFormat="1" x14ac:dyDescent="0.3">
      <c r="A146" s="365"/>
      <c r="B146" s="358" t="s">
        <v>256</v>
      </c>
      <c r="C146" s="358"/>
      <c r="D146" s="358"/>
      <c r="E146" s="358"/>
      <c r="F146" s="358"/>
      <c r="G146" s="358"/>
      <c r="H146" s="358"/>
      <c r="I146" s="358"/>
      <c r="J146" s="358"/>
      <c r="K146" s="358"/>
      <c r="L146" s="358"/>
      <c r="M146" s="358"/>
      <c r="N146" s="358"/>
      <c r="O146" s="358"/>
      <c r="P146" s="358"/>
      <c r="Q146" s="358"/>
      <c r="R146" s="404">
        <v>0</v>
      </c>
      <c r="S146" s="361"/>
      <c r="T146" s="348"/>
      <c r="U146" s="407"/>
    </row>
    <row r="147" spans="1:21" s="349" customFormat="1" x14ac:dyDescent="0.3">
      <c r="A147" s="365"/>
      <c r="B147" s="358" t="s">
        <v>38</v>
      </c>
      <c r="C147" s="358"/>
      <c r="D147" s="358"/>
      <c r="E147" s="358"/>
      <c r="F147" s="358"/>
      <c r="G147" s="358"/>
      <c r="H147" s="358"/>
      <c r="I147" s="358"/>
      <c r="J147" s="358"/>
      <c r="K147" s="358"/>
      <c r="L147" s="358"/>
      <c r="M147" s="358"/>
      <c r="N147" s="358"/>
      <c r="O147" s="358"/>
      <c r="P147" s="358"/>
      <c r="Q147" s="358"/>
      <c r="R147" s="404">
        <f>SUM(R137:R146)</f>
        <v>7502</v>
      </c>
      <c r="S147" s="361"/>
      <c r="T147" s="348"/>
    </row>
    <row r="148" spans="1:21" x14ac:dyDescent="0.3">
      <c r="A148" s="249"/>
      <c r="B148" s="277"/>
      <c r="C148" s="277"/>
      <c r="D148" s="277"/>
      <c r="E148" s="277"/>
      <c r="F148" s="277"/>
      <c r="G148" s="277"/>
      <c r="H148" s="277"/>
      <c r="I148" s="277"/>
      <c r="J148" s="277"/>
      <c r="K148" s="277"/>
      <c r="L148" s="277"/>
      <c r="M148" s="277"/>
      <c r="N148" s="277"/>
      <c r="O148" s="277"/>
      <c r="P148" s="277"/>
      <c r="Q148" s="277"/>
      <c r="R148" s="297"/>
      <c r="S148" s="252"/>
      <c r="T148" s="247"/>
    </row>
    <row r="149" spans="1:21" x14ac:dyDescent="0.3">
      <c r="A149" s="249"/>
      <c r="B149" s="296" t="s">
        <v>203</v>
      </c>
      <c r="C149" s="251"/>
      <c r="D149" s="251"/>
      <c r="E149" s="251"/>
      <c r="F149" s="251"/>
      <c r="G149" s="251"/>
      <c r="H149" s="251"/>
      <c r="I149" s="251"/>
      <c r="J149" s="251"/>
      <c r="K149" s="251"/>
      <c r="L149" s="251"/>
      <c r="M149" s="251"/>
      <c r="N149" s="251"/>
      <c r="O149" s="251"/>
      <c r="P149" s="251"/>
      <c r="Q149" s="251"/>
      <c r="R149" s="279"/>
      <c r="S149" s="252"/>
      <c r="T149" s="247"/>
    </row>
    <row r="150" spans="1:21" s="349" customFormat="1" x14ac:dyDescent="0.3">
      <c r="A150" s="365"/>
      <c r="B150" s="358" t="s">
        <v>278</v>
      </c>
      <c r="C150" s="358"/>
      <c r="D150" s="358"/>
      <c r="E150" s="358"/>
      <c r="F150" s="358"/>
      <c r="G150" s="358"/>
      <c r="H150" s="358"/>
      <c r="I150" s="358"/>
      <c r="J150" s="358"/>
      <c r="K150" s="358"/>
      <c r="L150" s="358"/>
      <c r="M150" s="358"/>
      <c r="N150" s="358"/>
      <c r="O150" s="358"/>
      <c r="P150" s="358"/>
      <c r="Q150" s="358"/>
      <c r="R150" s="404">
        <v>0</v>
      </c>
      <c r="S150" s="361"/>
      <c r="T150" s="348"/>
    </row>
    <row r="151" spans="1:21" s="349" customFormat="1" x14ac:dyDescent="0.3">
      <c r="A151" s="365"/>
      <c r="B151" s="358" t="s">
        <v>191</v>
      </c>
      <c r="C151" s="358"/>
      <c r="D151" s="358"/>
      <c r="E151" s="358"/>
      <c r="F151" s="358"/>
      <c r="G151" s="358"/>
      <c r="H151" s="358"/>
      <c r="I151" s="358"/>
      <c r="J151" s="358"/>
      <c r="K151" s="358"/>
      <c r="L151" s="358"/>
      <c r="M151" s="358"/>
      <c r="N151" s="358"/>
      <c r="O151" s="358"/>
      <c r="P151" s="358"/>
      <c r="Q151" s="358"/>
      <c r="R151" s="404">
        <f>+J77</f>
        <v>0</v>
      </c>
      <c r="S151" s="361"/>
      <c r="T151" s="348"/>
    </row>
    <row r="152" spans="1:21" s="349" customFormat="1" x14ac:dyDescent="0.3">
      <c r="A152" s="365"/>
      <c r="B152" s="358" t="s">
        <v>205</v>
      </c>
      <c r="C152" s="358"/>
      <c r="D152" s="358"/>
      <c r="E152" s="358"/>
      <c r="F152" s="358"/>
      <c r="G152" s="358"/>
      <c r="H152" s="358"/>
      <c r="I152" s="358"/>
      <c r="J152" s="358"/>
      <c r="K152" s="358"/>
      <c r="L152" s="358"/>
      <c r="M152" s="358"/>
      <c r="N152" s="358"/>
      <c r="O152" s="358"/>
      <c r="P152" s="358"/>
      <c r="Q152" s="358"/>
      <c r="R152" s="404">
        <f>R150+R151</f>
        <v>0</v>
      </c>
      <c r="S152" s="361"/>
      <c r="T152" s="348"/>
    </row>
    <row r="153" spans="1:21" s="349" customFormat="1" x14ac:dyDescent="0.3">
      <c r="A153" s="344"/>
      <c r="B153" s="393"/>
      <c r="C153" s="393"/>
      <c r="D153" s="393"/>
      <c r="E153" s="393"/>
      <c r="F153" s="393"/>
      <c r="G153" s="393"/>
      <c r="H153" s="393"/>
      <c r="I153" s="393"/>
      <c r="J153" s="393"/>
      <c r="K153" s="393"/>
      <c r="L153" s="393"/>
      <c r="M153" s="393"/>
      <c r="N153" s="393"/>
      <c r="O153" s="393"/>
      <c r="P153" s="393"/>
      <c r="Q153" s="393"/>
      <c r="R153" s="411"/>
      <c r="S153" s="347"/>
      <c r="T153" s="348"/>
    </row>
    <row r="154" spans="1:21" x14ac:dyDescent="0.3">
      <c r="A154" s="249"/>
      <c r="B154" s="296" t="s">
        <v>211</v>
      </c>
      <c r="C154" s="298"/>
      <c r="D154" s="298"/>
      <c r="E154" s="298"/>
      <c r="F154" s="298"/>
      <c r="G154" s="298"/>
      <c r="H154" s="298"/>
      <c r="I154" s="298"/>
      <c r="J154" s="298"/>
      <c r="K154" s="298"/>
      <c r="L154" s="298"/>
      <c r="M154" s="298"/>
      <c r="N154" s="298"/>
      <c r="O154" s="298"/>
      <c r="P154" s="298"/>
      <c r="Q154" s="298"/>
      <c r="R154" s="299"/>
      <c r="S154" s="252"/>
      <c r="T154" s="247"/>
    </row>
    <row r="155" spans="1:21" s="349" customFormat="1" x14ac:dyDescent="0.3">
      <c r="A155" s="412"/>
      <c r="B155" s="413" t="s">
        <v>277</v>
      </c>
      <c r="C155" s="413"/>
      <c r="D155" s="413"/>
      <c r="E155" s="413"/>
      <c r="F155" s="413"/>
      <c r="G155" s="413"/>
      <c r="H155" s="413"/>
      <c r="I155" s="413"/>
      <c r="J155" s="413"/>
      <c r="K155" s="413"/>
      <c r="L155" s="413"/>
      <c r="M155" s="413"/>
      <c r="N155" s="413"/>
      <c r="O155" s="413"/>
      <c r="P155" s="413"/>
      <c r="Q155" s="413"/>
      <c r="R155" s="414">
        <f>+'Feb 17'!R158</f>
        <v>0</v>
      </c>
      <c r="S155" s="415"/>
      <c r="T155" s="348"/>
    </row>
    <row r="156" spans="1:21" s="349" customFormat="1" x14ac:dyDescent="0.3">
      <c r="A156" s="412"/>
      <c r="B156" s="413" t="s">
        <v>213</v>
      </c>
      <c r="C156" s="413"/>
      <c r="D156" s="413"/>
      <c r="E156" s="413"/>
      <c r="F156" s="413"/>
      <c r="G156" s="413"/>
      <c r="H156" s="413"/>
      <c r="I156" s="413"/>
      <c r="J156" s="413"/>
      <c r="K156" s="413"/>
      <c r="L156" s="413"/>
      <c r="M156" s="413"/>
      <c r="N156" s="413"/>
      <c r="O156" s="413"/>
      <c r="P156" s="413"/>
      <c r="Q156" s="413"/>
      <c r="R156" s="414">
        <f>P86</f>
        <v>0</v>
      </c>
      <c r="S156" s="415"/>
      <c r="T156" s="348"/>
    </row>
    <row r="157" spans="1:21" s="349" customFormat="1" x14ac:dyDescent="0.3">
      <c r="A157" s="412"/>
      <c r="B157" s="413" t="s">
        <v>214</v>
      </c>
      <c r="C157" s="413"/>
      <c r="D157" s="413"/>
      <c r="E157" s="413"/>
      <c r="F157" s="413"/>
      <c r="G157" s="413"/>
      <c r="H157" s="413"/>
      <c r="I157" s="413"/>
      <c r="J157" s="413"/>
      <c r="K157" s="413"/>
      <c r="L157" s="413"/>
      <c r="M157" s="413"/>
      <c r="N157" s="413"/>
      <c r="O157" s="413"/>
      <c r="P157" s="413"/>
      <c r="Q157" s="413"/>
      <c r="R157" s="414">
        <v>0</v>
      </c>
      <c r="S157" s="415"/>
      <c r="T157" s="348"/>
    </row>
    <row r="158" spans="1:21" s="349" customFormat="1" x14ac:dyDescent="0.3">
      <c r="A158" s="412"/>
      <c r="B158" s="413" t="s">
        <v>215</v>
      </c>
      <c r="C158" s="413"/>
      <c r="D158" s="413"/>
      <c r="E158" s="413"/>
      <c r="F158" s="413"/>
      <c r="G158" s="413"/>
      <c r="H158" s="413"/>
      <c r="I158" s="413"/>
      <c r="J158" s="413"/>
      <c r="K158" s="413"/>
      <c r="L158" s="413"/>
      <c r="M158" s="413"/>
      <c r="N158" s="413"/>
      <c r="O158" s="413"/>
      <c r="P158" s="413"/>
      <c r="Q158" s="413"/>
      <c r="R158" s="414">
        <f>R155+R156+R157</f>
        <v>0</v>
      </c>
      <c r="S158" s="415"/>
      <c r="T158" s="348"/>
    </row>
    <row r="159" spans="1:21" x14ac:dyDescent="0.3">
      <c r="A159" s="249"/>
      <c r="B159" s="277"/>
      <c r="C159" s="277"/>
      <c r="D159" s="277"/>
      <c r="E159" s="277"/>
      <c r="F159" s="277"/>
      <c r="G159" s="277"/>
      <c r="H159" s="277"/>
      <c r="I159" s="277"/>
      <c r="J159" s="277"/>
      <c r="K159" s="277"/>
      <c r="L159" s="277"/>
      <c r="M159" s="277"/>
      <c r="N159" s="277"/>
      <c r="O159" s="277"/>
      <c r="P159" s="277"/>
      <c r="Q159" s="277"/>
      <c r="R159" s="297"/>
      <c r="S159" s="252"/>
      <c r="T159" s="247"/>
    </row>
    <row r="160" spans="1:21" x14ac:dyDescent="0.3">
      <c r="A160" s="249"/>
      <c r="B160" s="296" t="s">
        <v>39</v>
      </c>
      <c r="C160" s="251"/>
      <c r="D160" s="251"/>
      <c r="E160" s="251"/>
      <c r="F160" s="251"/>
      <c r="G160" s="251"/>
      <c r="H160" s="251"/>
      <c r="I160" s="251"/>
      <c r="J160" s="251"/>
      <c r="K160" s="251"/>
      <c r="L160" s="251"/>
      <c r="M160" s="251"/>
      <c r="N160" s="251"/>
      <c r="O160" s="251"/>
      <c r="P160" s="251"/>
      <c r="Q160" s="251"/>
      <c r="R160" s="300"/>
      <c r="S160" s="252"/>
      <c r="T160" s="247"/>
    </row>
    <row r="161" spans="1:252" s="349" customFormat="1" x14ac:dyDescent="0.3">
      <c r="A161" s="365"/>
      <c r="B161" s="358" t="s">
        <v>40</v>
      </c>
      <c r="C161" s="358"/>
      <c r="D161" s="358"/>
      <c r="E161" s="358"/>
      <c r="F161" s="358"/>
      <c r="G161" s="358"/>
      <c r="H161" s="358"/>
      <c r="I161" s="358"/>
      <c r="J161" s="358"/>
      <c r="K161" s="358"/>
      <c r="L161" s="358"/>
      <c r="M161" s="358"/>
      <c r="N161" s="358"/>
      <c r="O161" s="358"/>
      <c r="P161" s="358"/>
      <c r="Q161" s="358"/>
      <c r="R161" s="404">
        <v>0</v>
      </c>
      <c r="S161" s="361"/>
      <c r="T161" s="348"/>
    </row>
    <row r="162" spans="1:252" s="349" customFormat="1" x14ac:dyDescent="0.3">
      <c r="A162" s="365"/>
      <c r="B162" s="358" t="s">
        <v>41</v>
      </c>
      <c r="C162" s="358"/>
      <c r="D162" s="358"/>
      <c r="E162" s="358"/>
      <c r="F162" s="358"/>
      <c r="G162" s="358"/>
      <c r="H162" s="358"/>
      <c r="I162" s="358"/>
      <c r="J162" s="358"/>
      <c r="K162" s="358"/>
      <c r="L162" s="358"/>
      <c r="M162" s="358"/>
      <c r="N162" s="358"/>
      <c r="O162" s="358"/>
      <c r="P162" s="358"/>
      <c r="Q162" s="358"/>
      <c r="R162" s="404">
        <v>0</v>
      </c>
      <c r="S162" s="361"/>
      <c r="T162" s="348"/>
    </row>
    <row r="163" spans="1:252" s="349" customFormat="1" x14ac:dyDescent="0.3">
      <c r="A163" s="365"/>
      <c r="B163" s="358" t="s">
        <v>42</v>
      </c>
      <c r="C163" s="358"/>
      <c r="D163" s="358"/>
      <c r="E163" s="358"/>
      <c r="F163" s="358"/>
      <c r="G163" s="358"/>
      <c r="H163" s="358"/>
      <c r="I163" s="358"/>
      <c r="J163" s="358"/>
      <c r="K163" s="358"/>
      <c r="L163" s="358"/>
      <c r="M163" s="358"/>
      <c r="N163" s="358"/>
      <c r="O163" s="358"/>
      <c r="P163" s="358"/>
      <c r="Q163" s="358"/>
      <c r="R163" s="404">
        <f>R162+R161</f>
        <v>0</v>
      </c>
      <c r="S163" s="361"/>
      <c r="T163" s="348"/>
    </row>
    <row r="164" spans="1:252" s="349" customFormat="1" x14ac:dyDescent="0.3">
      <c r="A164" s="365"/>
      <c r="B164" s="358" t="s">
        <v>174</v>
      </c>
      <c r="C164" s="358"/>
      <c r="D164" s="358"/>
      <c r="E164" s="358"/>
      <c r="F164" s="358"/>
      <c r="G164" s="358"/>
      <c r="H164" s="358"/>
      <c r="I164" s="358"/>
      <c r="J164" s="358"/>
      <c r="K164" s="358"/>
      <c r="L164" s="358"/>
      <c r="M164" s="358"/>
      <c r="N164" s="358"/>
      <c r="O164" s="358"/>
      <c r="P164" s="358"/>
      <c r="Q164" s="358"/>
      <c r="R164" s="404">
        <f>R111</f>
        <v>0</v>
      </c>
      <c r="S164" s="361"/>
      <c r="T164" s="348"/>
    </row>
    <row r="165" spans="1:252" s="349" customFormat="1" x14ac:dyDescent="0.3">
      <c r="A165" s="365"/>
      <c r="B165" s="358" t="s">
        <v>43</v>
      </c>
      <c r="C165" s="358"/>
      <c r="D165" s="358"/>
      <c r="E165" s="358"/>
      <c r="F165" s="358"/>
      <c r="G165" s="358"/>
      <c r="H165" s="358"/>
      <c r="I165" s="358"/>
      <c r="J165" s="358"/>
      <c r="K165" s="358"/>
      <c r="L165" s="358"/>
      <c r="M165" s="358"/>
      <c r="N165" s="358"/>
      <c r="O165" s="358"/>
      <c r="P165" s="358"/>
      <c r="Q165" s="358"/>
      <c r="R165" s="404">
        <f>R163+R164</f>
        <v>0</v>
      </c>
      <c r="S165" s="361"/>
      <c r="T165" s="348"/>
    </row>
    <row r="166" spans="1:252" s="349" customFormat="1" x14ac:dyDescent="0.3">
      <c r="A166" s="365"/>
      <c r="B166" s="358" t="s">
        <v>150</v>
      </c>
      <c r="C166" s="358"/>
      <c r="D166" s="358"/>
      <c r="E166" s="358"/>
      <c r="F166" s="358"/>
      <c r="G166" s="358"/>
      <c r="H166" s="358"/>
      <c r="I166" s="358"/>
      <c r="J166" s="358"/>
      <c r="K166" s="358"/>
      <c r="L166" s="358"/>
      <c r="M166" s="358"/>
      <c r="N166" s="358"/>
      <c r="O166" s="358"/>
      <c r="P166" s="358"/>
      <c r="Q166" s="358"/>
      <c r="R166" s="404">
        <f>-R99</f>
        <v>0</v>
      </c>
      <c r="S166" s="361"/>
      <c r="T166" s="348"/>
    </row>
    <row r="167" spans="1:252" ht="16.2" thickBot="1" x14ac:dyDescent="0.35">
      <c r="A167" s="249"/>
      <c r="B167" s="277"/>
      <c r="C167" s="277"/>
      <c r="D167" s="277"/>
      <c r="E167" s="277"/>
      <c r="F167" s="277"/>
      <c r="G167" s="277"/>
      <c r="H167" s="277"/>
      <c r="I167" s="277"/>
      <c r="J167" s="277"/>
      <c r="K167" s="277"/>
      <c r="L167" s="277"/>
      <c r="M167" s="277"/>
      <c r="N167" s="277"/>
      <c r="O167" s="277"/>
      <c r="P167" s="277"/>
      <c r="Q167" s="277"/>
      <c r="R167" s="297"/>
      <c r="S167" s="252"/>
      <c r="T167" s="247"/>
    </row>
    <row r="168" spans="1:252" x14ac:dyDescent="0.3">
      <c r="A168" s="244"/>
      <c r="B168" s="245"/>
      <c r="C168" s="245"/>
      <c r="D168" s="245"/>
      <c r="E168" s="245"/>
      <c r="F168" s="245"/>
      <c r="G168" s="245"/>
      <c r="H168" s="245"/>
      <c r="I168" s="245"/>
      <c r="J168" s="245"/>
      <c r="K168" s="245"/>
      <c r="L168" s="245"/>
      <c r="M168" s="245"/>
      <c r="N168" s="245"/>
      <c r="O168" s="245"/>
      <c r="P168" s="245"/>
      <c r="Q168" s="245"/>
      <c r="R168" s="301"/>
      <c r="S168" s="246"/>
      <c r="T168" s="247"/>
    </row>
    <row r="169" spans="1:252" s="303" customFormat="1" x14ac:dyDescent="0.3">
      <c r="A169" s="249"/>
      <c r="B169" s="296" t="s">
        <v>204</v>
      </c>
      <c r="C169" s="277"/>
      <c r="D169" s="277"/>
      <c r="E169" s="277"/>
      <c r="F169" s="277"/>
      <c r="G169" s="277"/>
      <c r="H169" s="277"/>
      <c r="I169" s="277"/>
      <c r="J169" s="277"/>
      <c r="K169" s="277"/>
      <c r="L169" s="277"/>
      <c r="M169" s="277"/>
      <c r="N169" s="277"/>
      <c r="O169" s="277"/>
      <c r="P169" s="277"/>
      <c r="Q169" s="277"/>
      <c r="R169" s="302"/>
      <c r="S169" s="252"/>
      <c r="T169" s="247"/>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c r="BT169" s="248"/>
      <c r="BU169" s="248"/>
      <c r="BV169" s="248"/>
      <c r="BW169" s="248"/>
      <c r="BX169" s="248"/>
      <c r="BY169" s="248"/>
      <c r="BZ169" s="248"/>
      <c r="CA169" s="248"/>
      <c r="CB169" s="248"/>
      <c r="CC169" s="248"/>
      <c r="CD169" s="248"/>
      <c r="CE169" s="248"/>
      <c r="CF169" s="248"/>
      <c r="CG169" s="248"/>
      <c r="CH169" s="248"/>
      <c r="CI169" s="248"/>
      <c r="CJ169" s="248"/>
      <c r="CK169" s="248"/>
      <c r="CL169" s="248"/>
      <c r="CM169" s="248"/>
      <c r="CN169" s="248"/>
      <c r="CO169" s="248"/>
      <c r="CP169" s="248"/>
      <c r="CQ169" s="248"/>
      <c r="CR169" s="248"/>
      <c r="CS169" s="248"/>
      <c r="CT169" s="248"/>
      <c r="CU169" s="248"/>
      <c r="CV169" s="248"/>
      <c r="CW169" s="248"/>
      <c r="CX169" s="248"/>
      <c r="CY169" s="248"/>
      <c r="CZ169" s="248"/>
      <c r="DA169" s="248"/>
      <c r="DB169" s="248"/>
      <c r="DC169" s="248"/>
      <c r="DD169" s="248"/>
      <c r="DE169" s="248"/>
      <c r="DF169" s="248"/>
      <c r="DG169" s="248"/>
      <c r="DH169" s="248"/>
      <c r="DI169" s="248"/>
      <c r="DJ169" s="248"/>
      <c r="DK169" s="248"/>
      <c r="DL169" s="248"/>
      <c r="DM169" s="248"/>
      <c r="DN169" s="248"/>
      <c r="DO169" s="248"/>
      <c r="DP169" s="248"/>
      <c r="DQ169" s="248"/>
      <c r="DR169" s="248"/>
      <c r="DS169" s="248"/>
      <c r="DT169" s="248"/>
      <c r="DU169" s="248"/>
      <c r="DV169" s="248"/>
      <c r="DW169" s="248"/>
      <c r="DX169" s="248"/>
      <c r="DY169" s="248"/>
      <c r="DZ169" s="248"/>
      <c r="EA169" s="248"/>
      <c r="EB169" s="248"/>
      <c r="EC169" s="248"/>
      <c r="ED169" s="248"/>
      <c r="EE169" s="248"/>
      <c r="EF169" s="248"/>
      <c r="EG169" s="248"/>
      <c r="EH169" s="248"/>
      <c r="EI169" s="248"/>
      <c r="EJ169" s="248"/>
      <c r="EK169" s="248"/>
      <c r="EL169" s="248"/>
      <c r="EM169" s="248"/>
      <c r="EN169" s="248"/>
      <c r="EO169" s="248"/>
      <c r="EP169" s="248"/>
      <c r="EQ169" s="248"/>
      <c r="ER169" s="248"/>
      <c r="ES169" s="248"/>
      <c r="ET169" s="248"/>
      <c r="EU169" s="248"/>
      <c r="EV169" s="248"/>
      <c r="EW169" s="248"/>
      <c r="EX169" s="248"/>
      <c r="EY169" s="248"/>
      <c r="EZ169" s="248"/>
      <c r="FA169" s="248"/>
      <c r="FB169" s="248"/>
      <c r="FC169" s="248"/>
      <c r="FD169" s="248"/>
      <c r="FE169" s="248"/>
      <c r="FF169" s="248"/>
      <c r="FG169" s="248"/>
      <c r="FH169" s="248"/>
      <c r="FI169" s="248"/>
      <c r="FJ169" s="248"/>
      <c r="FK169" s="248"/>
      <c r="FL169" s="248"/>
      <c r="FM169" s="248"/>
      <c r="FN169" s="248"/>
      <c r="FO169" s="248"/>
      <c r="FP169" s="248"/>
      <c r="FQ169" s="248"/>
      <c r="FR169" s="248"/>
      <c r="FS169" s="248"/>
      <c r="FT169" s="248"/>
      <c r="FU169" s="248"/>
      <c r="FV169" s="248"/>
      <c r="FW169" s="248"/>
      <c r="FX169" s="248"/>
      <c r="FY169" s="248"/>
      <c r="FZ169" s="248"/>
      <c r="GA169" s="248"/>
      <c r="GB169" s="248"/>
      <c r="GC169" s="248"/>
      <c r="GD169" s="248"/>
      <c r="GE169" s="248"/>
      <c r="GF169" s="248"/>
      <c r="GG169" s="248"/>
      <c r="GH169" s="248"/>
      <c r="GI169" s="248"/>
      <c r="GJ169" s="248"/>
      <c r="GK169" s="248"/>
      <c r="GL169" s="248"/>
      <c r="GM169" s="248"/>
      <c r="GN169" s="248"/>
      <c r="GO169" s="248"/>
      <c r="GP169" s="248"/>
      <c r="GQ169" s="248"/>
      <c r="GR169" s="248"/>
      <c r="GS169" s="248"/>
      <c r="GT169" s="248"/>
      <c r="GU169" s="248"/>
      <c r="GV169" s="248"/>
      <c r="GW169" s="248"/>
      <c r="GX169" s="248"/>
      <c r="GY169" s="248"/>
      <c r="GZ169" s="248"/>
      <c r="HA169" s="248"/>
      <c r="HB169" s="248"/>
      <c r="HC169" s="248"/>
      <c r="HD169" s="248"/>
      <c r="HE169" s="248"/>
      <c r="HF169" s="248"/>
      <c r="HG169" s="248"/>
      <c r="HH169" s="248"/>
      <c r="HI169" s="248"/>
      <c r="HJ169" s="248"/>
      <c r="HK169" s="248"/>
      <c r="HL169" s="248"/>
      <c r="HM169" s="248"/>
      <c r="HN169" s="248"/>
      <c r="HO169" s="248"/>
      <c r="HP169" s="248"/>
      <c r="HQ169" s="248"/>
      <c r="HR169" s="248"/>
      <c r="HS169" s="248"/>
      <c r="HT169" s="248"/>
      <c r="HU169" s="248"/>
      <c r="HV169" s="248"/>
      <c r="HW169" s="248"/>
      <c r="HX169" s="248"/>
      <c r="HY169" s="248"/>
      <c r="HZ169" s="248"/>
      <c r="IA169" s="248"/>
      <c r="IB169" s="248"/>
      <c r="IC169" s="248"/>
      <c r="ID169" s="248"/>
      <c r="IE169" s="248"/>
      <c r="IF169" s="248"/>
      <c r="IG169" s="248"/>
      <c r="IH169" s="248"/>
      <c r="II169" s="248"/>
      <c r="IJ169" s="248"/>
      <c r="IK169" s="248"/>
      <c r="IL169" s="248"/>
      <c r="IM169" s="248"/>
      <c r="IN169" s="248"/>
      <c r="IO169" s="248"/>
      <c r="IP169" s="248"/>
      <c r="IQ169" s="248"/>
      <c r="IR169" s="248"/>
    </row>
    <row r="170" spans="1:252" s="416" customFormat="1" x14ac:dyDescent="0.3">
      <c r="A170" s="365"/>
      <c r="B170" s="358" t="s">
        <v>141</v>
      </c>
      <c r="C170" s="358"/>
      <c r="D170" s="358"/>
      <c r="E170" s="358"/>
      <c r="F170" s="358"/>
      <c r="G170" s="358"/>
      <c r="H170" s="358"/>
      <c r="I170" s="358"/>
      <c r="J170" s="358"/>
      <c r="K170" s="358"/>
      <c r="L170" s="358"/>
      <c r="M170" s="358"/>
      <c r="N170" s="358"/>
      <c r="O170" s="358"/>
      <c r="P170" s="358"/>
      <c r="Q170" s="358"/>
      <c r="R170" s="404">
        <f>+'Aug 17'!R173</f>
        <v>1376</v>
      </c>
      <c r="S170" s="361"/>
      <c r="T170" s="348"/>
      <c r="U170" s="349"/>
      <c r="V170" s="349"/>
      <c r="W170" s="349"/>
      <c r="X170" s="349"/>
      <c r="Y170" s="349"/>
      <c r="Z170" s="349"/>
      <c r="AA170" s="349"/>
      <c r="AB170" s="349"/>
      <c r="AC170" s="349"/>
      <c r="AD170" s="349"/>
      <c r="AE170" s="349"/>
      <c r="AF170" s="349"/>
      <c r="AG170" s="349"/>
      <c r="AH170" s="349"/>
      <c r="AI170" s="349"/>
      <c r="AJ170" s="349"/>
      <c r="AK170" s="349"/>
      <c r="AL170" s="349"/>
      <c r="AM170" s="349"/>
      <c r="AN170" s="349"/>
      <c r="AO170" s="349"/>
      <c r="AP170" s="349"/>
      <c r="AQ170" s="349"/>
      <c r="AR170" s="349"/>
      <c r="AS170" s="349"/>
      <c r="AT170" s="349"/>
      <c r="AU170" s="349"/>
      <c r="AV170" s="349"/>
      <c r="AW170" s="349"/>
      <c r="AX170" s="349"/>
      <c r="AY170" s="349"/>
      <c r="AZ170" s="349"/>
      <c r="BA170" s="349"/>
      <c r="BB170" s="349"/>
      <c r="BC170" s="349"/>
      <c r="BD170" s="349"/>
      <c r="BE170" s="349"/>
      <c r="BF170" s="349"/>
      <c r="BG170" s="349"/>
      <c r="BH170" s="349"/>
      <c r="BI170" s="349"/>
      <c r="BJ170" s="349"/>
      <c r="BK170" s="349"/>
      <c r="BL170" s="349"/>
      <c r="BM170" s="349"/>
      <c r="BN170" s="349"/>
      <c r="BO170" s="349"/>
      <c r="BP170" s="349"/>
      <c r="BQ170" s="349"/>
      <c r="BR170" s="349"/>
      <c r="BS170" s="349"/>
      <c r="BT170" s="349"/>
      <c r="BU170" s="349"/>
      <c r="BV170" s="349"/>
      <c r="BW170" s="349"/>
      <c r="BX170" s="349"/>
      <c r="BY170" s="349"/>
      <c r="BZ170" s="349"/>
      <c r="CA170" s="349"/>
      <c r="CB170" s="349"/>
      <c r="CC170" s="349"/>
      <c r="CD170" s="349"/>
      <c r="CE170" s="349"/>
      <c r="CF170" s="349"/>
      <c r="CG170" s="349"/>
      <c r="CH170" s="349"/>
      <c r="CI170" s="349"/>
      <c r="CJ170" s="349"/>
      <c r="CK170" s="349"/>
      <c r="CL170" s="349"/>
      <c r="CM170" s="349"/>
      <c r="CN170" s="349"/>
      <c r="CO170" s="349"/>
      <c r="CP170" s="349"/>
      <c r="CQ170" s="349"/>
      <c r="CR170" s="349"/>
      <c r="CS170" s="349"/>
      <c r="CT170" s="349"/>
      <c r="CU170" s="349"/>
      <c r="CV170" s="349"/>
      <c r="CW170" s="349"/>
      <c r="CX170" s="349"/>
      <c r="CY170" s="349"/>
      <c r="CZ170" s="349"/>
      <c r="DA170" s="349"/>
      <c r="DB170" s="349"/>
      <c r="DC170" s="349"/>
      <c r="DD170" s="349"/>
      <c r="DE170" s="349"/>
      <c r="DF170" s="349"/>
      <c r="DG170" s="349"/>
      <c r="DH170" s="349"/>
      <c r="DI170" s="349"/>
      <c r="DJ170" s="349"/>
      <c r="DK170" s="349"/>
      <c r="DL170" s="349"/>
      <c r="DM170" s="349"/>
      <c r="DN170" s="349"/>
      <c r="DO170" s="349"/>
      <c r="DP170" s="349"/>
      <c r="DQ170" s="349"/>
      <c r="DR170" s="349"/>
      <c r="DS170" s="349"/>
      <c r="DT170" s="349"/>
      <c r="DU170" s="349"/>
      <c r="DV170" s="349"/>
      <c r="DW170" s="349"/>
      <c r="DX170" s="349"/>
      <c r="DY170" s="349"/>
      <c r="DZ170" s="349"/>
      <c r="EA170" s="349"/>
      <c r="EB170" s="349"/>
      <c r="EC170" s="349"/>
      <c r="ED170" s="349"/>
      <c r="EE170" s="349"/>
      <c r="EF170" s="349"/>
      <c r="EG170" s="349"/>
      <c r="EH170" s="349"/>
      <c r="EI170" s="349"/>
      <c r="EJ170" s="349"/>
      <c r="EK170" s="349"/>
      <c r="EL170" s="349"/>
      <c r="EM170" s="349"/>
      <c r="EN170" s="349"/>
      <c r="EO170" s="349"/>
      <c r="EP170" s="349"/>
      <c r="EQ170" s="349"/>
      <c r="ER170" s="349"/>
      <c r="ES170" s="349"/>
      <c r="ET170" s="349"/>
      <c r="EU170" s="349"/>
      <c r="EV170" s="349"/>
      <c r="EW170" s="349"/>
      <c r="EX170" s="349"/>
      <c r="EY170" s="349"/>
      <c r="EZ170" s="349"/>
      <c r="FA170" s="349"/>
      <c r="FB170" s="349"/>
      <c r="FC170" s="349"/>
      <c r="FD170" s="349"/>
      <c r="FE170" s="349"/>
      <c r="FF170" s="349"/>
      <c r="FG170" s="349"/>
      <c r="FH170" s="349"/>
      <c r="FI170" s="349"/>
      <c r="FJ170" s="349"/>
      <c r="FK170" s="349"/>
      <c r="FL170" s="349"/>
      <c r="FM170" s="349"/>
      <c r="FN170" s="349"/>
      <c r="FO170" s="349"/>
      <c r="FP170" s="349"/>
      <c r="FQ170" s="349"/>
      <c r="FR170" s="349"/>
      <c r="FS170" s="349"/>
      <c r="FT170" s="349"/>
      <c r="FU170" s="349"/>
      <c r="FV170" s="349"/>
      <c r="FW170" s="349"/>
      <c r="FX170" s="349"/>
      <c r="FY170" s="349"/>
      <c r="FZ170" s="349"/>
      <c r="GA170" s="349"/>
      <c r="GB170" s="349"/>
      <c r="GC170" s="349"/>
      <c r="GD170" s="349"/>
      <c r="GE170" s="349"/>
      <c r="GF170" s="349"/>
      <c r="GG170" s="349"/>
      <c r="GH170" s="349"/>
      <c r="GI170" s="349"/>
      <c r="GJ170" s="349"/>
      <c r="GK170" s="349"/>
      <c r="GL170" s="349"/>
      <c r="GM170" s="349"/>
      <c r="GN170" s="349"/>
      <c r="GO170" s="349"/>
      <c r="GP170" s="349"/>
      <c r="GQ170" s="349"/>
      <c r="GR170" s="349"/>
      <c r="GS170" s="349"/>
      <c r="GT170" s="349"/>
      <c r="GU170" s="349"/>
      <c r="GV170" s="349"/>
      <c r="GW170" s="349"/>
      <c r="GX170" s="349"/>
      <c r="GY170" s="349"/>
      <c r="GZ170" s="349"/>
      <c r="HA170" s="349"/>
      <c r="HB170" s="349"/>
      <c r="HC170" s="349"/>
      <c r="HD170" s="349"/>
      <c r="HE170" s="349"/>
      <c r="HF170" s="349"/>
      <c r="HG170" s="349"/>
      <c r="HH170" s="349"/>
      <c r="HI170" s="349"/>
      <c r="HJ170" s="349"/>
      <c r="HK170" s="349"/>
      <c r="HL170" s="349"/>
      <c r="HM170" s="349"/>
      <c r="HN170" s="349"/>
      <c r="HO170" s="349"/>
      <c r="HP170" s="349"/>
      <c r="HQ170" s="349"/>
      <c r="HR170" s="349"/>
      <c r="HS170" s="349"/>
      <c r="HT170" s="349"/>
      <c r="HU170" s="349"/>
      <c r="HV170" s="349"/>
      <c r="HW170" s="349"/>
      <c r="HX170" s="349"/>
      <c r="HY170" s="349"/>
      <c r="HZ170" s="349"/>
      <c r="IA170" s="349"/>
      <c r="IB170" s="349"/>
      <c r="IC170" s="349"/>
      <c r="ID170" s="349"/>
      <c r="IE170" s="349"/>
      <c r="IF170" s="349"/>
      <c r="IG170" s="349"/>
      <c r="IH170" s="349"/>
      <c r="II170" s="349"/>
      <c r="IJ170" s="349"/>
      <c r="IK170" s="349"/>
      <c r="IL170" s="349"/>
      <c r="IM170" s="349"/>
      <c r="IN170" s="349"/>
      <c r="IO170" s="349"/>
      <c r="IP170" s="349"/>
      <c r="IQ170" s="349"/>
      <c r="IR170" s="349"/>
    </row>
    <row r="171" spans="1:252" s="416" customFormat="1" x14ac:dyDescent="0.3">
      <c r="A171" s="365"/>
      <c r="B171" s="358" t="s">
        <v>288</v>
      </c>
      <c r="C171" s="358"/>
      <c r="D171" s="358"/>
      <c r="E171" s="358"/>
      <c r="F171" s="358"/>
      <c r="G171" s="358"/>
      <c r="H171" s="358"/>
      <c r="I171" s="358"/>
      <c r="J171" s="358"/>
      <c r="K171" s="358"/>
      <c r="L171" s="358"/>
      <c r="M171" s="358"/>
      <c r="N171" s="358"/>
      <c r="O171" s="358"/>
      <c r="P171" s="358"/>
      <c r="Q171" s="358"/>
      <c r="R171" s="404">
        <v>0</v>
      </c>
      <c r="S171" s="361"/>
      <c r="T171" s="348"/>
      <c r="U171" s="349"/>
      <c r="V171" s="349"/>
      <c r="W171" s="349"/>
      <c r="X171" s="349"/>
      <c r="Y171" s="349"/>
      <c r="Z171" s="349"/>
      <c r="AA171" s="349"/>
      <c r="AB171" s="349"/>
      <c r="AC171" s="349"/>
      <c r="AD171" s="349"/>
      <c r="AE171" s="349"/>
      <c r="AF171" s="349"/>
      <c r="AG171" s="349"/>
      <c r="AH171" s="349"/>
      <c r="AI171" s="349"/>
      <c r="AJ171" s="349"/>
      <c r="AK171" s="349"/>
      <c r="AL171" s="349"/>
      <c r="AM171" s="349"/>
      <c r="AN171" s="349"/>
      <c r="AO171" s="349"/>
      <c r="AP171" s="349"/>
      <c r="AQ171" s="349"/>
      <c r="AR171" s="349"/>
      <c r="AS171" s="349"/>
      <c r="AT171" s="349"/>
      <c r="AU171" s="349"/>
      <c r="AV171" s="349"/>
      <c r="AW171" s="349"/>
      <c r="AX171" s="349"/>
      <c r="AY171" s="349"/>
      <c r="AZ171" s="349"/>
      <c r="BA171" s="349"/>
      <c r="BB171" s="349"/>
      <c r="BC171" s="349"/>
      <c r="BD171" s="349"/>
      <c r="BE171" s="349"/>
      <c r="BF171" s="349"/>
      <c r="BG171" s="349"/>
      <c r="BH171" s="349"/>
      <c r="BI171" s="349"/>
      <c r="BJ171" s="349"/>
      <c r="BK171" s="349"/>
      <c r="BL171" s="349"/>
      <c r="BM171" s="349"/>
      <c r="BN171" s="349"/>
      <c r="BO171" s="349"/>
      <c r="BP171" s="349"/>
      <c r="BQ171" s="349"/>
      <c r="BR171" s="349"/>
      <c r="BS171" s="349"/>
      <c r="BT171" s="349"/>
      <c r="BU171" s="349"/>
      <c r="BV171" s="349"/>
      <c r="BW171" s="349"/>
      <c r="BX171" s="349"/>
      <c r="BY171" s="349"/>
      <c r="BZ171" s="349"/>
      <c r="CA171" s="349"/>
      <c r="CB171" s="349"/>
      <c r="CC171" s="349"/>
      <c r="CD171" s="349"/>
      <c r="CE171" s="349"/>
      <c r="CF171" s="349"/>
      <c r="CG171" s="349"/>
      <c r="CH171" s="349"/>
      <c r="CI171" s="349"/>
      <c r="CJ171" s="349"/>
      <c r="CK171" s="349"/>
      <c r="CL171" s="349"/>
      <c r="CM171" s="349"/>
      <c r="CN171" s="349"/>
      <c r="CO171" s="349"/>
      <c r="CP171" s="349"/>
      <c r="CQ171" s="349"/>
      <c r="CR171" s="349"/>
      <c r="CS171" s="349"/>
      <c r="CT171" s="349"/>
      <c r="CU171" s="349"/>
      <c r="CV171" s="349"/>
      <c r="CW171" s="349"/>
      <c r="CX171" s="349"/>
      <c r="CY171" s="349"/>
      <c r="CZ171" s="349"/>
      <c r="DA171" s="349"/>
      <c r="DB171" s="349"/>
      <c r="DC171" s="349"/>
      <c r="DD171" s="349"/>
      <c r="DE171" s="349"/>
      <c r="DF171" s="349"/>
      <c r="DG171" s="349"/>
      <c r="DH171" s="349"/>
      <c r="DI171" s="349"/>
      <c r="DJ171" s="349"/>
      <c r="DK171" s="349"/>
      <c r="DL171" s="349"/>
      <c r="DM171" s="349"/>
      <c r="DN171" s="349"/>
      <c r="DO171" s="349"/>
      <c r="DP171" s="349"/>
      <c r="DQ171" s="349"/>
      <c r="DR171" s="349"/>
      <c r="DS171" s="349"/>
      <c r="DT171" s="349"/>
      <c r="DU171" s="349"/>
      <c r="DV171" s="349"/>
      <c r="DW171" s="349"/>
      <c r="DX171" s="349"/>
      <c r="DY171" s="349"/>
      <c r="DZ171" s="349"/>
      <c r="EA171" s="349"/>
      <c r="EB171" s="349"/>
      <c r="EC171" s="349"/>
      <c r="ED171" s="349"/>
      <c r="EE171" s="349"/>
      <c r="EF171" s="349"/>
      <c r="EG171" s="349"/>
      <c r="EH171" s="349"/>
      <c r="EI171" s="349"/>
      <c r="EJ171" s="349"/>
      <c r="EK171" s="349"/>
      <c r="EL171" s="349"/>
      <c r="EM171" s="349"/>
      <c r="EN171" s="349"/>
      <c r="EO171" s="349"/>
      <c r="EP171" s="349"/>
      <c r="EQ171" s="349"/>
      <c r="ER171" s="349"/>
      <c r="ES171" s="349"/>
      <c r="ET171" s="349"/>
      <c r="EU171" s="349"/>
      <c r="EV171" s="349"/>
      <c r="EW171" s="349"/>
      <c r="EX171" s="349"/>
      <c r="EY171" s="349"/>
      <c r="EZ171" s="349"/>
      <c r="FA171" s="349"/>
      <c r="FB171" s="349"/>
      <c r="FC171" s="349"/>
      <c r="FD171" s="349"/>
      <c r="FE171" s="349"/>
      <c r="FF171" s="349"/>
      <c r="FG171" s="349"/>
      <c r="FH171" s="349"/>
      <c r="FI171" s="349"/>
      <c r="FJ171" s="349"/>
      <c r="FK171" s="349"/>
      <c r="FL171" s="349"/>
      <c r="FM171" s="349"/>
      <c r="FN171" s="349"/>
      <c r="FO171" s="349"/>
      <c r="FP171" s="349"/>
      <c r="FQ171" s="349"/>
      <c r="FR171" s="349"/>
      <c r="FS171" s="349"/>
      <c r="FT171" s="349"/>
      <c r="FU171" s="349"/>
      <c r="FV171" s="349"/>
      <c r="FW171" s="349"/>
      <c r="FX171" s="349"/>
      <c r="FY171" s="349"/>
      <c r="FZ171" s="349"/>
      <c r="GA171" s="349"/>
      <c r="GB171" s="349"/>
      <c r="GC171" s="349"/>
      <c r="GD171" s="349"/>
      <c r="GE171" s="349"/>
      <c r="GF171" s="349"/>
      <c r="GG171" s="349"/>
      <c r="GH171" s="349"/>
      <c r="GI171" s="349"/>
      <c r="GJ171" s="349"/>
      <c r="GK171" s="349"/>
      <c r="GL171" s="349"/>
      <c r="GM171" s="349"/>
      <c r="GN171" s="349"/>
      <c r="GO171" s="349"/>
      <c r="GP171" s="349"/>
      <c r="GQ171" s="349"/>
      <c r="GR171" s="349"/>
      <c r="GS171" s="349"/>
      <c r="GT171" s="349"/>
      <c r="GU171" s="349"/>
      <c r="GV171" s="349"/>
      <c r="GW171" s="349"/>
      <c r="GX171" s="349"/>
      <c r="GY171" s="349"/>
      <c r="GZ171" s="349"/>
      <c r="HA171" s="349"/>
      <c r="HB171" s="349"/>
      <c r="HC171" s="349"/>
      <c r="HD171" s="349"/>
      <c r="HE171" s="349"/>
      <c r="HF171" s="349"/>
      <c r="HG171" s="349"/>
      <c r="HH171" s="349"/>
      <c r="HI171" s="349"/>
      <c r="HJ171" s="349"/>
      <c r="HK171" s="349"/>
      <c r="HL171" s="349"/>
      <c r="HM171" s="349"/>
      <c r="HN171" s="349"/>
      <c r="HO171" s="349"/>
      <c r="HP171" s="349"/>
      <c r="HQ171" s="349"/>
      <c r="HR171" s="349"/>
      <c r="HS171" s="349"/>
      <c r="HT171" s="349"/>
      <c r="HU171" s="349"/>
      <c r="HV171" s="349"/>
      <c r="HW171" s="349"/>
      <c r="HX171" s="349"/>
      <c r="HY171" s="349"/>
      <c r="HZ171" s="349"/>
      <c r="IA171" s="349"/>
      <c r="IB171" s="349"/>
      <c r="IC171" s="349"/>
      <c r="ID171" s="349"/>
      <c r="IE171" s="349"/>
      <c r="IF171" s="349"/>
      <c r="IG171" s="349"/>
      <c r="IH171" s="349"/>
      <c r="II171" s="349"/>
      <c r="IJ171" s="349"/>
      <c r="IK171" s="349"/>
      <c r="IL171" s="349"/>
      <c r="IM171" s="349"/>
      <c r="IN171" s="349"/>
      <c r="IO171" s="349"/>
      <c r="IP171" s="349"/>
      <c r="IQ171" s="349"/>
      <c r="IR171" s="349"/>
    </row>
    <row r="172" spans="1:252" s="416" customFormat="1" x14ac:dyDescent="0.3">
      <c r="A172" s="365"/>
      <c r="B172" s="358" t="s">
        <v>144</v>
      </c>
      <c r="C172" s="358"/>
      <c r="D172" s="358"/>
      <c r="E172" s="358"/>
      <c r="F172" s="358"/>
      <c r="G172" s="358"/>
      <c r="H172" s="358"/>
      <c r="I172" s="358"/>
      <c r="J172" s="358"/>
      <c r="K172" s="358"/>
      <c r="L172" s="358"/>
      <c r="M172" s="358"/>
      <c r="N172" s="358"/>
      <c r="O172" s="358"/>
      <c r="P172" s="358"/>
      <c r="Q172" s="358"/>
      <c r="R172" s="404">
        <f>+R92</f>
        <v>124</v>
      </c>
      <c r="S172" s="361"/>
      <c r="T172" s="348"/>
      <c r="U172" s="349"/>
      <c r="V172" s="349"/>
      <c r="W172" s="349"/>
      <c r="X172" s="349"/>
      <c r="Y172" s="349"/>
      <c r="Z172" s="349"/>
      <c r="AA172" s="349"/>
      <c r="AB172" s="349"/>
      <c r="AC172" s="349"/>
      <c r="AD172" s="349"/>
      <c r="AE172" s="349"/>
      <c r="AF172" s="349"/>
      <c r="AG172" s="349"/>
      <c r="AH172" s="349"/>
      <c r="AI172" s="349"/>
      <c r="AJ172" s="349"/>
      <c r="AK172" s="349"/>
      <c r="AL172" s="349"/>
      <c r="AM172" s="349"/>
      <c r="AN172" s="349"/>
      <c r="AO172" s="349"/>
      <c r="AP172" s="349"/>
      <c r="AQ172" s="349"/>
      <c r="AR172" s="349"/>
      <c r="AS172" s="349"/>
      <c r="AT172" s="349"/>
      <c r="AU172" s="349"/>
      <c r="AV172" s="349"/>
      <c r="AW172" s="349"/>
      <c r="AX172" s="349"/>
      <c r="AY172" s="349"/>
      <c r="AZ172" s="349"/>
      <c r="BA172" s="349"/>
      <c r="BB172" s="349"/>
      <c r="BC172" s="349"/>
      <c r="BD172" s="349"/>
      <c r="BE172" s="349"/>
      <c r="BF172" s="349"/>
      <c r="BG172" s="349"/>
      <c r="BH172" s="349"/>
      <c r="BI172" s="349"/>
      <c r="BJ172" s="349"/>
      <c r="BK172" s="349"/>
      <c r="BL172" s="349"/>
      <c r="BM172" s="349"/>
      <c r="BN172" s="349"/>
      <c r="BO172" s="349"/>
      <c r="BP172" s="349"/>
      <c r="BQ172" s="349"/>
      <c r="BR172" s="349"/>
      <c r="BS172" s="349"/>
      <c r="BT172" s="349"/>
      <c r="BU172" s="349"/>
      <c r="BV172" s="349"/>
      <c r="BW172" s="349"/>
      <c r="BX172" s="349"/>
      <c r="BY172" s="349"/>
      <c r="BZ172" s="349"/>
      <c r="CA172" s="349"/>
      <c r="CB172" s="349"/>
      <c r="CC172" s="349"/>
      <c r="CD172" s="349"/>
      <c r="CE172" s="349"/>
      <c r="CF172" s="349"/>
      <c r="CG172" s="349"/>
      <c r="CH172" s="349"/>
      <c r="CI172" s="349"/>
      <c r="CJ172" s="349"/>
      <c r="CK172" s="349"/>
      <c r="CL172" s="349"/>
      <c r="CM172" s="349"/>
      <c r="CN172" s="349"/>
      <c r="CO172" s="349"/>
      <c r="CP172" s="349"/>
      <c r="CQ172" s="349"/>
      <c r="CR172" s="349"/>
      <c r="CS172" s="349"/>
      <c r="CT172" s="349"/>
      <c r="CU172" s="349"/>
      <c r="CV172" s="349"/>
      <c r="CW172" s="349"/>
      <c r="CX172" s="349"/>
      <c r="CY172" s="349"/>
      <c r="CZ172" s="349"/>
      <c r="DA172" s="349"/>
      <c r="DB172" s="349"/>
      <c r="DC172" s="349"/>
      <c r="DD172" s="349"/>
      <c r="DE172" s="349"/>
      <c r="DF172" s="349"/>
      <c r="DG172" s="349"/>
      <c r="DH172" s="349"/>
      <c r="DI172" s="349"/>
      <c r="DJ172" s="349"/>
      <c r="DK172" s="349"/>
      <c r="DL172" s="349"/>
      <c r="DM172" s="349"/>
      <c r="DN172" s="349"/>
      <c r="DO172" s="349"/>
      <c r="DP172" s="349"/>
      <c r="DQ172" s="349"/>
      <c r="DR172" s="349"/>
      <c r="DS172" s="349"/>
      <c r="DT172" s="349"/>
      <c r="DU172" s="349"/>
      <c r="DV172" s="349"/>
      <c r="DW172" s="349"/>
      <c r="DX172" s="349"/>
      <c r="DY172" s="349"/>
      <c r="DZ172" s="349"/>
      <c r="EA172" s="349"/>
      <c r="EB172" s="349"/>
      <c r="EC172" s="349"/>
      <c r="ED172" s="349"/>
      <c r="EE172" s="349"/>
      <c r="EF172" s="349"/>
      <c r="EG172" s="349"/>
      <c r="EH172" s="349"/>
      <c r="EI172" s="349"/>
      <c r="EJ172" s="349"/>
      <c r="EK172" s="349"/>
      <c r="EL172" s="349"/>
      <c r="EM172" s="349"/>
      <c r="EN172" s="349"/>
      <c r="EO172" s="349"/>
      <c r="EP172" s="349"/>
      <c r="EQ172" s="349"/>
      <c r="ER172" s="349"/>
      <c r="ES172" s="349"/>
      <c r="ET172" s="349"/>
      <c r="EU172" s="349"/>
      <c r="EV172" s="349"/>
      <c r="EW172" s="349"/>
      <c r="EX172" s="349"/>
      <c r="EY172" s="349"/>
      <c r="EZ172" s="349"/>
      <c r="FA172" s="349"/>
      <c r="FB172" s="349"/>
      <c r="FC172" s="349"/>
      <c r="FD172" s="349"/>
      <c r="FE172" s="349"/>
      <c r="FF172" s="349"/>
      <c r="FG172" s="349"/>
      <c r="FH172" s="349"/>
      <c r="FI172" s="349"/>
      <c r="FJ172" s="349"/>
      <c r="FK172" s="349"/>
      <c r="FL172" s="349"/>
      <c r="FM172" s="349"/>
      <c r="FN172" s="349"/>
      <c r="FO172" s="349"/>
      <c r="FP172" s="349"/>
      <c r="FQ172" s="349"/>
      <c r="FR172" s="349"/>
      <c r="FS172" s="349"/>
      <c r="FT172" s="349"/>
      <c r="FU172" s="349"/>
      <c r="FV172" s="349"/>
      <c r="FW172" s="349"/>
      <c r="FX172" s="349"/>
      <c r="FY172" s="349"/>
      <c r="FZ172" s="349"/>
      <c r="GA172" s="349"/>
      <c r="GB172" s="349"/>
      <c r="GC172" s="349"/>
      <c r="GD172" s="349"/>
      <c r="GE172" s="349"/>
      <c r="GF172" s="349"/>
      <c r="GG172" s="349"/>
      <c r="GH172" s="349"/>
      <c r="GI172" s="349"/>
      <c r="GJ172" s="349"/>
      <c r="GK172" s="349"/>
      <c r="GL172" s="349"/>
      <c r="GM172" s="349"/>
      <c r="GN172" s="349"/>
      <c r="GO172" s="349"/>
      <c r="GP172" s="349"/>
      <c r="GQ172" s="349"/>
      <c r="GR172" s="349"/>
      <c r="GS172" s="349"/>
      <c r="GT172" s="349"/>
      <c r="GU172" s="349"/>
      <c r="GV172" s="349"/>
      <c r="GW172" s="349"/>
      <c r="GX172" s="349"/>
      <c r="GY172" s="349"/>
      <c r="GZ172" s="349"/>
      <c r="HA172" s="349"/>
      <c r="HB172" s="349"/>
      <c r="HC172" s="349"/>
      <c r="HD172" s="349"/>
      <c r="HE172" s="349"/>
      <c r="HF172" s="349"/>
      <c r="HG172" s="349"/>
      <c r="HH172" s="349"/>
      <c r="HI172" s="349"/>
      <c r="HJ172" s="349"/>
      <c r="HK172" s="349"/>
      <c r="HL172" s="349"/>
      <c r="HM172" s="349"/>
      <c r="HN172" s="349"/>
      <c r="HO172" s="349"/>
      <c r="HP172" s="349"/>
      <c r="HQ172" s="349"/>
      <c r="HR172" s="349"/>
      <c r="HS172" s="349"/>
      <c r="HT172" s="349"/>
      <c r="HU172" s="349"/>
      <c r="HV172" s="349"/>
      <c r="HW172" s="349"/>
      <c r="HX172" s="349"/>
      <c r="HY172" s="349"/>
      <c r="HZ172" s="349"/>
      <c r="IA172" s="349"/>
      <c r="IB172" s="349"/>
      <c r="IC172" s="349"/>
      <c r="ID172" s="349"/>
      <c r="IE172" s="349"/>
      <c r="IF172" s="349"/>
      <c r="IG172" s="349"/>
      <c r="IH172" s="349"/>
      <c r="II172" s="349"/>
      <c r="IJ172" s="349"/>
      <c r="IK172" s="349"/>
      <c r="IL172" s="349"/>
      <c r="IM172" s="349"/>
      <c r="IN172" s="349"/>
      <c r="IO172" s="349"/>
      <c r="IP172" s="349"/>
      <c r="IQ172" s="349"/>
      <c r="IR172" s="349"/>
    </row>
    <row r="173" spans="1:252" s="416" customFormat="1" x14ac:dyDescent="0.3">
      <c r="A173" s="365"/>
      <c r="B173" s="358" t="s">
        <v>142</v>
      </c>
      <c r="C173" s="358"/>
      <c r="D173" s="358"/>
      <c r="E173" s="358"/>
      <c r="F173" s="358"/>
      <c r="G173" s="358"/>
      <c r="H173" s="358"/>
      <c r="I173" s="358"/>
      <c r="J173" s="358"/>
      <c r="K173" s="358"/>
      <c r="L173" s="358"/>
      <c r="M173" s="358"/>
      <c r="N173" s="358"/>
      <c r="O173" s="358"/>
      <c r="P173" s="358"/>
      <c r="Q173" s="358"/>
      <c r="R173" s="404">
        <f>R170+R171-R172</f>
        <v>1252</v>
      </c>
      <c r="S173" s="361"/>
      <c r="T173" s="348"/>
      <c r="U173" s="349"/>
      <c r="V173" s="349"/>
      <c r="W173" s="349"/>
      <c r="X173" s="349"/>
      <c r="Y173" s="349"/>
      <c r="Z173" s="349"/>
      <c r="AA173" s="349"/>
      <c r="AB173" s="349"/>
      <c r="AC173" s="349"/>
      <c r="AD173" s="349"/>
      <c r="AE173" s="349"/>
      <c r="AF173" s="349"/>
      <c r="AG173" s="349"/>
      <c r="AH173" s="349"/>
      <c r="AI173" s="349"/>
      <c r="AJ173" s="349"/>
      <c r="AK173" s="349"/>
      <c r="AL173" s="349"/>
      <c r="AM173" s="349"/>
      <c r="AN173" s="349"/>
      <c r="AO173" s="349"/>
      <c r="AP173" s="349"/>
      <c r="AQ173" s="349"/>
      <c r="AR173" s="349"/>
      <c r="AS173" s="349"/>
      <c r="AT173" s="349"/>
      <c r="AU173" s="349"/>
      <c r="AV173" s="349"/>
      <c r="AW173" s="349"/>
      <c r="AX173" s="349"/>
      <c r="AY173" s="349"/>
      <c r="AZ173" s="349"/>
      <c r="BA173" s="349"/>
      <c r="BB173" s="349"/>
      <c r="BC173" s="349"/>
      <c r="BD173" s="349"/>
      <c r="BE173" s="349"/>
      <c r="BF173" s="349"/>
      <c r="BG173" s="349"/>
      <c r="BH173" s="349"/>
      <c r="BI173" s="349"/>
      <c r="BJ173" s="349"/>
      <c r="BK173" s="349"/>
      <c r="BL173" s="349"/>
      <c r="BM173" s="349"/>
      <c r="BN173" s="349"/>
      <c r="BO173" s="349"/>
      <c r="BP173" s="349"/>
      <c r="BQ173" s="349"/>
      <c r="BR173" s="349"/>
      <c r="BS173" s="349"/>
      <c r="BT173" s="349"/>
      <c r="BU173" s="349"/>
      <c r="BV173" s="349"/>
      <c r="BW173" s="349"/>
      <c r="BX173" s="349"/>
      <c r="BY173" s="349"/>
      <c r="BZ173" s="349"/>
      <c r="CA173" s="349"/>
      <c r="CB173" s="349"/>
      <c r="CC173" s="349"/>
      <c r="CD173" s="349"/>
      <c r="CE173" s="349"/>
      <c r="CF173" s="349"/>
      <c r="CG173" s="349"/>
      <c r="CH173" s="349"/>
      <c r="CI173" s="349"/>
      <c r="CJ173" s="349"/>
      <c r="CK173" s="349"/>
      <c r="CL173" s="349"/>
      <c r="CM173" s="349"/>
      <c r="CN173" s="349"/>
      <c r="CO173" s="349"/>
      <c r="CP173" s="349"/>
      <c r="CQ173" s="349"/>
      <c r="CR173" s="349"/>
      <c r="CS173" s="349"/>
      <c r="CT173" s="349"/>
      <c r="CU173" s="349"/>
      <c r="CV173" s="349"/>
      <c r="CW173" s="349"/>
      <c r="CX173" s="349"/>
      <c r="CY173" s="349"/>
      <c r="CZ173" s="349"/>
      <c r="DA173" s="349"/>
      <c r="DB173" s="349"/>
      <c r="DC173" s="349"/>
      <c r="DD173" s="349"/>
      <c r="DE173" s="349"/>
      <c r="DF173" s="349"/>
      <c r="DG173" s="349"/>
      <c r="DH173" s="349"/>
      <c r="DI173" s="349"/>
      <c r="DJ173" s="349"/>
      <c r="DK173" s="349"/>
      <c r="DL173" s="349"/>
      <c r="DM173" s="349"/>
      <c r="DN173" s="349"/>
      <c r="DO173" s="349"/>
      <c r="DP173" s="349"/>
      <c r="DQ173" s="349"/>
      <c r="DR173" s="349"/>
      <c r="DS173" s="349"/>
      <c r="DT173" s="349"/>
      <c r="DU173" s="349"/>
      <c r="DV173" s="349"/>
      <c r="DW173" s="349"/>
      <c r="DX173" s="349"/>
      <c r="DY173" s="349"/>
      <c r="DZ173" s="349"/>
      <c r="EA173" s="349"/>
      <c r="EB173" s="349"/>
      <c r="EC173" s="349"/>
      <c r="ED173" s="349"/>
      <c r="EE173" s="349"/>
      <c r="EF173" s="349"/>
      <c r="EG173" s="349"/>
      <c r="EH173" s="349"/>
      <c r="EI173" s="349"/>
      <c r="EJ173" s="349"/>
      <c r="EK173" s="349"/>
      <c r="EL173" s="349"/>
      <c r="EM173" s="349"/>
      <c r="EN173" s="349"/>
      <c r="EO173" s="349"/>
      <c r="EP173" s="349"/>
      <c r="EQ173" s="349"/>
      <c r="ER173" s="349"/>
      <c r="ES173" s="349"/>
      <c r="ET173" s="349"/>
      <c r="EU173" s="349"/>
      <c r="EV173" s="349"/>
      <c r="EW173" s="349"/>
      <c r="EX173" s="349"/>
      <c r="EY173" s="349"/>
      <c r="EZ173" s="349"/>
      <c r="FA173" s="349"/>
      <c r="FB173" s="349"/>
      <c r="FC173" s="349"/>
      <c r="FD173" s="349"/>
      <c r="FE173" s="349"/>
      <c r="FF173" s="349"/>
      <c r="FG173" s="349"/>
      <c r="FH173" s="349"/>
      <c r="FI173" s="349"/>
      <c r="FJ173" s="349"/>
      <c r="FK173" s="349"/>
      <c r="FL173" s="349"/>
      <c r="FM173" s="349"/>
      <c r="FN173" s="349"/>
      <c r="FO173" s="349"/>
      <c r="FP173" s="349"/>
      <c r="FQ173" s="349"/>
      <c r="FR173" s="349"/>
      <c r="FS173" s="349"/>
      <c r="FT173" s="349"/>
      <c r="FU173" s="349"/>
      <c r="FV173" s="349"/>
      <c r="FW173" s="349"/>
      <c r="FX173" s="349"/>
      <c r="FY173" s="349"/>
      <c r="FZ173" s="349"/>
      <c r="GA173" s="349"/>
      <c r="GB173" s="349"/>
      <c r="GC173" s="349"/>
      <c r="GD173" s="349"/>
      <c r="GE173" s="349"/>
      <c r="GF173" s="349"/>
      <c r="GG173" s="349"/>
      <c r="GH173" s="349"/>
      <c r="GI173" s="349"/>
      <c r="GJ173" s="349"/>
      <c r="GK173" s="349"/>
      <c r="GL173" s="349"/>
      <c r="GM173" s="349"/>
      <c r="GN173" s="349"/>
      <c r="GO173" s="349"/>
      <c r="GP173" s="349"/>
      <c r="GQ173" s="349"/>
      <c r="GR173" s="349"/>
      <c r="GS173" s="349"/>
      <c r="GT173" s="349"/>
      <c r="GU173" s="349"/>
      <c r="GV173" s="349"/>
      <c r="GW173" s="349"/>
      <c r="GX173" s="349"/>
      <c r="GY173" s="349"/>
      <c r="GZ173" s="349"/>
      <c r="HA173" s="349"/>
      <c r="HB173" s="349"/>
      <c r="HC173" s="349"/>
      <c r="HD173" s="349"/>
      <c r="HE173" s="349"/>
      <c r="HF173" s="349"/>
      <c r="HG173" s="349"/>
      <c r="HH173" s="349"/>
      <c r="HI173" s="349"/>
      <c r="HJ173" s="349"/>
      <c r="HK173" s="349"/>
      <c r="HL173" s="349"/>
      <c r="HM173" s="349"/>
      <c r="HN173" s="349"/>
      <c r="HO173" s="349"/>
      <c r="HP173" s="349"/>
      <c r="HQ173" s="349"/>
      <c r="HR173" s="349"/>
      <c r="HS173" s="349"/>
      <c r="HT173" s="349"/>
      <c r="HU173" s="349"/>
      <c r="HV173" s="349"/>
      <c r="HW173" s="349"/>
      <c r="HX173" s="349"/>
      <c r="HY173" s="349"/>
      <c r="HZ173" s="349"/>
      <c r="IA173" s="349"/>
      <c r="IB173" s="349"/>
      <c r="IC173" s="349"/>
      <c r="ID173" s="349"/>
      <c r="IE173" s="349"/>
      <c r="IF173" s="349"/>
      <c r="IG173" s="349"/>
      <c r="IH173" s="349"/>
      <c r="II173" s="349"/>
      <c r="IJ173" s="349"/>
      <c r="IK173" s="349"/>
      <c r="IL173" s="349"/>
      <c r="IM173" s="349"/>
      <c r="IN173" s="349"/>
      <c r="IO173" s="349"/>
      <c r="IP173" s="349"/>
      <c r="IQ173" s="349"/>
      <c r="IR173" s="349"/>
    </row>
    <row r="174" spans="1:252" s="304" customFormat="1" ht="16.2" thickBot="1" x14ac:dyDescent="0.35">
      <c r="A174" s="278"/>
      <c r="B174" s="277"/>
      <c r="C174" s="277"/>
      <c r="D174" s="277"/>
      <c r="E174" s="277"/>
      <c r="F174" s="277"/>
      <c r="G174" s="277"/>
      <c r="H174" s="277"/>
      <c r="I174" s="277"/>
      <c r="J174" s="277"/>
      <c r="K174" s="277"/>
      <c r="L174" s="277"/>
      <c r="M174" s="277"/>
      <c r="N174" s="277"/>
      <c r="O174" s="277"/>
      <c r="P174" s="277"/>
      <c r="Q174" s="277"/>
      <c r="R174" s="297"/>
      <c r="S174" s="252"/>
      <c r="T174" s="247"/>
      <c r="U174" s="248"/>
      <c r="V174" s="248"/>
      <c r="W174" s="248"/>
      <c r="X174" s="248"/>
      <c r="Y174" s="248"/>
      <c r="Z174" s="248"/>
      <c r="AA174" s="248"/>
      <c r="AB174" s="248"/>
      <c r="AC174" s="248"/>
      <c r="AD174" s="248"/>
      <c r="AE174" s="248"/>
      <c r="AF174" s="248"/>
      <c r="AG174" s="248"/>
      <c r="AH174" s="248"/>
      <c r="AI174" s="248"/>
      <c r="AJ174" s="248"/>
      <c r="AK174" s="248"/>
      <c r="AL174" s="248"/>
      <c r="AM174" s="248"/>
      <c r="AN174" s="248"/>
      <c r="AO174" s="248"/>
      <c r="AP174" s="248"/>
      <c r="AQ174" s="248"/>
      <c r="AR174" s="248"/>
      <c r="AS174" s="248"/>
      <c r="AT174" s="248"/>
      <c r="AU174" s="248"/>
      <c r="AV174" s="248"/>
      <c r="AW174" s="248"/>
      <c r="AX174" s="248"/>
      <c r="AY174" s="248"/>
      <c r="AZ174" s="248"/>
      <c r="BA174" s="248"/>
      <c r="BB174" s="248"/>
      <c r="BC174" s="248"/>
      <c r="BD174" s="248"/>
      <c r="BE174" s="248"/>
      <c r="BF174" s="248"/>
      <c r="BG174" s="248"/>
      <c r="BH174" s="248"/>
      <c r="BI174" s="248"/>
      <c r="BJ174" s="248"/>
      <c r="BK174" s="248"/>
      <c r="BL174" s="248"/>
      <c r="BM174" s="248"/>
      <c r="BN174" s="248"/>
      <c r="BO174" s="248"/>
      <c r="BP174" s="248"/>
      <c r="BQ174" s="248"/>
      <c r="BR174" s="248"/>
      <c r="BS174" s="248"/>
      <c r="BT174" s="248"/>
      <c r="BU174" s="248"/>
      <c r="BV174" s="248"/>
      <c r="BW174" s="248"/>
      <c r="BX174" s="248"/>
      <c r="BY174" s="248"/>
      <c r="BZ174" s="248"/>
      <c r="CA174" s="248"/>
      <c r="CB174" s="248"/>
      <c r="CC174" s="248"/>
      <c r="CD174" s="248"/>
      <c r="CE174" s="248"/>
      <c r="CF174" s="248"/>
      <c r="CG174" s="248"/>
      <c r="CH174" s="248"/>
      <c r="CI174" s="248"/>
      <c r="CJ174" s="248"/>
      <c r="CK174" s="248"/>
      <c r="CL174" s="248"/>
      <c r="CM174" s="248"/>
      <c r="CN174" s="248"/>
      <c r="CO174" s="248"/>
      <c r="CP174" s="248"/>
      <c r="CQ174" s="248"/>
      <c r="CR174" s="248"/>
      <c r="CS174" s="248"/>
      <c r="CT174" s="248"/>
      <c r="CU174" s="248"/>
      <c r="CV174" s="248"/>
      <c r="CW174" s="248"/>
      <c r="CX174" s="248"/>
      <c r="CY174" s="248"/>
      <c r="CZ174" s="248"/>
      <c r="DA174" s="248"/>
      <c r="DB174" s="248"/>
      <c r="DC174" s="248"/>
      <c r="DD174" s="248"/>
      <c r="DE174" s="248"/>
      <c r="DF174" s="248"/>
      <c r="DG174" s="248"/>
      <c r="DH174" s="248"/>
      <c r="DI174" s="248"/>
      <c r="DJ174" s="248"/>
      <c r="DK174" s="248"/>
      <c r="DL174" s="248"/>
      <c r="DM174" s="248"/>
      <c r="DN174" s="248"/>
      <c r="DO174" s="248"/>
      <c r="DP174" s="248"/>
      <c r="DQ174" s="248"/>
      <c r="DR174" s="248"/>
      <c r="DS174" s="248"/>
      <c r="DT174" s="248"/>
      <c r="DU174" s="248"/>
      <c r="DV174" s="248"/>
      <c r="DW174" s="248"/>
      <c r="DX174" s="248"/>
      <c r="DY174" s="248"/>
      <c r="DZ174" s="248"/>
      <c r="EA174" s="248"/>
      <c r="EB174" s="248"/>
      <c r="EC174" s="248"/>
      <c r="ED174" s="248"/>
      <c r="EE174" s="248"/>
      <c r="EF174" s="248"/>
      <c r="EG174" s="248"/>
      <c r="EH174" s="248"/>
      <c r="EI174" s="248"/>
      <c r="EJ174" s="248"/>
      <c r="EK174" s="248"/>
      <c r="EL174" s="248"/>
      <c r="EM174" s="248"/>
      <c r="EN174" s="248"/>
      <c r="EO174" s="248"/>
      <c r="EP174" s="248"/>
      <c r="EQ174" s="248"/>
      <c r="ER174" s="248"/>
      <c r="ES174" s="248"/>
      <c r="ET174" s="248"/>
      <c r="EU174" s="248"/>
      <c r="EV174" s="248"/>
      <c r="EW174" s="248"/>
      <c r="EX174" s="248"/>
      <c r="EY174" s="248"/>
      <c r="EZ174" s="248"/>
      <c r="FA174" s="248"/>
      <c r="FB174" s="248"/>
      <c r="FC174" s="248"/>
      <c r="FD174" s="248"/>
      <c r="FE174" s="248"/>
      <c r="FF174" s="248"/>
      <c r="FG174" s="248"/>
      <c r="FH174" s="248"/>
      <c r="FI174" s="248"/>
      <c r="FJ174" s="248"/>
      <c r="FK174" s="248"/>
      <c r="FL174" s="248"/>
      <c r="FM174" s="248"/>
      <c r="FN174" s="248"/>
      <c r="FO174" s="248"/>
      <c r="FP174" s="248"/>
      <c r="FQ174" s="248"/>
      <c r="FR174" s="248"/>
      <c r="FS174" s="248"/>
      <c r="FT174" s="248"/>
      <c r="FU174" s="248"/>
      <c r="FV174" s="248"/>
      <c r="FW174" s="248"/>
      <c r="FX174" s="248"/>
      <c r="FY174" s="248"/>
      <c r="FZ174" s="248"/>
      <c r="GA174" s="248"/>
      <c r="GB174" s="248"/>
      <c r="GC174" s="248"/>
      <c r="GD174" s="248"/>
      <c r="GE174" s="248"/>
      <c r="GF174" s="248"/>
      <c r="GG174" s="248"/>
      <c r="GH174" s="248"/>
      <c r="GI174" s="248"/>
      <c r="GJ174" s="248"/>
      <c r="GK174" s="248"/>
      <c r="GL174" s="248"/>
      <c r="GM174" s="248"/>
      <c r="GN174" s="248"/>
      <c r="GO174" s="248"/>
      <c r="GP174" s="248"/>
      <c r="GQ174" s="248"/>
      <c r="GR174" s="248"/>
      <c r="GS174" s="248"/>
      <c r="GT174" s="248"/>
      <c r="GU174" s="248"/>
      <c r="GV174" s="248"/>
      <c r="GW174" s="248"/>
      <c r="GX174" s="248"/>
      <c r="GY174" s="248"/>
      <c r="GZ174" s="248"/>
      <c r="HA174" s="248"/>
      <c r="HB174" s="248"/>
      <c r="HC174" s="248"/>
      <c r="HD174" s="248"/>
      <c r="HE174" s="248"/>
      <c r="HF174" s="248"/>
      <c r="HG174" s="248"/>
      <c r="HH174" s="248"/>
      <c r="HI174" s="248"/>
      <c r="HJ174" s="248"/>
      <c r="HK174" s="248"/>
      <c r="HL174" s="248"/>
      <c r="HM174" s="248"/>
      <c r="HN174" s="248"/>
      <c r="HO174" s="248"/>
      <c r="HP174" s="248"/>
      <c r="HQ174" s="248"/>
      <c r="HR174" s="248"/>
      <c r="HS174" s="248"/>
      <c r="HT174" s="248"/>
      <c r="HU174" s="248"/>
      <c r="HV174" s="248"/>
      <c r="HW174" s="248"/>
      <c r="HX174" s="248"/>
      <c r="HY174" s="248"/>
      <c r="HZ174" s="248"/>
      <c r="IA174" s="248"/>
      <c r="IB174" s="248"/>
      <c r="IC174" s="248"/>
      <c r="ID174" s="248"/>
      <c r="IE174" s="248"/>
      <c r="IF174" s="248"/>
      <c r="IG174" s="248"/>
      <c r="IH174" s="248"/>
      <c r="II174" s="248"/>
      <c r="IJ174" s="248"/>
      <c r="IK174" s="248"/>
      <c r="IL174" s="248"/>
      <c r="IM174" s="248"/>
      <c r="IN174" s="248"/>
      <c r="IO174" s="248"/>
      <c r="IP174" s="248"/>
      <c r="IQ174" s="248"/>
      <c r="IR174" s="248"/>
    </row>
    <row r="175" spans="1:252" s="305" customFormat="1" x14ac:dyDescent="0.3">
      <c r="A175" s="244"/>
      <c r="B175" s="245"/>
      <c r="C175" s="245"/>
      <c r="D175" s="245"/>
      <c r="E175" s="245"/>
      <c r="F175" s="245"/>
      <c r="G175" s="245"/>
      <c r="H175" s="245"/>
      <c r="I175" s="245"/>
      <c r="J175" s="245"/>
      <c r="K175" s="245"/>
      <c r="L175" s="245"/>
      <c r="M175" s="245"/>
      <c r="N175" s="245"/>
      <c r="O175" s="245"/>
      <c r="P175" s="245"/>
      <c r="Q175" s="245"/>
      <c r="R175" s="301"/>
      <c r="S175" s="246"/>
      <c r="T175" s="247"/>
      <c r="U175" s="248"/>
      <c r="V175" s="248"/>
      <c r="W175" s="248"/>
      <c r="X175" s="248"/>
      <c r="Y175" s="248"/>
      <c r="Z175" s="248"/>
      <c r="AA175" s="248"/>
      <c r="AB175" s="248"/>
      <c r="AC175" s="248"/>
      <c r="AD175" s="248"/>
      <c r="AE175" s="248"/>
      <c r="AF175" s="248"/>
      <c r="AG175" s="248"/>
      <c r="AH175" s="248"/>
      <c r="AI175" s="248"/>
      <c r="AJ175" s="248"/>
      <c r="AK175" s="248"/>
      <c r="AL175" s="248"/>
      <c r="AM175" s="248"/>
      <c r="AN175" s="248"/>
      <c r="AO175" s="248"/>
      <c r="AP175" s="248"/>
      <c r="AQ175" s="248"/>
      <c r="AR175" s="248"/>
      <c r="AS175" s="248"/>
      <c r="AT175" s="248"/>
      <c r="AU175" s="248"/>
      <c r="AV175" s="248"/>
      <c r="AW175" s="248"/>
      <c r="AX175" s="248"/>
      <c r="AY175" s="248"/>
      <c r="AZ175" s="248"/>
      <c r="BA175" s="248"/>
      <c r="BB175" s="248"/>
      <c r="BC175" s="248"/>
      <c r="BD175" s="248"/>
      <c r="BE175" s="248"/>
      <c r="BF175" s="248"/>
      <c r="BG175" s="248"/>
      <c r="BH175" s="248"/>
      <c r="BI175" s="248"/>
      <c r="BJ175" s="248"/>
      <c r="BK175" s="248"/>
      <c r="BL175" s="248"/>
      <c r="BM175" s="248"/>
      <c r="BN175" s="248"/>
      <c r="BO175" s="248"/>
      <c r="BP175" s="248"/>
      <c r="BQ175" s="248"/>
      <c r="BR175" s="248"/>
      <c r="BS175" s="248"/>
      <c r="BT175" s="248"/>
      <c r="BU175" s="248"/>
      <c r="BV175" s="248"/>
      <c r="BW175" s="248"/>
      <c r="BX175" s="248"/>
      <c r="BY175" s="248"/>
      <c r="BZ175" s="248"/>
      <c r="CA175" s="248"/>
      <c r="CB175" s="248"/>
      <c r="CC175" s="248"/>
      <c r="CD175" s="248"/>
      <c r="CE175" s="248"/>
      <c r="CF175" s="248"/>
      <c r="CG175" s="248"/>
      <c r="CH175" s="248"/>
      <c r="CI175" s="248"/>
      <c r="CJ175" s="248"/>
      <c r="CK175" s="248"/>
      <c r="CL175" s="248"/>
      <c r="CM175" s="248"/>
      <c r="CN175" s="248"/>
      <c r="CO175" s="248"/>
      <c r="CP175" s="248"/>
      <c r="CQ175" s="248"/>
      <c r="CR175" s="248"/>
      <c r="CS175" s="248"/>
      <c r="CT175" s="248"/>
      <c r="CU175" s="248"/>
      <c r="CV175" s="248"/>
      <c r="CW175" s="248"/>
      <c r="CX175" s="248"/>
      <c r="CY175" s="248"/>
      <c r="CZ175" s="248"/>
      <c r="DA175" s="248"/>
      <c r="DB175" s="248"/>
      <c r="DC175" s="248"/>
      <c r="DD175" s="248"/>
      <c r="DE175" s="248"/>
      <c r="DF175" s="248"/>
      <c r="DG175" s="248"/>
      <c r="DH175" s="248"/>
      <c r="DI175" s="248"/>
      <c r="DJ175" s="248"/>
      <c r="DK175" s="248"/>
      <c r="DL175" s="248"/>
      <c r="DM175" s="248"/>
      <c r="DN175" s="248"/>
      <c r="DO175" s="248"/>
      <c r="DP175" s="248"/>
      <c r="DQ175" s="248"/>
      <c r="DR175" s="248"/>
      <c r="DS175" s="248"/>
      <c r="DT175" s="248"/>
      <c r="DU175" s="248"/>
      <c r="DV175" s="248"/>
      <c r="DW175" s="248"/>
      <c r="DX175" s="248"/>
      <c r="DY175" s="248"/>
      <c r="DZ175" s="248"/>
      <c r="EA175" s="248"/>
      <c r="EB175" s="248"/>
      <c r="EC175" s="248"/>
      <c r="ED175" s="248"/>
      <c r="EE175" s="248"/>
      <c r="EF175" s="248"/>
      <c r="EG175" s="248"/>
      <c r="EH175" s="248"/>
      <c r="EI175" s="248"/>
      <c r="EJ175" s="248"/>
      <c r="EK175" s="248"/>
      <c r="EL175" s="248"/>
      <c r="EM175" s="248"/>
      <c r="EN175" s="248"/>
      <c r="EO175" s="248"/>
      <c r="EP175" s="248"/>
      <c r="EQ175" s="248"/>
      <c r="ER175" s="248"/>
      <c r="ES175" s="248"/>
      <c r="ET175" s="248"/>
      <c r="EU175" s="248"/>
      <c r="EV175" s="248"/>
      <c r="EW175" s="248"/>
      <c r="EX175" s="248"/>
      <c r="EY175" s="248"/>
      <c r="EZ175" s="248"/>
      <c r="FA175" s="248"/>
      <c r="FB175" s="248"/>
      <c r="FC175" s="248"/>
      <c r="FD175" s="248"/>
      <c r="FE175" s="248"/>
      <c r="FF175" s="248"/>
      <c r="FG175" s="248"/>
      <c r="FH175" s="248"/>
      <c r="FI175" s="248"/>
      <c r="FJ175" s="248"/>
      <c r="FK175" s="248"/>
      <c r="FL175" s="248"/>
      <c r="FM175" s="248"/>
      <c r="FN175" s="248"/>
      <c r="FO175" s="248"/>
      <c r="FP175" s="248"/>
      <c r="FQ175" s="248"/>
      <c r="FR175" s="248"/>
      <c r="FS175" s="248"/>
      <c r="FT175" s="248"/>
      <c r="FU175" s="248"/>
      <c r="FV175" s="248"/>
      <c r="FW175" s="248"/>
      <c r="FX175" s="248"/>
      <c r="FY175" s="248"/>
      <c r="FZ175" s="248"/>
      <c r="GA175" s="248"/>
      <c r="GB175" s="248"/>
      <c r="GC175" s="248"/>
      <c r="GD175" s="248"/>
      <c r="GE175" s="248"/>
      <c r="GF175" s="248"/>
      <c r="GG175" s="248"/>
      <c r="GH175" s="248"/>
      <c r="GI175" s="248"/>
      <c r="GJ175" s="248"/>
      <c r="GK175" s="248"/>
      <c r="GL175" s="248"/>
      <c r="GM175" s="248"/>
      <c r="GN175" s="248"/>
      <c r="GO175" s="248"/>
      <c r="GP175" s="248"/>
      <c r="GQ175" s="248"/>
      <c r="GR175" s="248"/>
      <c r="GS175" s="248"/>
      <c r="GT175" s="248"/>
      <c r="GU175" s="248"/>
      <c r="GV175" s="248"/>
      <c r="GW175" s="248"/>
      <c r="GX175" s="248"/>
      <c r="GY175" s="248"/>
      <c r="GZ175" s="248"/>
      <c r="HA175" s="248"/>
      <c r="HB175" s="248"/>
      <c r="HC175" s="248"/>
      <c r="HD175" s="248"/>
      <c r="HE175" s="248"/>
      <c r="HF175" s="248"/>
      <c r="HG175" s="248"/>
      <c r="HH175" s="248"/>
      <c r="HI175" s="248"/>
      <c r="HJ175" s="248"/>
      <c r="HK175" s="248"/>
      <c r="HL175" s="248"/>
      <c r="HM175" s="248"/>
      <c r="HN175" s="248"/>
      <c r="HO175" s="248"/>
      <c r="HP175" s="248"/>
      <c r="HQ175" s="248"/>
      <c r="HR175" s="248"/>
      <c r="HS175" s="248"/>
      <c r="HT175" s="248"/>
      <c r="HU175" s="248"/>
      <c r="HV175" s="248"/>
      <c r="HW175" s="248"/>
      <c r="HX175" s="248"/>
      <c r="HY175" s="248"/>
      <c r="HZ175" s="248"/>
      <c r="IA175" s="248"/>
      <c r="IB175" s="248"/>
      <c r="IC175" s="248"/>
      <c r="ID175" s="248"/>
      <c r="IE175" s="248"/>
      <c r="IF175" s="248"/>
      <c r="IG175" s="248"/>
      <c r="IH175" s="248"/>
      <c r="II175" s="248"/>
      <c r="IJ175" s="248"/>
      <c r="IK175" s="248"/>
      <c r="IL175" s="248"/>
      <c r="IM175" s="248"/>
      <c r="IN175" s="248"/>
      <c r="IO175" s="248"/>
      <c r="IP175" s="248"/>
      <c r="IQ175" s="248"/>
      <c r="IR175" s="248"/>
    </row>
    <row r="176" spans="1:252" x14ac:dyDescent="0.3">
      <c r="A176" s="249"/>
      <c r="B176" s="296" t="s">
        <v>44</v>
      </c>
      <c r="C176" s="251"/>
      <c r="D176" s="251"/>
      <c r="E176" s="251"/>
      <c r="F176" s="251"/>
      <c r="G176" s="251"/>
      <c r="H176" s="251"/>
      <c r="I176" s="251"/>
      <c r="J176" s="251"/>
      <c r="K176" s="251"/>
      <c r="L176" s="251"/>
      <c r="M176" s="251"/>
      <c r="N176" s="251"/>
      <c r="O176" s="251"/>
      <c r="P176" s="251"/>
      <c r="Q176" s="251"/>
      <c r="R176" s="279"/>
      <c r="S176" s="252"/>
      <c r="T176" s="247"/>
    </row>
    <row r="177" spans="1:20" x14ac:dyDescent="0.3">
      <c r="A177" s="249"/>
      <c r="B177" s="295"/>
      <c r="C177" s="251"/>
      <c r="D177" s="251"/>
      <c r="E177" s="251"/>
      <c r="F177" s="251"/>
      <c r="G177" s="251"/>
      <c r="H177" s="251"/>
      <c r="I177" s="251"/>
      <c r="J177" s="251"/>
      <c r="K177" s="251"/>
      <c r="L177" s="251"/>
      <c r="M177" s="251"/>
      <c r="N177" s="251"/>
      <c r="O177" s="251"/>
      <c r="P177" s="251"/>
      <c r="Q177" s="251"/>
      <c r="R177" s="279"/>
      <c r="S177" s="252"/>
      <c r="T177" s="247"/>
    </row>
    <row r="178" spans="1:20" s="349" customFormat="1" x14ac:dyDescent="0.3">
      <c r="A178" s="365"/>
      <c r="B178" s="358" t="s">
        <v>172</v>
      </c>
      <c r="C178" s="358"/>
      <c r="D178" s="358"/>
      <c r="E178" s="358"/>
      <c r="F178" s="358"/>
      <c r="G178" s="358"/>
      <c r="H178" s="358"/>
      <c r="I178" s="358"/>
      <c r="J178" s="358"/>
      <c r="K178" s="358"/>
      <c r="L178" s="358"/>
      <c r="M178" s="358"/>
      <c r="N178" s="358"/>
      <c r="O178" s="358"/>
      <c r="P178" s="358"/>
      <c r="Q178" s="358"/>
      <c r="R178" s="404">
        <f>+R67</f>
        <v>106847</v>
      </c>
      <c r="S178" s="361"/>
      <c r="T178" s="348"/>
    </row>
    <row r="179" spans="1:20" s="349" customFormat="1" x14ac:dyDescent="0.3">
      <c r="A179" s="365"/>
      <c r="B179" s="358" t="s">
        <v>173</v>
      </c>
      <c r="C179" s="358"/>
      <c r="D179" s="358"/>
      <c r="E179" s="358"/>
      <c r="F179" s="358"/>
      <c r="G179" s="358"/>
      <c r="H179" s="358"/>
      <c r="I179" s="358"/>
      <c r="J179" s="358"/>
      <c r="K179" s="358"/>
      <c r="L179" s="358"/>
      <c r="M179" s="358"/>
      <c r="N179" s="358"/>
      <c r="O179" s="358"/>
      <c r="P179" s="358"/>
      <c r="Q179" s="358"/>
      <c r="R179" s="404">
        <f>+R77</f>
        <v>0</v>
      </c>
      <c r="S179" s="361"/>
      <c r="T179" s="348"/>
    </row>
    <row r="180" spans="1:20" s="349" customFormat="1" x14ac:dyDescent="0.3">
      <c r="A180" s="365"/>
      <c r="B180" s="358" t="s">
        <v>216</v>
      </c>
      <c r="C180" s="358"/>
      <c r="D180" s="358"/>
      <c r="E180" s="358"/>
      <c r="F180" s="358"/>
      <c r="G180" s="358"/>
      <c r="H180" s="358"/>
      <c r="I180" s="358"/>
      <c r="J180" s="358"/>
      <c r="K180" s="358"/>
      <c r="L180" s="358"/>
      <c r="M180" s="358"/>
      <c r="N180" s="358"/>
      <c r="O180" s="358"/>
      <c r="P180" s="358"/>
      <c r="Q180" s="358"/>
      <c r="R180" s="404">
        <f>+R78</f>
        <v>0</v>
      </c>
      <c r="S180" s="361"/>
      <c r="T180" s="348"/>
    </row>
    <row r="181" spans="1:20" s="349" customFormat="1" x14ac:dyDescent="0.3">
      <c r="A181" s="365"/>
      <c r="B181" s="358" t="s">
        <v>126</v>
      </c>
      <c r="C181" s="358"/>
      <c r="D181" s="358"/>
      <c r="E181" s="358"/>
      <c r="F181" s="358"/>
      <c r="G181" s="358"/>
      <c r="H181" s="358"/>
      <c r="I181" s="358"/>
      <c r="J181" s="358"/>
      <c r="K181" s="358"/>
      <c r="L181" s="358"/>
      <c r="M181" s="358"/>
      <c r="N181" s="358"/>
      <c r="O181" s="358"/>
      <c r="P181" s="358"/>
      <c r="Q181" s="358"/>
      <c r="R181" s="404">
        <f>+R178+R179+R180</f>
        <v>106847</v>
      </c>
      <c r="S181" s="361"/>
      <c r="T181" s="348"/>
    </row>
    <row r="182" spans="1:20" s="349" customFormat="1" x14ac:dyDescent="0.3">
      <c r="A182" s="365"/>
      <c r="B182" s="358" t="s">
        <v>45</v>
      </c>
      <c r="C182" s="358"/>
      <c r="D182" s="358"/>
      <c r="E182" s="358"/>
      <c r="F182" s="358"/>
      <c r="G182" s="358"/>
      <c r="H182" s="358"/>
      <c r="I182" s="358"/>
      <c r="J182" s="358"/>
      <c r="K182" s="358"/>
      <c r="L182" s="358"/>
      <c r="M182" s="358"/>
      <c r="N182" s="358"/>
      <c r="O182" s="358"/>
      <c r="P182" s="358"/>
      <c r="Q182" s="358"/>
      <c r="R182" s="404">
        <f>R80</f>
        <v>106847</v>
      </c>
      <c r="S182" s="361"/>
      <c r="T182" s="348"/>
    </row>
    <row r="183" spans="1:20" ht="16.2" thickBot="1" x14ac:dyDescent="0.35">
      <c r="A183" s="249"/>
      <c r="B183" s="277"/>
      <c r="C183" s="277"/>
      <c r="D183" s="277"/>
      <c r="E183" s="277"/>
      <c r="F183" s="277"/>
      <c r="G183" s="277"/>
      <c r="H183" s="277"/>
      <c r="I183" s="277"/>
      <c r="J183" s="277"/>
      <c r="K183" s="277"/>
      <c r="L183" s="277"/>
      <c r="M183" s="277"/>
      <c r="N183" s="277"/>
      <c r="O183" s="277"/>
      <c r="P183" s="277"/>
      <c r="Q183" s="277"/>
      <c r="R183" s="297"/>
      <c r="S183" s="252"/>
      <c r="T183" s="247"/>
    </row>
    <row r="184" spans="1:20" x14ac:dyDescent="0.3">
      <c r="A184" s="244"/>
      <c r="B184" s="245"/>
      <c r="C184" s="245"/>
      <c r="D184" s="245"/>
      <c r="E184" s="245"/>
      <c r="F184" s="245"/>
      <c r="G184" s="245"/>
      <c r="H184" s="245"/>
      <c r="I184" s="245"/>
      <c r="J184" s="245"/>
      <c r="K184" s="245"/>
      <c r="L184" s="245"/>
      <c r="M184" s="245"/>
      <c r="N184" s="245"/>
      <c r="O184" s="245"/>
      <c r="P184" s="245"/>
      <c r="Q184" s="245"/>
      <c r="R184" s="301"/>
      <c r="S184" s="246"/>
      <c r="T184" s="247"/>
    </row>
    <row r="185" spans="1:20" s="273" customFormat="1" x14ac:dyDescent="0.3">
      <c r="A185" s="280"/>
      <c r="B185" s="296" t="s">
        <v>46</v>
      </c>
      <c r="C185" s="306"/>
      <c r="D185" s="307"/>
      <c r="E185" s="307"/>
      <c r="F185" s="307"/>
      <c r="G185" s="307"/>
      <c r="H185" s="307"/>
      <c r="I185" s="307"/>
      <c r="J185" s="307"/>
      <c r="K185" s="307"/>
      <c r="L185" s="307"/>
      <c r="M185" s="307"/>
      <c r="N185" s="307"/>
      <c r="O185" s="307" t="s">
        <v>82</v>
      </c>
      <c r="P185" s="307" t="s">
        <v>170</v>
      </c>
      <c r="Q185" s="254"/>
      <c r="R185" s="308" t="s">
        <v>94</v>
      </c>
      <c r="S185" s="309"/>
      <c r="T185" s="272"/>
    </row>
    <row r="186" spans="1:20" s="349" customFormat="1" x14ac:dyDescent="0.3">
      <c r="A186" s="365"/>
      <c r="B186" s="358" t="s">
        <v>47</v>
      </c>
      <c r="C186" s="358"/>
      <c r="D186" s="358"/>
      <c r="E186" s="358"/>
      <c r="F186" s="358"/>
      <c r="G186" s="358"/>
      <c r="H186" s="358"/>
      <c r="I186" s="358"/>
      <c r="J186" s="358"/>
      <c r="K186" s="358"/>
      <c r="L186" s="358"/>
      <c r="M186" s="358"/>
      <c r="N186" s="358"/>
      <c r="O186" s="404">
        <f>+R31*0.08</f>
        <v>24000.720000000001</v>
      </c>
      <c r="P186" s="383"/>
      <c r="Q186" s="358"/>
      <c r="R186" s="404"/>
      <c r="S186" s="361"/>
      <c r="T186" s="348"/>
    </row>
    <row r="187" spans="1:20" s="349" customFormat="1" x14ac:dyDescent="0.3">
      <c r="A187" s="365"/>
      <c r="B187" s="358" t="s">
        <v>48</v>
      </c>
      <c r="C187" s="358"/>
      <c r="D187" s="358"/>
      <c r="E187" s="358"/>
      <c r="F187" s="358"/>
      <c r="G187" s="358"/>
      <c r="H187" s="358"/>
      <c r="I187" s="358"/>
      <c r="J187" s="358"/>
      <c r="K187" s="358"/>
      <c r="L187" s="358"/>
      <c r="M187" s="358"/>
      <c r="N187" s="358"/>
      <c r="O187" s="404">
        <f>+'Aug 17'!O189</f>
        <v>512</v>
      </c>
      <c r="P187" s="404">
        <f>+'Aug 17'!P189</f>
        <v>694</v>
      </c>
      <c r="Q187" s="358"/>
      <c r="R187" s="404">
        <f>O187+P187</f>
        <v>1206</v>
      </c>
      <c r="S187" s="361"/>
      <c r="T187" s="348"/>
    </row>
    <row r="188" spans="1:20" s="349" customFormat="1" x14ac:dyDescent="0.3">
      <c r="A188" s="365"/>
      <c r="B188" s="358" t="s">
        <v>49</v>
      </c>
      <c r="C188" s="358"/>
      <c r="D188" s="358"/>
      <c r="E188" s="358"/>
      <c r="F188" s="358"/>
      <c r="G188" s="358"/>
      <c r="H188" s="358"/>
      <c r="I188" s="358"/>
      <c r="J188" s="358"/>
      <c r="K188" s="358"/>
      <c r="L188" s="358"/>
      <c r="M188" s="358"/>
      <c r="N188" s="358"/>
      <c r="O188" s="403">
        <v>0</v>
      </c>
      <c r="P188" s="403">
        <v>0</v>
      </c>
      <c r="Q188" s="358"/>
      <c r="R188" s="404">
        <f>O188+P188</f>
        <v>0</v>
      </c>
      <c r="S188" s="361"/>
      <c r="T188" s="348"/>
    </row>
    <row r="189" spans="1:20" s="349" customFormat="1" x14ac:dyDescent="0.3">
      <c r="A189" s="365"/>
      <c r="B189" s="358" t="s">
        <v>50</v>
      </c>
      <c r="C189" s="358"/>
      <c r="D189" s="358"/>
      <c r="E189" s="358"/>
      <c r="F189" s="358"/>
      <c r="G189" s="358"/>
      <c r="H189" s="358"/>
      <c r="I189" s="358"/>
      <c r="J189" s="358"/>
      <c r="K189" s="358"/>
      <c r="L189" s="358"/>
      <c r="M189" s="358"/>
      <c r="N189" s="358"/>
      <c r="O189" s="404">
        <f>O187+O188</f>
        <v>512</v>
      </c>
      <c r="P189" s="404">
        <f>P188+P187</f>
        <v>694</v>
      </c>
      <c r="Q189" s="358"/>
      <c r="R189" s="404">
        <f>O189+P189</f>
        <v>1206</v>
      </c>
      <c r="S189" s="361"/>
      <c r="T189" s="348"/>
    </row>
    <row r="190" spans="1:20" s="349" customFormat="1" x14ac:dyDescent="0.3">
      <c r="A190" s="365"/>
      <c r="B190" s="358" t="s">
        <v>51</v>
      </c>
      <c r="C190" s="358"/>
      <c r="D190" s="358"/>
      <c r="E190" s="358"/>
      <c r="F190" s="358"/>
      <c r="G190" s="358"/>
      <c r="H190" s="358"/>
      <c r="I190" s="358"/>
      <c r="J190" s="358"/>
      <c r="K190" s="358"/>
      <c r="L190" s="358"/>
      <c r="M190" s="358"/>
      <c r="N190" s="358"/>
      <c r="O190" s="404">
        <f>O186-O189-P189</f>
        <v>22794.720000000001</v>
      </c>
      <c r="P190" s="383"/>
      <c r="Q190" s="358"/>
      <c r="R190" s="404"/>
      <c r="S190" s="361"/>
      <c r="T190" s="348"/>
    </row>
    <row r="191" spans="1:20" ht="16.2" thickBot="1" x14ac:dyDescent="0.35">
      <c r="A191" s="249"/>
      <c r="B191" s="277"/>
      <c r="C191" s="277"/>
      <c r="D191" s="277"/>
      <c r="E191" s="277"/>
      <c r="F191" s="277"/>
      <c r="G191" s="277"/>
      <c r="H191" s="277"/>
      <c r="I191" s="277"/>
      <c r="J191" s="277"/>
      <c r="K191" s="277"/>
      <c r="L191" s="277"/>
      <c r="M191" s="277"/>
      <c r="N191" s="277"/>
      <c r="O191" s="277"/>
      <c r="P191" s="277"/>
      <c r="Q191" s="277"/>
      <c r="R191" s="297"/>
      <c r="S191" s="252"/>
      <c r="T191" s="247"/>
    </row>
    <row r="192" spans="1:20" x14ac:dyDescent="0.3">
      <c r="A192" s="244"/>
      <c r="B192" s="245"/>
      <c r="C192" s="245"/>
      <c r="D192" s="245"/>
      <c r="E192" s="245"/>
      <c r="F192" s="245"/>
      <c r="G192" s="245"/>
      <c r="H192" s="245"/>
      <c r="I192" s="245"/>
      <c r="J192" s="245"/>
      <c r="K192" s="245"/>
      <c r="L192" s="245"/>
      <c r="M192" s="245"/>
      <c r="N192" s="245"/>
      <c r="O192" s="245"/>
      <c r="P192" s="245"/>
      <c r="Q192" s="245"/>
      <c r="R192" s="301"/>
      <c r="S192" s="246"/>
      <c r="T192" s="247"/>
    </row>
    <row r="193" spans="1:20" x14ac:dyDescent="0.3">
      <c r="A193" s="249"/>
      <c r="B193" s="296" t="s">
        <v>52</v>
      </c>
      <c r="C193" s="251"/>
      <c r="D193" s="251"/>
      <c r="E193" s="251"/>
      <c r="F193" s="251"/>
      <c r="G193" s="251"/>
      <c r="H193" s="251"/>
      <c r="I193" s="251"/>
      <c r="J193" s="251"/>
      <c r="K193" s="251"/>
      <c r="L193" s="251"/>
      <c r="M193" s="251"/>
      <c r="N193" s="251"/>
      <c r="O193" s="251"/>
      <c r="P193" s="251"/>
      <c r="Q193" s="251"/>
      <c r="R193" s="310"/>
      <c r="S193" s="252"/>
      <c r="T193" s="247"/>
    </row>
    <row r="194" spans="1:20" s="349" customFormat="1" x14ac:dyDescent="0.3">
      <c r="A194" s="365"/>
      <c r="B194" s="358" t="s">
        <v>53</v>
      </c>
      <c r="C194" s="358"/>
      <c r="D194" s="358"/>
      <c r="E194" s="358"/>
      <c r="F194" s="358"/>
      <c r="G194" s="358"/>
      <c r="H194" s="358"/>
      <c r="I194" s="358"/>
      <c r="J194" s="358"/>
      <c r="K194" s="358"/>
      <c r="L194" s="358"/>
      <c r="M194" s="358"/>
      <c r="N194" s="358"/>
      <c r="O194" s="358"/>
      <c r="P194" s="358"/>
      <c r="Q194" s="358"/>
      <c r="R194" s="417">
        <f>(R100+R102+R103+R104+R105)/-(R106+R107)</f>
        <v>5.0375426621160413</v>
      </c>
      <c r="S194" s="361" t="s">
        <v>95</v>
      </c>
      <c r="T194" s="348"/>
    </row>
    <row r="195" spans="1:20" s="349" customFormat="1" x14ac:dyDescent="0.3">
      <c r="A195" s="365"/>
      <c r="B195" s="358" t="s">
        <v>54</v>
      </c>
      <c r="C195" s="358"/>
      <c r="D195" s="358"/>
      <c r="E195" s="358"/>
      <c r="F195" s="358"/>
      <c r="G195" s="358"/>
      <c r="H195" s="358"/>
      <c r="I195" s="358"/>
      <c r="J195" s="358"/>
      <c r="K195" s="358"/>
      <c r="L195" s="358"/>
      <c r="M195" s="358"/>
      <c r="N195" s="358"/>
      <c r="O195" s="358"/>
      <c r="P195" s="358"/>
      <c r="Q195" s="358"/>
      <c r="R195" s="418">
        <v>3.44</v>
      </c>
      <c r="S195" s="361" t="s">
        <v>95</v>
      </c>
      <c r="T195" s="348"/>
    </row>
    <row r="196" spans="1:20" s="349" customFormat="1" x14ac:dyDescent="0.3">
      <c r="A196" s="365"/>
      <c r="B196" s="358" t="s">
        <v>183</v>
      </c>
      <c r="C196" s="358"/>
      <c r="D196" s="358"/>
      <c r="E196" s="358"/>
      <c r="F196" s="358"/>
      <c r="G196" s="358"/>
      <c r="H196" s="358"/>
      <c r="I196" s="358"/>
      <c r="J196" s="358"/>
      <c r="K196" s="358"/>
      <c r="L196" s="358"/>
      <c r="M196" s="358"/>
      <c r="N196" s="358"/>
      <c r="O196" s="358"/>
      <c r="P196" s="358"/>
      <c r="Q196" s="358"/>
      <c r="R196" s="417">
        <f>(R100+R102+R103+R104+R105+R106+R107)/-(R108)</f>
        <v>23.66</v>
      </c>
      <c r="S196" s="361" t="s">
        <v>95</v>
      </c>
      <c r="T196" s="348"/>
    </row>
    <row r="197" spans="1:20" s="349" customFormat="1" x14ac:dyDescent="0.3">
      <c r="A197" s="365"/>
      <c r="B197" s="358" t="s">
        <v>184</v>
      </c>
      <c r="C197" s="358"/>
      <c r="D197" s="358"/>
      <c r="E197" s="358"/>
      <c r="F197" s="358"/>
      <c r="G197" s="358"/>
      <c r="H197" s="358"/>
      <c r="I197" s="358"/>
      <c r="J197" s="358"/>
      <c r="K197" s="358"/>
      <c r="L197" s="358"/>
      <c r="M197" s="358"/>
      <c r="N197" s="358"/>
      <c r="O197" s="358"/>
      <c r="P197" s="358"/>
      <c r="Q197" s="358"/>
      <c r="R197" s="418">
        <v>35.21</v>
      </c>
      <c r="S197" s="361" t="s">
        <v>95</v>
      </c>
      <c r="T197" s="348"/>
    </row>
    <row r="198" spans="1:20" s="349" customFormat="1" x14ac:dyDescent="0.3">
      <c r="A198" s="365"/>
      <c r="B198" s="358" t="s">
        <v>185</v>
      </c>
      <c r="C198" s="358"/>
      <c r="D198" s="358"/>
      <c r="E198" s="358"/>
      <c r="F198" s="358"/>
      <c r="G198" s="358"/>
      <c r="H198" s="358"/>
      <c r="I198" s="358"/>
      <c r="J198" s="358"/>
      <c r="K198" s="358"/>
      <c r="L198" s="358"/>
      <c r="M198" s="358"/>
      <c r="N198" s="358"/>
      <c r="O198" s="358"/>
      <c r="P198" s="358"/>
      <c r="Q198" s="358"/>
      <c r="R198" s="417">
        <f>(R100+R102+R103+R104+R105+R106+R107+R108)/-(R109)</f>
        <v>19.203389830508474</v>
      </c>
      <c r="S198" s="361" t="s">
        <v>95</v>
      </c>
      <c r="T198" s="348"/>
    </row>
    <row r="199" spans="1:20" s="349" customFormat="1" x14ac:dyDescent="0.3">
      <c r="A199" s="365"/>
      <c r="B199" s="358" t="s">
        <v>186</v>
      </c>
      <c r="C199" s="358"/>
      <c r="D199" s="358"/>
      <c r="E199" s="358"/>
      <c r="F199" s="358"/>
      <c r="G199" s="358"/>
      <c r="H199" s="358"/>
      <c r="I199" s="358"/>
      <c r="J199" s="358"/>
      <c r="K199" s="358"/>
      <c r="L199" s="358"/>
      <c r="M199" s="358"/>
      <c r="N199" s="358"/>
      <c r="O199" s="358"/>
      <c r="P199" s="358"/>
      <c r="Q199" s="358"/>
      <c r="R199" s="418">
        <v>29.33</v>
      </c>
      <c r="S199" s="361" t="s">
        <v>95</v>
      </c>
      <c r="T199" s="348"/>
    </row>
    <row r="200" spans="1:20" s="349" customFormat="1" x14ac:dyDescent="0.3">
      <c r="A200" s="365"/>
      <c r="B200" s="358" t="s">
        <v>257</v>
      </c>
      <c r="C200" s="358"/>
      <c r="D200" s="358"/>
      <c r="E200" s="358"/>
      <c r="F200" s="358"/>
      <c r="G200" s="358"/>
      <c r="H200" s="358"/>
      <c r="I200" s="358"/>
      <c r="J200" s="358"/>
      <c r="K200" s="358"/>
      <c r="L200" s="358"/>
      <c r="M200" s="358"/>
      <c r="N200" s="358"/>
      <c r="O200" s="358"/>
      <c r="P200" s="358"/>
      <c r="Q200" s="358"/>
      <c r="R200" s="417">
        <f>(R100+R102+R103+R104+R105+R106+R107+R108+R109+R110+R111+R112+R113+R114)/-(R115)</f>
        <v>23.954545454545453</v>
      </c>
      <c r="S200" s="361" t="s">
        <v>95</v>
      </c>
      <c r="T200" s="348"/>
    </row>
    <row r="201" spans="1:20" s="349" customFormat="1" x14ac:dyDescent="0.3">
      <c r="A201" s="365"/>
      <c r="B201" s="358" t="s">
        <v>258</v>
      </c>
      <c r="C201" s="358"/>
      <c r="D201" s="358"/>
      <c r="E201" s="358"/>
      <c r="F201" s="358"/>
      <c r="G201" s="358"/>
      <c r="H201" s="358"/>
      <c r="I201" s="358"/>
      <c r="J201" s="358"/>
      <c r="K201" s="358"/>
      <c r="L201" s="358"/>
      <c r="M201" s="358"/>
      <c r="N201" s="358"/>
      <c r="O201" s="358"/>
      <c r="P201" s="358"/>
      <c r="Q201" s="358"/>
      <c r="R201" s="418">
        <v>38.409999999999997</v>
      </c>
      <c r="S201" s="361" t="s">
        <v>95</v>
      </c>
      <c r="T201" s="348"/>
    </row>
    <row r="202" spans="1:20" s="349" customFormat="1" x14ac:dyDescent="0.3">
      <c r="A202" s="365"/>
      <c r="B202" s="358"/>
      <c r="C202" s="358"/>
      <c r="D202" s="358"/>
      <c r="E202" s="358"/>
      <c r="F202" s="358"/>
      <c r="G202" s="358"/>
      <c r="H202" s="358"/>
      <c r="I202" s="358"/>
      <c r="J202" s="358"/>
      <c r="K202" s="358"/>
      <c r="L202" s="358"/>
      <c r="M202" s="358"/>
      <c r="N202" s="358"/>
      <c r="O202" s="358"/>
      <c r="P202" s="358"/>
      <c r="Q202" s="358"/>
      <c r="R202" s="358"/>
      <c r="S202" s="361"/>
      <c r="T202" s="348"/>
    </row>
    <row r="203" spans="1:20" s="349" customFormat="1" x14ac:dyDescent="0.3">
      <c r="A203" s="344"/>
      <c r="B203" s="393"/>
      <c r="C203" s="393"/>
      <c r="D203" s="393"/>
      <c r="E203" s="393"/>
      <c r="F203" s="393"/>
      <c r="G203" s="393"/>
      <c r="H203" s="393"/>
      <c r="I203" s="393"/>
      <c r="J203" s="393"/>
      <c r="K203" s="393"/>
      <c r="L203" s="393"/>
      <c r="M203" s="393"/>
      <c r="N203" s="393"/>
      <c r="O203" s="393"/>
      <c r="P203" s="393"/>
      <c r="Q203" s="393"/>
      <c r="R203" s="393"/>
      <c r="S203" s="347"/>
      <c r="T203" s="348"/>
    </row>
    <row r="204" spans="1:20" s="349" customFormat="1" x14ac:dyDescent="0.3">
      <c r="A204" s="344"/>
      <c r="B204" s="346"/>
      <c r="C204" s="346"/>
      <c r="D204" s="346"/>
      <c r="E204" s="346"/>
      <c r="F204" s="346"/>
      <c r="G204" s="346"/>
      <c r="H204" s="346"/>
      <c r="I204" s="346"/>
      <c r="J204" s="346"/>
      <c r="K204" s="346"/>
      <c r="L204" s="346"/>
      <c r="M204" s="346"/>
      <c r="N204" s="346"/>
      <c r="O204" s="346"/>
      <c r="P204" s="346"/>
      <c r="Q204" s="346"/>
      <c r="R204" s="346"/>
      <c r="S204" s="347"/>
      <c r="T204" s="348"/>
    </row>
    <row r="205" spans="1:20" s="349" customFormat="1" ht="18.600000000000001" thickBot="1" x14ac:dyDescent="0.4">
      <c r="A205" s="398"/>
      <c r="B205" s="399" t="str">
        <f>B132</f>
        <v>PM22 INVESTOR REPORT QUARTER ENDING NOVEMBER 2017</v>
      </c>
      <c r="C205" s="400"/>
      <c r="D205" s="400"/>
      <c r="E205" s="400"/>
      <c r="F205" s="400"/>
      <c r="G205" s="400"/>
      <c r="H205" s="400"/>
      <c r="I205" s="400"/>
      <c r="J205" s="400"/>
      <c r="K205" s="400"/>
      <c r="L205" s="400"/>
      <c r="M205" s="400"/>
      <c r="N205" s="400"/>
      <c r="O205" s="400"/>
      <c r="P205" s="400"/>
      <c r="Q205" s="400"/>
      <c r="R205" s="400"/>
      <c r="S205" s="402"/>
      <c r="T205" s="348"/>
    </row>
    <row r="206" spans="1:20" x14ac:dyDescent="0.3">
      <c r="A206" s="456"/>
      <c r="B206" s="457" t="s">
        <v>55</v>
      </c>
      <c r="C206" s="461"/>
      <c r="D206" s="462"/>
      <c r="E206" s="462"/>
      <c r="F206" s="462"/>
      <c r="G206" s="462"/>
      <c r="H206" s="462"/>
      <c r="I206" s="462"/>
      <c r="J206" s="462"/>
      <c r="K206" s="462"/>
      <c r="L206" s="462"/>
      <c r="M206" s="462"/>
      <c r="N206" s="462"/>
      <c r="O206" s="462"/>
      <c r="P206" s="462">
        <v>43069</v>
      </c>
      <c r="Q206" s="458"/>
      <c r="R206" s="458"/>
      <c r="S206" s="460"/>
      <c r="T206" s="247"/>
    </row>
    <row r="207" spans="1:20" x14ac:dyDescent="0.3">
      <c r="A207" s="312"/>
      <c r="B207" s="313"/>
      <c r="C207" s="314"/>
      <c r="D207" s="315"/>
      <c r="E207" s="315"/>
      <c r="F207" s="315"/>
      <c r="G207" s="315"/>
      <c r="H207" s="315"/>
      <c r="I207" s="315"/>
      <c r="J207" s="315"/>
      <c r="K207" s="315"/>
      <c r="L207" s="315"/>
      <c r="M207" s="315"/>
      <c r="N207" s="315"/>
      <c r="O207" s="315"/>
      <c r="P207" s="315"/>
      <c r="Q207" s="251"/>
      <c r="R207" s="251"/>
      <c r="S207" s="252"/>
      <c r="T207" s="247"/>
    </row>
    <row r="208" spans="1:20" s="349" customFormat="1" x14ac:dyDescent="0.3">
      <c r="A208" s="365"/>
      <c r="B208" s="358" t="s">
        <v>56</v>
      </c>
      <c r="C208" s="419"/>
      <c r="D208" s="387"/>
      <c r="E208" s="387"/>
      <c r="F208" s="387"/>
      <c r="G208" s="387"/>
      <c r="H208" s="387"/>
      <c r="I208" s="387"/>
      <c r="J208" s="387"/>
      <c r="K208" s="387"/>
      <c r="L208" s="387"/>
      <c r="M208" s="387"/>
      <c r="N208" s="387"/>
      <c r="O208" s="387"/>
      <c r="P208" s="379">
        <v>4.079E-2</v>
      </c>
      <c r="Q208" s="358"/>
      <c r="R208" s="358"/>
      <c r="S208" s="361"/>
      <c r="T208" s="348"/>
    </row>
    <row r="209" spans="1:20" s="349" customFormat="1" x14ac:dyDescent="0.3">
      <c r="A209" s="365"/>
      <c r="B209" s="358" t="s">
        <v>158</v>
      </c>
      <c r="C209" s="419"/>
      <c r="D209" s="387"/>
      <c r="E209" s="387"/>
      <c r="F209" s="387"/>
      <c r="G209" s="387"/>
      <c r="H209" s="387"/>
      <c r="I209" s="387"/>
      <c r="J209" s="387"/>
      <c r="K209" s="387"/>
      <c r="L209" s="387"/>
      <c r="M209" s="387"/>
      <c r="N209" s="387"/>
      <c r="O209" s="387"/>
      <c r="P209" s="379">
        <v>1.5340718167454973E-2</v>
      </c>
      <c r="Q209" s="358"/>
      <c r="R209" s="358"/>
      <c r="S209" s="361"/>
      <c r="T209" s="348"/>
    </row>
    <row r="210" spans="1:20" s="349" customFormat="1" x14ac:dyDescent="0.3">
      <c r="A210" s="365"/>
      <c r="B210" s="358" t="s">
        <v>57</v>
      </c>
      <c r="C210" s="419"/>
      <c r="D210" s="387"/>
      <c r="E210" s="387"/>
      <c r="F210" s="387"/>
      <c r="G210" s="387"/>
      <c r="H210" s="387"/>
      <c r="I210" s="387"/>
      <c r="J210" s="387"/>
      <c r="K210" s="387"/>
      <c r="L210" s="387"/>
      <c r="M210" s="387"/>
      <c r="N210" s="387"/>
      <c r="O210" s="387"/>
      <c r="P210" s="379">
        <f>P208-P209</f>
        <v>2.5449281832545027E-2</v>
      </c>
      <c r="Q210" s="358"/>
      <c r="R210" s="358"/>
      <c r="S210" s="361"/>
      <c r="T210" s="348"/>
    </row>
    <row r="211" spans="1:20" s="349" customFormat="1" x14ac:dyDescent="0.3">
      <c r="A211" s="365"/>
      <c r="B211" s="358" t="s">
        <v>161</v>
      </c>
      <c r="C211" s="419"/>
      <c r="D211" s="387"/>
      <c r="E211" s="387"/>
      <c r="F211" s="387"/>
      <c r="G211" s="387"/>
      <c r="H211" s="387"/>
      <c r="I211" s="387"/>
      <c r="J211" s="387"/>
      <c r="K211" s="387"/>
      <c r="L211" s="387"/>
      <c r="M211" s="387"/>
      <c r="N211" s="387"/>
      <c r="O211" s="387"/>
      <c r="P211" s="379">
        <v>4.3268800000000003E-2</v>
      </c>
      <c r="Q211" s="358"/>
      <c r="R211" s="358"/>
      <c r="S211" s="361"/>
      <c r="T211" s="348"/>
    </row>
    <row r="212" spans="1:20" s="349" customFormat="1" x14ac:dyDescent="0.3">
      <c r="A212" s="365"/>
      <c r="B212" s="358" t="s">
        <v>58</v>
      </c>
      <c r="C212" s="419"/>
      <c r="D212" s="387"/>
      <c r="E212" s="387"/>
      <c r="F212" s="387"/>
      <c r="G212" s="387"/>
      <c r="H212" s="387"/>
      <c r="I212" s="387"/>
      <c r="J212" s="387"/>
      <c r="K212" s="387"/>
      <c r="L212" s="387"/>
      <c r="M212" s="387"/>
      <c r="N212" s="387"/>
      <c r="O212" s="387"/>
      <c r="P212" s="379">
        <v>4.6809999999999997E-2</v>
      </c>
      <c r="Q212" s="358"/>
      <c r="R212" s="358"/>
      <c r="S212" s="361"/>
      <c r="T212" s="348"/>
    </row>
    <row r="213" spans="1:20" s="349" customFormat="1" x14ac:dyDescent="0.3">
      <c r="A213" s="365"/>
      <c r="B213" s="358" t="s">
        <v>159</v>
      </c>
      <c r="C213" s="419"/>
      <c r="D213" s="387"/>
      <c r="E213" s="387"/>
      <c r="F213" s="387"/>
      <c r="G213" s="387"/>
      <c r="H213" s="387"/>
      <c r="I213" s="387"/>
      <c r="J213" s="387"/>
      <c r="K213" s="387"/>
      <c r="L213" s="387"/>
      <c r="M213" s="387"/>
      <c r="N213" s="387"/>
      <c r="O213" s="387"/>
      <c r="P213" s="379">
        <f>R40</f>
        <v>1.4084677229652452E-2</v>
      </c>
      <c r="Q213" s="358"/>
      <c r="R213" s="358"/>
      <c r="S213" s="361"/>
      <c r="T213" s="348"/>
    </row>
    <row r="214" spans="1:20" s="349" customFormat="1" x14ac:dyDescent="0.3">
      <c r="A214" s="365"/>
      <c r="B214" s="358" t="s">
        <v>59</v>
      </c>
      <c r="C214" s="419"/>
      <c r="D214" s="387"/>
      <c r="E214" s="387"/>
      <c r="F214" s="387"/>
      <c r="G214" s="387"/>
      <c r="H214" s="387"/>
      <c r="I214" s="387"/>
      <c r="J214" s="387"/>
      <c r="K214" s="387"/>
      <c r="L214" s="387"/>
      <c r="M214" s="387"/>
      <c r="N214" s="387"/>
      <c r="O214" s="387"/>
      <c r="P214" s="379">
        <f>P212-P213</f>
        <v>3.2725322770347544E-2</v>
      </c>
      <c r="Q214" s="358"/>
      <c r="R214" s="358"/>
      <c r="S214" s="361"/>
      <c r="T214" s="348"/>
    </row>
    <row r="215" spans="1:20" s="349" customFormat="1" x14ac:dyDescent="0.3">
      <c r="A215" s="365"/>
      <c r="B215" s="358" t="s">
        <v>139</v>
      </c>
      <c r="C215" s="419"/>
      <c r="D215" s="387"/>
      <c r="E215" s="387"/>
      <c r="F215" s="387"/>
      <c r="G215" s="387"/>
      <c r="H215" s="387"/>
      <c r="I215" s="387"/>
      <c r="J215" s="387"/>
      <c r="K215" s="387"/>
      <c r="L215" s="387"/>
      <c r="M215" s="387"/>
      <c r="N215" s="387"/>
      <c r="O215" s="387"/>
      <c r="P215" s="379">
        <f>(+R100+R102)/H80</f>
        <v>1.2546044139407487E-2</v>
      </c>
      <c r="Q215" s="358"/>
      <c r="R215" s="358"/>
      <c r="S215" s="361"/>
      <c r="T215" s="348"/>
    </row>
    <row r="216" spans="1:20" s="349" customFormat="1" x14ac:dyDescent="0.3">
      <c r="A216" s="365"/>
      <c r="B216" s="358" t="s">
        <v>132</v>
      </c>
      <c r="C216" s="419"/>
      <c r="D216" s="387"/>
      <c r="E216" s="387"/>
      <c r="F216" s="387"/>
      <c r="G216" s="387"/>
      <c r="H216" s="387"/>
      <c r="I216" s="387"/>
      <c r="J216" s="387"/>
      <c r="K216" s="387"/>
      <c r="L216" s="387"/>
      <c r="M216" s="387"/>
      <c r="N216" s="387"/>
      <c r="O216" s="387"/>
      <c r="P216" s="420">
        <v>52124</v>
      </c>
      <c r="Q216" s="358"/>
      <c r="R216" s="358"/>
      <c r="S216" s="361"/>
      <c r="T216" s="348"/>
    </row>
    <row r="217" spans="1:20" s="349" customFormat="1" x14ac:dyDescent="0.3">
      <c r="A217" s="365"/>
      <c r="B217" s="358" t="s">
        <v>187</v>
      </c>
      <c r="C217" s="419"/>
      <c r="D217" s="387"/>
      <c r="E217" s="387"/>
      <c r="F217" s="387"/>
      <c r="G217" s="387"/>
      <c r="H217" s="387"/>
      <c r="I217" s="387"/>
      <c r="J217" s="387"/>
      <c r="K217" s="387"/>
      <c r="L217" s="387"/>
      <c r="M217" s="387"/>
      <c r="N217" s="387"/>
      <c r="O217" s="387"/>
      <c r="P217" s="420">
        <v>15599</v>
      </c>
      <c r="Q217" s="358"/>
      <c r="R217" s="358"/>
      <c r="S217" s="361"/>
      <c r="T217" s="348"/>
    </row>
    <row r="218" spans="1:20" s="349" customFormat="1" x14ac:dyDescent="0.3">
      <c r="A218" s="365"/>
      <c r="B218" s="358" t="s">
        <v>188</v>
      </c>
      <c r="C218" s="419"/>
      <c r="D218" s="387"/>
      <c r="E218" s="387"/>
      <c r="F218" s="387"/>
      <c r="G218" s="387"/>
      <c r="H218" s="387"/>
      <c r="I218" s="387"/>
      <c r="J218" s="387"/>
      <c r="K218" s="387"/>
      <c r="L218" s="387"/>
      <c r="M218" s="387"/>
      <c r="N218" s="387"/>
      <c r="O218" s="387"/>
      <c r="P218" s="420">
        <v>15599</v>
      </c>
      <c r="Q218" s="358"/>
      <c r="R218" s="358"/>
      <c r="S218" s="361"/>
      <c r="T218" s="348"/>
    </row>
    <row r="219" spans="1:20" s="349" customFormat="1" x14ac:dyDescent="0.3">
      <c r="A219" s="365"/>
      <c r="B219" s="358" t="s">
        <v>259</v>
      </c>
      <c r="C219" s="419"/>
      <c r="D219" s="387"/>
      <c r="E219" s="387"/>
      <c r="F219" s="387"/>
      <c r="G219" s="387"/>
      <c r="H219" s="387"/>
      <c r="I219" s="387"/>
      <c r="J219" s="387"/>
      <c r="K219" s="387"/>
      <c r="L219" s="387"/>
      <c r="M219" s="387"/>
      <c r="N219" s="387"/>
      <c r="O219" s="387"/>
      <c r="P219" s="420">
        <v>15599</v>
      </c>
      <c r="Q219" s="358"/>
      <c r="R219" s="358"/>
      <c r="S219" s="361"/>
      <c r="T219" s="348"/>
    </row>
    <row r="220" spans="1:20" s="349" customFormat="1" x14ac:dyDescent="0.3">
      <c r="A220" s="365"/>
      <c r="B220" s="358" t="s">
        <v>60</v>
      </c>
      <c r="C220" s="419"/>
      <c r="D220" s="387"/>
      <c r="E220" s="387"/>
      <c r="F220" s="387"/>
      <c r="G220" s="387"/>
      <c r="H220" s="387"/>
      <c r="I220" s="387"/>
      <c r="J220" s="387"/>
      <c r="K220" s="387"/>
      <c r="L220" s="387"/>
      <c r="M220" s="387"/>
      <c r="N220" s="387"/>
      <c r="O220" s="387"/>
      <c r="P220" s="385">
        <v>20.55</v>
      </c>
      <c r="Q220" s="358" t="s">
        <v>90</v>
      </c>
      <c r="R220" s="358"/>
      <c r="S220" s="361"/>
      <c r="T220" s="348"/>
    </row>
    <row r="221" spans="1:20" s="349" customFormat="1" x14ac:dyDescent="0.3">
      <c r="A221" s="365"/>
      <c r="B221" s="358" t="s">
        <v>61</v>
      </c>
      <c r="C221" s="419"/>
      <c r="D221" s="387"/>
      <c r="E221" s="387"/>
      <c r="F221" s="387"/>
      <c r="G221" s="387"/>
      <c r="H221" s="387"/>
      <c r="I221" s="387"/>
      <c r="J221" s="387"/>
      <c r="K221" s="387"/>
      <c r="L221" s="387"/>
      <c r="M221" s="387"/>
      <c r="N221" s="387"/>
      <c r="O221" s="387"/>
      <c r="P221" s="385">
        <v>17.760000000000002</v>
      </c>
      <c r="Q221" s="358" t="s">
        <v>90</v>
      </c>
      <c r="R221" s="358"/>
      <c r="S221" s="361"/>
      <c r="T221" s="348"/>
    </row>
    <row r="222" spans="1:20" s="349" customFormat="1" x14ac:dyDescent="0.3">
      <c r="A222" s="365"/>
      <c r="B222" s="358" t="s">
        <v>62</v>
      </c>
      <c r="C222" s="419"/>
      <c r="D222" s="387"/>
      <c r="E222" s="387"/>
      <c r="F222" s="387"/>
      <c r="G222" s="387"/>
      <c r="H222" s="387"/>
      <c r="I222" s="387"/>
      <c r="J222" s="387"/>
      <c r="K222" s="387"/>
      <c r="L222" s="387"/>
      <c r="M222" s="387"/>
      <c r="N222" s="387"/>
      <c r="O222" s="387"/>
      <c r="P222" s="379">
        <f>(+J64+L64+P64)/H64</f>
        <v>0.15902937379970405</v>
      </c>
      <c r="Q222" s="358"/>
      <c r="R222" s="358"/>
      <c r="S222" s="361"/>
      <c r="T222" s="348"/>
    </row>
    <row r="223" spans="1:20" s="349" customFormat="1" x14ac:dyDescent="0.3">
      <c r="A223" s="365"/>
      <c r="B223" s="358" t="s">
        <v>63</v>
      </c>
      <c r="C223" s="419"/>
      <c r="D223" s="387"/>
      <c r="E223" s="387"/>
      <c r="F223" s="387"/>
      <c r="G223" s="387"/>
      <c r="H223" s="387"/>
      <c r="I223" s="387"/>
      <c r="J223" s="387"/>
      <c r="K223" s="387"/>
      <c r="L223" s="387"/>
      <c r="M223" s="387"/>
      <c r="N223" s="387"/>
      <c r="O223" s="387"/>
      <c r="P223" s="379">
        <v>0.31419999999999998</v>
      </c>
      <c r="Q223" s="358"/>
      <c r="R223" s="358"/>
      <c r="S223" s="361"/>
      <c r="T223" s="348"/>
    </row>
    <row r="224" spans="1:20" x14ac:dyDescent="0.3">
      <c r="A224" s="312"/>
      <c r="B224" s="316"/>
      <c r="C224" s="316"/>
      <c r="D224" s="277"/>
      <c r="E224" s="277"/>
      <c r="F224" s="277"/>
      <c r="G224" s="277"/>
      <c r="H224" s="277"/>
      <c r="I224" s="277"/>
      <c r="J224" s="277"/>
      <c r="K224" s="277"/>
      <c r="L224" s="277"/>
      <c r="M224" s="277"/>
      <c r="N224" s="277"/>
      <c r="O224" s="277"/>
      <c r="P224" s="297"/>
      <c r="Q224" s="277"/>
      <c r="R224" s="317"/>
      <c r="S224" s="252"/>
      <c r="T224" s="247"/>
    </row>
    <row r="225" spans="1:20" x14ac:dyDescent="0.3">
      <c r="A225" s="463"/>
      <c r="B225" s="452" t="s">
        <v>64</v>
      </c>
      <c r="C225" s="453"/>
      <c r="D225" s="453"/>
      <c r="E225" s="453"/>
      <c r="F225" s="453"/>
      <c r="G225" s="453"/>
      <c r="H225" s="453"/>
      <c r="I225" s="453"/>
      <c r="J225" s="453"/>
      <c r="K225" s="453"/>
      <c r="L225" s="453"/>
      <c r="M225" s="453"/>
      <c r="N225" s="453"/>
      <c r="O225" s="453" t="s">
        <v>83</v>
      </c>
      <c r="P225" s="469" t="s">
        <v>88</v>
      </c>
      <c r="Q225" s="447"/>
      <c r="R225" s="447"/>
      <c r="S225" s="445"/>
      <c r="T225" s="247"/>
    </row>
    <row r="226" spans="1:20" s="349" customFormat="1" x14ac:dyDescent="0.3">
      <c r="A226" s="464"/>
      <c r="B226" s="393" t="s">
        <v>65</v>
      </c>
      <c r="C226" s="408"/>
      <c r="D226" s="465"/>
      <c r="E226" s="465"/>
      <c r="F226" s="465"/>
      <c r="G226" s="465"/>
      <c r="H226" s="465"/>
      <c r="I226" s="465"/>
      <c r="J226" s="465"/>
      <c r="K226" s="465"/>
      <c r="L226" s="465"/>
      <c r="M226" s="465"/>
      <c r="N226" s="465"/>
      <c r="O226" s="465">
        <v>0</v>
      </c>
      <c r="P226" s="466">
        <v>0</v>
      </c>
      <c r="Q226" s="393"/>
      <c r="R226" s="467"/>
      <c r="S226" s="468"/>
      <c r="T226" s="348"/>
    </row>
    <row r="227" spans="1:20" s="349" customFormat="1" x14ac:dyDescent="0.3">
      <c r="A227" s="421"/>
      <c r="B227" s="358" t="s">
        <v>113</v>
      </c>
      <c r="C227" s="403"/>
      <c r="D227" s="366"/>
      <c r="E227" s="366"/>
      <c r="F227" s="366"/>
      <c r="G227" s="366"/>
      <c r="H227" s="366"/>
      <c r="I227" s="366"/>
      <c r="J227" s="366"/>
      <c r="K227" s="366"/>
      <c r="L227" s="366"/>
      <c r="M227" s="366"/>
      <c r="N227" s="366"/>
      <c r="O227" s="422">
        <f>+N279</f>
        <v>0</v>
      </c>
      <c r="P227" s="423">
        <f>+P279</f>
        <v>0</v>
      </c>
      <c r="Q227" s="358"/>
      <c r="R227" s="424"/>
      <c r="S227" s="425"/>
      <c r="T227" s="348"/>
    </row>
    <row r="228" spans="1:20" s="349" customFormat="1" x14ac:dyDescent="0.3">
      <c r="A228" s="421"/>
      <c r="B228" s="358" t="s">
        <v>66</v>
      </c>
      <c r="C228" s="403"/>
      <c r="D228" s="366"/>
      <c r="E228" s="366"/>
      <c r="F228" s="366"/>
      <c r="G228" s="366"/>
      <c r="H228" s="366"/>
      <c r="I228" s="366"/>
      <c r="J228" s="366"/>
      <c r="K228" s="366"/>
      <c r="L228" s="366"/>
      <c r="M228" s="366"/>
      <c r="N228" s="366"/>
      <c r="O228" s="422">
        <f>+N291</f>
        <v>0</v>
      </c>
      <c r="P228" s="423">
        <f>+P291</f>
        <v>0</v>
      </c>
      <c r="Q228" s="358"/>
      <c r="R228" s="424"/>
      <c r="S228" s="425"/>
      <c r="T228" s="348"/>
    </row>
    <row r="229" spans="1:20" x14ac:dyDescent="0.3">
      <c r="A229" s="318"/>
      <c r="B229" s="266" t="s">
        <v>284</v>
      </c>
      <c r="C229" s="321"/>
      <c r="D229" s="291"/>
      <c r="E229" s="291"/>
      <c r="F229" s="291"/>
      <c r="G229" s="291"/>
      <c r="H229" s="291"/>
      <c r="I229" s="291"/>
      <c r="J229" s="291"/>
      <c r="K229" s="291"/>
      <c r="L229" s="291"/>
      <c r="M229" s="291"/>
      <c r="N229" s="291"/>
      <c r="O229" s="263"/>
      <c r="P229" s="423">
        <f>+P64</f>
        <v>5246</v>
      </c>
      <c r="Q229" s="291"/>
      <c r="R229" s="322"/>
      <c r="S229" s="320"/>
      <c r="T229" s="247"/>
    </row>
    <row r="230" spans="1:20" x14ac:dyDescent="0.3">
      <c r="A230" s="318"/>
      <c r="B230" s="266" t="s">
        <v>140</v>
      </c>
      <c r="C230" s="321"/>
      <c r="D230" s="291"/>
      <c r="E230" s="291"/>
      <c r="F230" s="291"/>
      <c r="G230" s="291"/>
      <c r="H230" s="291"/>
      <c r="I230" s="291"/>
      <c r="J230" s="291"/>
      <c r="K230" s="291"/>
      <c r="L230" s="291"/>
      <c r="M230" s="291"/>
      <c r="N230" s="291"/>
      <c r="O230" s="263"/>
      <c r="P230" s="423">
        <f>-J77</f>
        <v>0</v>
      </c>
      <c r="Q230" s="291"/>
      <c r="R230" s="322"/>
      <c r="S230" s="320"/>
      <c r="T230" s="247"/>
    </row>
    <row r="231" spans="1:20" x14ac:dyDescent="0.3">
      <c r="A231" s="323"/>
      <c r="B231" s="266" t="s">
        <v>67</v>
      </c>
      <c r="C231" s="324"/>
      <c r="D231" s="291"/>
      <c r="E231" s="291"/>
      <c r="F231" s="291"/>
      <c r="G231" s="291"/>
      <c r="H231" s="291"/>
      <c r="I231" s="291"/>
      <c r="J231" s="291"/>
      <c r="K231" s="291"/>
      <c r="L231" s="291"/>
      <c r="M231" s="291"/>
      <c r="N231" s="291"/>
      <c r="O231" s="263"/>
      <c r="P231" s="319"/>
      <c r="Q231" s="291"/>
      <c r="R231" s="322"/>
      <c r="S231" s="325"/>
      <c r="T231" s="247"/>
    </row>
    <row r="232" spans="1:20" s="349" customFormat="1" x14ac:dyDescent="0.3">
      <c r="A232" s="426"/>
      <c r="B232" s="358" t="s">
        <v>68</v>
      </c>
      <c r="C232" s="358"/>
      <c r="D232" s="358"/>
      <c r="E232" s="358"/>
      <c r="F232" s="358"/>
      <c r="G232" s="358"/>
      <c r="H232" s="358"/>
      <c r="I232" s="358"/>
      <c r="J232" s="358"/>
      <c r="K232" s="358"/>
      <c r="L232" s="358"/>
      <c r="M232" s="358"/>
      <c r="N232" s="358"/>
      <c r="O232" s="366"/>
      <c r="P232" s="423">
        <f>R162</f>
        <v>0</v>
      </c>
      <c r="Q232" s="358"/>
      <c r="R232" s="424"/>
      <c r="S232" s="427"/>
      <c r="T232" s="348"/>
    </row>
    <row r="233" spans="1:20" s="349" customFormat="1" x14ac:dyDescent="0.3">
      <c r="A233" s="421"/>
      <c r="B233" s="358" t="s">
        <v>69</v>
      </c>
      <c r="C233" s="403"/>
      <c r="D233" s="358"/>
      <c r="E233" s="358"/>
      <c r="F233" s="358"/>
      <c r="G233" s="358"/>
      <c r="H233" s="358"/>
      <c r="I233" s="358"/>
      <c r="J233" s="358"/>
      <c r="K233" s="358"/>
      <c r="L233" s="358"/>
      <c r="M233" s="358"/>
      <c r="N233" s="358"/>
      <c r="O233" s="366"/>
      <c r="P233" s="423">
        <f>'Aug 17'!P233+P232</f>
        <v>0</v>
      </c>
      <c r="Q233" s="358"/>
      <c r="R233" s="424"/>
      <c r="S233" s="427"/>
      <c r="T233" s="348"/>
    </row>
    <row r="234" spans="1:20" x14ac:dyDescent="0.3">
      <c r="A234" s="323"/>
      <c r="B234" s="266" t="s">
        <v>151</v>
      </c>
      <c r="C234" s="324"/>
      <c r="D234" s="291"/>
      <c r="E234" s="291"/>
      <c r="F234" s="291"/>
      <c r="G234" s="291"/>
      <c r="H234" s="291"/>
      <c r="I234" s="291"/>
      <c r="J234" s="291"/>
      <c r="K234" s="291"/>
      <c r="L234" s="291"/>
      <c r="M234" s="291"/>
      <c r="N234" s="291"/>
      <c r="O234" s="264"/>
      <c r="P234" s="319"/>
      <c r="Q234" s="291"/>
      <c r="R234" s="322"/>
      <c r="S234" s="325"/>
      <c r="T234" s="247"/>
    </row>
    <row r="235" spans="1:20" s="349" customFormat="1" x14ac:dyDescent="0.3">
      <c r="A235" s="426"/>
      <c r="B235" s="358" t="s">
        <v>160</v>
      </c>
      <c r="C235" s="358"/>
      <c r="D235" s="358"/>
      <c r="E235" s="358"/>
      <c r="F235" s="358"/>
      <c r="G235" s="358"/>
      <c r="H235" s="358"/>
      <c r="I235" s="358"/>
      <c r="J235" s="358"/>
      <c r="K235" s="358"/>
      <c r="L235" s="358"/>
      <c r="M235" s="358"/>
      <c r="N235" s="358"/>
      <c r="O235" s="366">
        <v>0</v>
      </c>
      <c r="P235" s="423">
        <v>0</v>
      </c>
      <c r="Q235" s="358"/>
      <c r="R235" s="424"/>
      <c r="S235" s="427"/>
      <c r="T235" s="348"/>
    </row>
    <row r="236" spans="1:20" s="349" customFormat="1" x14ac:dyDescent="0.3">
      <c r="A236" s="421"/>
      <c r="B236" s="358" t="s">
        <v>70</v>
      </c>
      <c r="C236" s="383"/>
      <c r="D236" s="358"/>
      <c r="E236" s="358"/>
      <c r="F236" s="358"/>
      <c r="G236" s="358"/>
      <c r="H236" s="358"/>
      <c r="I236" s="358"/>
      <c r="J236" s="358"/>
      <c r="K236" s="358"/>
      <c r="L236" s="358"/>
      <c r="M236" s="358"/>
      <c r="N236" s="358"/>
      <c r="O236" s="358"/>
      <c r="P236" s="428">
        <v>0</v>
      </c>
      <c r="Q236" s="358"/>
      <c r="R236" s="424"/>
      <c r="S236" s="427"/>
      <c r="T236" s="348"/>
    </row>
    <row r="237" spans="1:20" s="349" customFormat="1" x14ac:dyDescent="0.3">
      <c r="A237" s="421"/>
      <c r="B237" s="358" t="s">
        <v>71</v>
      </c>
      <c r="C237" s="383"/>
      <c r="D237" s="358"/>
      <c r="E237" s="358"/>
      <c r="F237" s="358"/>
      <c r="G237" s="358"/>
      <c r="H237" s="358"/>
      <c r="I237" s="358"/>
      <c r="J237" s="358"/>
      <c r="K237" s="358"/>
      <c r="L237" s="358"/>
      <c r="M237" s="358"/>
      <c r="N237" s="358"/>
      <c r="O237" s="358"/>
      <c r="P237" s="428">
        <v>0</v>
      </c>
      <c r="Q237" s="358"/>
      <c r="R237" s="424"/>
      <c r="S237" s="427"/>
      <c r="T237" s="348"/>
    </row>
    <row r="238" spans="1:20" x14ac:dyDescent="0.3">
      <c r="A238" s="318"/>
      <c r="B238" s="266" t="s">
        <v>136</v>
      </c>
      <c r="C238" s="326"/>
      <c r="D238" s="291"/>
      <c r="E238" s="291"/>
      <c r="F238" s="291"/>
      <c r="G238" s="291"/>
      <c r="H238" s="291"/>
      <c r="I238" s="291"/>
      <c r="J238" s="291"/>
      <c r="K238" s="291"/>
      <c r="L238" s="291"/>
      <c r="M238" s="291"/>
      <c r="N238" s="291"/>
      <c r="O238" s="263"/>
      <c r="P238" s="327"/>
      <c r="Q238" s="291"/>
      <c r="R238" s="322"/>
      <c r="S238" s="325"/>
      <c r="T238" s="247"/>
    </row>
    <row r="239" spans="1:20" s="349" customFormat="1" x14ac:dyDescent="0.3">
      <c r="A239" s="421"/>
      <c r="B239" s="358" t="s">
        <v>160</v>
      </c>
      <c r="C239" s="383"/>
      <c r="D239" s="358"/>
      <c r="E239" s="358"/>
      <c r="F239" s="358"/>
      <c r="G239" s="358"/>
      <c r="H239" s="358"/>
      <c r="I239" s="358"/>
      <c r="J239" s="358"/>
      <c r="K239" s="358"/>
      <c r="L239" s="358"/>
      <c r="M239" s="358"/>
      <c r="N239" s="358"/>
      <c r="O239" s="366">
        <v>0</v>
      </c>
      <c r="P239" s="423">
        <v>0</v>
      </c>
      <c r="Q239" s="358"/>
      <c r="R239" s="424"/>
      <c r="S239" s="427"/>
      <c r="T239" s="348"/>
    </row>
    <row r="240" spans="1:20" s="349" customFormat="1" x14ac:dyDescent="0.3">
      <c r="A240" s="421"/>
      <c r="B240" s="358" t="s">
        <v>137</v>
      </c>
      <c r="C240" s="383"/>
      <c r="D240" s="358"/>
      <c r="E240" s="358"/>
      <c r="F240" s="358"/>
      <c r="G240" s="358"/>
      <c r="H240" s="358"/>
      <c r="I240" s="358"/>
      <c r="J240" s="358"/>
      <c r="K240" s="358"/>
      <c r="L240" s="358"/>
      <c r="M240" s="358"/>
      <c r="N240" s="358"/>
      <c r="O240" s="358"/>
      <c r="P240" s="428">
        <v>0</v>
      </c>
      <c r="Q240" s="358"/>
      <c r="R240" s="424"/>
      <c r="S240" s="427"/>
      <c r="T240" s="348"/>
    </row>
    <row r="241" spans="1:20" x14ac:dyDescent="0.3">
      <c r="A241" s="318"/>
      <c r="B241" s="324"/>
      <c r="C241" s="326"/>
      <c r="D241" s="291"/>
      <c r="E241" s="291"/>
      <c r="F241" s="291"/>
      <c r="G241" s="291"/>
      <c r="H241" s="291"/>
      <c r="I241" s="291"/>
      <c r="J241" s="291"/>
      <c r="K241" s="291"/>
      <c r="L241" s="291"/>
      <c r="M241" s="291"/>
      <c r="N241" s="291"/>
      <c r="O241" s="263"/>
      <c r="P241" s="327"/>
      <c r="Q241" s="291"/>
      <c r="R241" s="322"/>
      <c r="S241" s="325"/>
      <c r="T241" s="247"/>
    </row>
    <row r="242" spans="1:20" x14ac:dyDescent="0.3">
      <c r="A242" s="318"/>
      <c r="B242" s="324"/>
      <c r="C242" s="326"/>
      <c r="D242" s="291"/>
      <c r="E242" s="291"/>
      <c r="F242" s="291"/>
      <c r="G242" s="291"/>
      <c r="H242" s="291"/>
      <c r="I242" s="291"/>
      <c r="J242" s="291"/>
      <c r="K242" s="291"/>
      <c r="L242" s="291"/>
      <c r="M242" s="291"/>
      <c r="N242" s="291"/>
      <c r="O242" s="291"/>
      <c r="P242" s="328"/>
      <c r="Q242" s="291"/>
      <c r="R242" s="322"/>
      <c r="S242" s="325"/>
      <c r="T242" s="247"/>
    </row>
    <row r="243" spans="1:20" ht="18" x14ac:dyDescent="0.35">
      <c r="A243" s="318"/>
      <c r="B243" s="329" t="s">
        <v>129</v>
      </c>
      <c r="C243" s="326"/>
      <c r="D243" s="291"/>
      <c r="E243" s="291"/>
      <c r="F243" s="291"/>
      <c r="G243" s="291"/>
      <c r="H243" s="291"/>
      <c r="I243" s="291"/>
      <c r="J243" s="291"/>
      <c r="K243" s="291"/>
      <c r="L243" s="330"/>
      <c r="M243" s="291"/>
      <c r="N243" s="342" t="s">
        <v>291</v>
      </c>
      <c r="O243" s="330"/>
      <c r="P243" s="328"/>
      <c r="Q243" s="291"/>
      <c r="R243" s="322"/>
      <c r="S243" s="325"/>
      <c r="T243" s="247"/>
    </row>
    <row r="244" spans="1:20" ht="18" x14ac:dyDescent="0.35">
      <c r="A244" s="331"/>
      <c r="B244" s="332"/>
      <c r="C244" s="333"/>
      <c r="D244" s="277"/>
      <c r="E244" s="277"/>
      <c r="F244" s="277"/>
      <c r="G244" s="277"/>
      <c r="H244" s="277"/>
      <c r="I244" s="277"/>
      <c r="J244" s="277"/>
      <c r="K244" s="277"/>
      <c r="L244" s="334"/>
      <c r="M244" s="277"/>
      <c r="N244" s="277"/>
      <c r="O244" s="277"/>
      <c r="P244" s="335"/>
      <c r="Q244" s="277"/>
      <c r="R244" s="317"/>
      <c r="S244" s="336"/>
      <c r="T244" s="247"/>
    </row>
    <row r="245" spans="1:20" x14ac:dyDescent="0.3">
      <c r="A245" s="443"/>
      <c r="B245" s="452" t="s">
        <v>152</v>
      </c>
      <c r="C245" s="453"/>
      <c r="D245" s="453"/>
      <c r="E245" s="453"/>
      <c r="F245" s="453"/>
      <c r="G245" s="453"/>
      <c r="H245" s="453"/>
      <c r="I245" s="453"/>
      <c r="J245" s="453"/>
      <c r="K245" s="453"/>
      <c r="L245" s="453"/>
      <c r="M245" s="453"/>
      <c r="N245" s="469" t="s">
        <v>83</v>
      </c>
      <c r="O245" s="453" t="s">
        <v>84</v>
      </c>
      <c r="P245" s="469" t="s">
        <v>89</v>
      </c>
      <c r="Q245" s="453" t="s">
        <v>84</v>
      </c>
      <c r="R245" s="447"/>
      <c r="S245" s="470"/>
      <c r="T245" s="247"/>
    </row>
    <row r="246" spans="1:20" s="349" customFormat="1" x14ac:dyDescent="0.3">
      <c r="A246" s="344"/>
      <c r="B246" s="408" t="s">
        <v>72</v>
      </c>
      <c r="C246" s="471"/>
      <c r="D246" s="471"/>
      <c r="E246" s="471"/>
      <c r="F246" s="471"/>
      <c r="G246" s="471"/>
      <c r="H246" s="471"/>
      <c r="I246" s="471"/>
      <c r="J246" s="471"/>
      <c r="K246" s="471"/>
      <c r="L246" s="471"/>
      <c r="M246" s="471"/>
      <c r="N246" s="408">
        <f>+N258+N270+N282</f>
        <v>679</v>
      </c>
      <c r="O246" s="472">
        <f>N246/$N$255</f>
        <v>1</v>
      </c>
      <c r="P246" s="411">
        <f t="shared" ref="P246:P253" si="5">+P258+P270+P282</f>
        <v>106847</v>
      </c>
      <c r="Q246" s="472">
        <f t="shared" ref="Q246:Q253" si="6">P246/$P$255</f>
        <v>1</v>
      </c>
      <c r="R246" s="467"/>
      <c r="S246" s="473"/>
      <c r="T246" s="348"/>
    </row>
    <row r="247" spans="1:20" s="349" customFormat="1" x14ac:dyDescent="0.3">
      <c r="A247" s="365"/>
      <c r="B247" s="403" t="s">
        <v>73</v>
      </c>
      <c r="C247" s="429"/>
      <c r="D247" s="429"/>
      <c r="E247" s="429"/>
      <c r="F247" s="429"/>
      <c r="G247" s="429"/>
      <c r="H247" s="429"/>
      <c r="I247" s="429"/>
      <c r="J247" s="429"/>
      <c r="K247" s="429"/>
      <c r="L247" s="429"/>
      <c r="M247" s="429"/>
      <c r="N247" s="403">
        <f t="shared" ref="N247:N253" si="7">+N259+N271+N283</f>
        <v>0</v>
      </c>
      <c r="O247" s="430">
        <f t="shared" ref="O247:O253" si="8">N247/$N$255</f>
        <v>0</v>
      </c>
      <c r="P247" s="404">
        <f t="shared" si="5"/>
        <v>0</v>
      </c>
      <c r="Q247" s="430">
        <f t="shared" si="6"/>
        <v>0</v>
      </c>
      <c r="R247" s="424"/>
      <c r="S247" s="427"/>
      <c r="T247" s="348"/>
    </row>
    <row r="248" spans="1:20" s="349" customFormat="1" x14ac:dyDescent="0.3">
      <c r="A248" s="365"/>
      <c r="B248" s="403" t="s">
        <v>74</v>
      </c>
      <c r="C248" s="429"/>
      <c r="D248" s="429"/>
      <c r="E248" s="429"/>
      <c r="F248" s="429"/>
      <c r="G248" s="429"/>
      <c r="H248" s="429"/>
      <c r="I248" s="429"/>
      <c r="J248" s="429"/>
      <c r="K248" s="429"/>
      <c r="L248" s="429"/>
      <c r="M248" s="429"/>
      <c r="N248" s="403">
        <f t="shared" si="7"/>
        <v>0</v>
      </c>
      <c r="O248" s="430">
        <f t="shared" si="8"/>
        <v>0</v>
      </c>
      <c r="P248" s="404">
        <f t="shared" si="5"/>
        <v>0</v>
      </c>
      <c r="Q248" s="430">
        <f t="shared" si="6"/>
        <v>0</v>
      </c>
      <c r="R248" s="424"/>
      <c r="S248" s="427"/>
      <c r="T248" s="348"/>
    </row>
    <row r="249" spans="1:20" s="349" customFormat="1" x14ac:dyDescent="0.3">
      <c r="A249" s="365"/>
      <c r="B249" s="403" t="s">
        <v>119</v>
      </c>
      <c r="C249" s="429"/>
      <c r="D249" s="429"/>
      <c r="E249" s="429"/>
      <c r="F249" s="429"/>
      <c r="G249" s="429"/>
      <c r="H249" s="429"/>
      <c r="I249" s="429"/>
      <c r="J249" s="429"/>
      <c r="K249" s="429"/>
      <c r="L249" s="429"/>
      <c r="M249" s="429"/>
      <c r="N249" s="403">
        <f t="shared" si="7"/>
        <v>0</v>
      </c>
      <c r="O249" s="430">
        <f t="shared" si="8"/>
        <v>0</v>
      </c>
      <c r="P249" s="404">
        <f t="shared" si="5"/>
        <v>0</v>
      </c>
      <c r="Q249" s="430">
        <f t="shared" si="6"/>
        <v>0</v>
      </c>
      <c r="R249" s="424"/>
      <c r="S249" s="427"/>
      <c r="T249" s="348"/>
    </row>
    <row r="250" spans="1:20" s="349" customFormat="1" x14ac:dyDescent="0.3">
      <c r="A250" s="365"/>
      <c r="B250" s="403" t="s">
        <v>120</v>
      </c>
      <c r="C250" s="429"/>
      <c r="D250" s="429"/>
      <c r="E250" s="429"/>
      <c r="F250" s="429"/>
      <c r="G250" s="429"/>
      <c r="H250" s="429"/>
      <c r="I250" s="429"/>
      <c r="J250" s="429"/>
      <c r="K250" s="429"/>
      <c r="L250" s="429"/>
      <c r="M250" s="429"/>
      <c r="N250" s="403">
        <f t="shared" si="7"/>
        <v>0</v>
      </c>
      <c r="O250" s="430">
        <f t="shared" si="8"/>
        <v>0</v>
      </c>
      <c r="P250" s="404">
        <f t="shared" si="5"/>
        <v>0</v>
      </c>
      <c r="Q250" s="430">
        <f t="shared" si="6"/>
        <v>0</v>
      </c>
      <c r="R250" s="424"/>
      <c r="S250" s="427"/>
      <c r="T250" s="348"/>
    </row>
    <row r="251" spans="1:20" s="349" customFormat="1" x14ac:dyDescent="0.3">
      <c r="A251" s="365"/>
      <c r="B251" s="403" t="s">
        <v>121</v>
      </c>
      <c r="C251" s="429"/>
      <c r="D251" s="429"/>
      <c r="E251" s="429"/>
      <c r="F251" s="429"/>
      <c r="G251" s="429"/>
      <c r="H251" s="429"/>
      <c r="I251" s="429"/>
      <c r="J251" s="429"/>
      <c r="K251" s="429"/>
      <c r="L251" s="429"/>
      <c r="M251" s="429"/>
      <c r="N251" s="403">
        <f t="shared" si="7"/>
        <v>0</v>
      </c>
      <c r="O251" s="430">
        <f t="shared" si="8"/>
        <v>0</v>
      </c>
      <c r="P251" s="404">
        <f t="shared" si="5"/>
        <v>0</v>
      </c>
      <c r="Q251" s="430">
        <f t="shared" si="6"/>
        <v>0</v>
      </c>
      <c r="R251" s="424"/>
      <c r="S251" s="427"/>
      <c r="T251" s="348"/>
    </row>
    <row r="252" spans="1:20" s="349" customFormat="1" x14ac:dyDescent="0.3">
      <c r="A252" s="365"/>
      <c r="B252" s="403" t="s">
        <v>122</v>
      </c>
      <c r="C252" s="429"/>
      <c r="D252" s="429"/>
      <c r="E252" s="429"/>
      <c r="F252" s="429"/>
      <c r="G252" s="429"/>
      <c r="H252" s="429"/>
      <c r="I252" s="429"/>
      <c r="J252" s="429"/>
      <c r="K252" s="429"/>
      <c r="L252" s="429"/>
      <c r="M252" s="429"/>
      <c r="N252" s="403">
        <f t="shared" si="7"/>
        <v>0</v>
      </c>
      <c r="O252" s="430">
        <f t="shared" si="8"/>
        <v>0</v>
      </c>
      <c r="P252" s="404">
        <f t="shared" si="5"/>
        <v>0</v>
      </c>
      <c r="Q252" s="430">
        <f t="shared" si="6"/>
        <v>0</v>
      </c>
      <c r="R252" s="424"/>
      <c r="S252" s="427"/>
      <c r="T252" s="348"/>
    </row>
    <row r="253" spans="1:20" s="349" customFormat="1" x14ac:dyDescent="0.3">
      <c r="A253" s="365"/>
      <c r="B253" s="403" t="s">
        <v>123</v>
      </c>
      <c r="C253" s="429"/>
      <c r="D253" s="429"/>
      <c r="E253" s="429"/>
      <c r="F253" s="429"/>
      <c r="G253" s="429"/>
      <c r="H253" s="429"/>
      <c r="I253" s="429"/>
      <c r="J253" s="429"/>
      <c r="K253" s="429"/>
      <c r="L253" s="429"/>
      <c r="M253" s="429"/>
      <c r="N253" s="403">
        <f t="shared" si="7"/>
        <v>0</v>
      </c>
      <c r="O253" s="430">
        <f t="shared" si="8"/>
        <v>0</v>
      </c>
      <c r="P253" s="404">
        <f t="shared" si="5"/>
        <v>0</v>
      </c>
      <c r="Q253" s="430">
        <f t="shared" si="6"/>
        <v>0</v>
      </c>
      <c r="R253" s="424"/>
      <c r="S253" s="427"/>
      <c r="T253" s="348"/>
    </row>
    <row r="254" spans="1:20" s="349" customFormat="1" x14ac:dyDescent="0.3">
      <c r="A254" s="365"/>
      <c r="B254" s="403"/>
      <c r="C254" s="429"/>
      <c r="D254" s="429"/>
      <c r="E254" s="429"/>
      <c r="F254" s="429"/>
      <c r="G254" s="429"/>
      <c r="H254" s="429"/>
      <c r="I254" s="429"/>
      <c r="J254" s="429"/>
      <c r="K254" s="429"/>
      <c r="L254" s="429"/>
      <c r="M254" s="429"/>
      <c r="N254" s="403"/>
      <c r="O254" s="430"/>
      <c r="P254" s="404"/>
      <c r="Q254" s="430"/>
      <c r="R254" s="424"/>
      <c r="S254" s="427"/>
      <c r="T254" s="348"/>
    </row>
    <row r="255" spans="1:20" s="349" customFormat="1" x14ac:dyDescent="0.3">
      <c r="A255" s="365"/>
      <c r="B255" s="358" t="s">
        <v>94</v>
      </c>
      <c r="C255" s="358"/>
      <c r="D255" s="431"/>
      <c r="E255" s="431"/>
      <c r="F255" s="431"/>
      <c r="G255" s="431"/>
      <c r="H255" s="431"/>
      <c r="I255" s="431"/>
      <c r="J255" s="431"/>
      <c r="K255" s="431"/>
      <c r="L255" s="431"/>
      <c r="M255" s="431"/>
      <c r="N255" s="403">
        <f>SUM(N246:N254)</f>
        <v>679</v>
      </c>
      <c r="O255" s="430">
        <f>SUM(O246:O254)</f>
        <v>1</v>
      </c>
      <c r="P255" s="404">
        <f>SUM(P246:P254)</f>
        <v>106847</v>
      </c>
      <c r="Q255" s="430">
        <f>SUM(Q246:Q254)</f>
        <v>1</v>
      </c>
      <c r="R255" s="358"/>
      <c r="S255" s="361"/>
      <c r="T255" s="348"/>
    </row>
    <row r="256" spans="1:20" x14ac:dyDescent="0.3">
      <c r="A256" s="249"/>
      <c r="B256" s="316"/>
      <c r="C256" s="333"/>
      <c r="D256" s="277"/>
      <c r="E256" s="277"/>
      <c r="F256" s="277"/>
      <c r="G256" s="277"/>
      <c r="H256" s="277"/>
      <c r="I256" s="277"/>
      <c r="J256" s="277"/>
      <c r="K256" s="277"/>
      <c r="L256" s="277"/>
      <c r="M256" s="277"/>
      <c r="N256" s="277"/>
      <c r="O256" s="277"/>
      <c r="P256" s="335"/>
      <c r="Q256" s="277"/>
      <c r="R256" s="277"/>
      <c r="S256" s="252"/>
      <c r="T256" s="247"/>
    </row>
    <row r="257" spans="1:21" x14ac:dyDescent="0.3">
      <c r="A257" s="443"/>
      <c r="B257" s="452" t="s">
        <v>124</v>
      </c>
      <c r="C257" s="453"/>
      <c r="D257" s="453"/>
      <c r="E257" s="453"/>
      <c r="F257" s="453"/>
      <c r="G257" s="453"/>
      <c r="H257" s="453"/>
      <c r="I257" s="453"/>
      <c r="J257" s="453"/>
      <c r="K257" s="453"/>
      <c r="L257" s="453"/>
      <c r="M257" s="453"/>
      <c r="N257" s="469" t="s">
        <v>83</v>
      </c>
      <c r="O257" s="453" t="s">
        <v>84</v>
      </c>
      <c r="P257" s="469" t="s">
        <v>89</v>
      </c>
      <c r="Q257" s="453" t="s">
        <v>84</v>
      </c>
      <c r="R257" s="447"/>
      <c r="S257" s="470"/>
      <c r="T257" s="247"/>
    </row>
    <row r="258" spans="1:21" s="349" customFormat="1" x14ac:dyDescent="0.3">
      <c r="A258" s="344"/>
      <c r="B258" s="408" t="s">
        <v>72</v>
      </c>
      <c r="C258" s="471"/>
      <c r="D258" s="471"/>
      <c r="E258" s="471"/>
      <c r="F258" s="471"/>
      <c r="G258" s="471"/>
      <c r="H258" s="471"/>
      <c r="I258" s="471"/>
      <c r="J258" s="471"/>
      <c r="K258" s="471"/>
      <c r="L258" s="471"/>
      <c r="M258" s="471"/>
      <c r="N258" s="408">
        <v>679</v>
      </c>
      <c r="O258" s="472">
        <f>N258/$N$267</f>
        <v>1</v>
      </c>
      <c r="P258" s="411">
        <v>106847</v>
      </c>
      <c r="Q258" s="472">
        <f>P258/$P$267</f>
        <v>1</v>
      </c>
      <c r="R258" s="467"/>
      <c r="S258" s="473"/>
      <c r="T258" s="348"/>
    </row>
    <row r="259" spans="1:21" s="349" customFormat="1" x14ac:dyDescent="0.3">
      <c r="A259" s="365"/>
      <c r="B259" s="403" t="s">
        <v>73</v>
      </c>
      <c r="C259" s="429"/>
      <c r="D259" s="429"/>
      <c r="E259" s="429"/>
      <c r="F259" s="429"/>
      <c r="G259" s="429"/>
      <c r="H259" s="429"/>
      <c r="I259" s="429"/>
      <c r="J259" s="429"/>
      <c r="K259" s="429"/>
      <c r="L259" s="429"/>
      <c r="M259" s="429"/>
      <c r="N259" s="403">
        <v>0</v>
      </c>
      <c r="O259" s="430">
        <f t="shared" ref="O259:O265" si="9">N259/$N$267</f>
        <v>0</v>
      </c>
      <c r="P259" s="404">
        <v>0</v>
      </c>
      <c r="Q259" s="430">
        <f t="shared" ref="Q259:Q265" si="10">P259/$P$267</f>
        <v>0</v>
      </c>
      <c r="R259" s="424"/>
      <c r="S259" s="427"/>
      <c r="T259" s="348"/>
      <c r="U259" s="407"/>
    </row>
    <row r="260" spans="1:21" s="349" customFormat="1" x14ac:dyDescent="0.3">
      <c r="A260" s="365"/>
      <c r="B260" s="403" t="s">
        <v>74</v>
      </c>
      <c r="C260" s="429"/>
      <c r="D260" s="429"/>
      <c r="E260" s="429"/>
      <c r="F260" s="429"/>
      <c r="G260" s="429"/>
      <c r="H260" s="429"/>
      <c r="I260" s="429"/>
      <c r="J260" s="429"/>
      <c r="K260" s="429"/>
      <c r="L260" s="429"/>
      <c r="M260" s="429"/>
      <c r="N260" s="403">
        <v>0</v>
      </c>
      <c r="O260" s="430">
        <f t="shared" si="9"/>
        <v>0</v>
      </c>
      <c r="P260" s="404">
        <v>0</v>
      </c>
      <c r="Q260" s="430">
        <f t="shared" si="10"/>
        <v>0</v>
      </c>
      <c r="R260" s="424"/>
      <c r="S260" s="427"/>
      <c r="T260" s="348"/>
    </row>
    <row r="261" spans="1:21" s="349" customFormat="1" x14ac:dyDescent="0.3">
      <c r="A261" s="365"/>
      <c r="B261" s="403" t="s">
        <v>119</v>
      </c>
      <c r="C261" s="429"/>
      <c r="D261" s="429"/>
      <c r="E261" s="429"/>
      <c r="F261" s="429"/>
      <c r="G261" s="429"/>
      <c r="H261" s="429"/>
      <c r="I261" s="429"/>
      <c r="J261" s="429"/>
      <c r="K261" s="429"/>
      <c r="L261" s="429"/>
      <c r="M261" s="429"/>
      <c r="N261" s="403">
        <v>0</v>
      </c>
      <c r="O261" s="430">
        <f t="shared" si="9"/>
        <v>0</v>
      </c>
      <c r="P261" s="404">
        <v>0</v>
      </c>
      <c r="Q261" s="430">
        <f t="shared" si="10"/>
        <v>0</v>
      </c>
      <c r="R261" s="424"/>
      <c r="S261" s="427"/>
      <c r="T261" s="348"/>
      <c r="U261" s="407"/>
    </row>
    <row r="262" spans="1:21" s="349" customFormat="1" x14ac:dyDescent="0.3">
      <c r="A262" s="365"/>
      <c r="B262" s="403" t="s">
        <v>120</v>
      </c>
      <c r="C262" s="429"/>
      <c r="D262" s="429"/>
      <c r="E262" s="429"/>
      <c r="F262" s="429"/>
      <c r="G262" s="429"/>
      <c r="H262" s="429"/>
      <c r="I262" s="429"/>
      <c r="J262" s="429"/>
      <c r="K262" s="429"/>
      <c r="L262" s="429"/>
      <c r="M262" s="429"/>
      <c r="N262" s="403">
        <v>0</v>
      </c>
      <c r="O262" s="430">
        <f t="shared" si="9"/>
        <v>0</v>
      </c>
      <c r="P262" s="404">
        <v>0</v>
      </c>
      <c r="Q262" s="430">
        <f t="shared" si="10"/>
        <v>0</v>
      </c>
      <c r="R262" s="424"/>
      <c r="S262" s="427"/>
      <c r="T262" s="348"/>
    </row>
    <row r="263" spans="1:21" s="349" customFormat="1" x14ac:dyDescent="0.3">
      <c r="A263" s="365"/>
      <c r="B263" s="403" t="s">
        <v>121</v>
      </c>
      <c r="C263" s="429"/>
      <c r="D263" s="429"/>
      <c r="E263" s="429"/>
      <c r="F263" s="429"/>
      <c r="G263" s="429"/>
      <c r="H263" s="429"/>
      <c r="I263" s="429"/>
      <c r="J263" s="429"/>
      <c r="K263" s="429"/>
      <c r="L263" s="429"/>
      <c r="M263" s="429"/>
      <c r="N263" s="403">
        <v>0</v>
      </c>
      <c r="O263" s="430">
        <f t="shared" si="9"/>
        <v>0</v>
      </c>
      <c r="P263" s="404">
        <v>0</v>
      </c>
      <c r="Q263" s="430">
        <f t="shared" si="10"/>
        <v>0</v>
      </c>
      <c r="R263" s="424"/>
      <c r="S263" s="427"/>
      <c r="T263" s="348"/>
      <c r="U263" s="407"/>
    </row>
    <row r="264" spans="1:21" s="349" customFormat="1" x14ac:dyDescent="0.3">
      <c r="A264" s="365"/>
      <c r="B264" s="403" t="s">
        <v>122</v>
      </c>
      <c r="C264" s="429"/>
      <c r="D264" s="429"/>
      <c r="E264" s="429"/>
      <c r="F264" s="429"/>
      <c r="G264" s="429"/>
      <c r="H264" s="429"/>
      <c r="I264" s="429"/>
      <c r="J264" s="429"/>
      <c r="K264" s="429"/>
      <c r="L264" s="429"/>
      <c r="M264" s="429"/>
      <c r="N264" s="403">
        <v>0</v>
      </c>
      <c r="O264" s="430">
        <f t="shared" si="9"/>
        <v>0</v>
      </c>
      <c r="P264" s="404">
        <v>0</v>
      </c>
      <c r="Q264" s="430">
        <f t="shared" si="10"/>
        <v>0</v>
      </c>
      <c r="R264" s="424"/>
      <c r="S264" s="427"/>
      <c r="T264" s="348"/>
    </row>
    <row r="265" spans="1:21" s="349" customFormat="1" x14ac:dyDescent="0.3">
      <c r="A265" s="365"/>
      <c r="B265" s="403" t="s">
        <v>123</v>
      </c>
      <c r="C265" s="429"/>
      <c r="D265" s="429"/>
      <c r="E265" s="429"/>
      <c r="F265" s="429"/>
      <c r="G265" s="429"/>
      <c r="H265" s="429"/>
      <c r="I265" s="429"/>
      <c r="J265" s="429"/>
      <c r="K265" s="429"/>
      <c r="L265" s="429"/>
      <c r="M265" s="429"/>
      <c r="N265" s="403">
        <v>0</v>
      </c>
      <c r="O265" s="430">
        <f t="shared" si="9"/>
        <v>0</v>
      </c>
      <c r="P265" s="404">
        <v>0</v>
      </c>
      <c r="Q265" s="430">
        <f t="shared" si="10"/>
        <v>0</v>
      </c>
      <c r="R265" s="424"/>
      <c r="S265" s="427"/>
      <c r="T265" s="348"/>
      <c r="U265" s="407"/>
    </row>
    <row r="266" spans="1:21" s="349" customFormat="1" x14ac:dyDescent="0.3">
      <c r="A266" s="365"/>
      <c r="B266" s="403"/>
      <c r="C266" s="429"/>
      <c r="D266" s="429"/>
      <c r="E266" s="429"/>
      <c r="F266" s="429"/>
      <c r="G266" s="429"/>
      <c r="H266" s="429"/>
      <c r="I266" s="429"/>
      <c r="J266" s="429"/>
      <c r="K266" s="429"/>
      <c r="L266" s="429"/>
      <c r="M266" s="429"/>
      <c r="N266" s="403"/>
      <c r="O266" s="430"/>
      <c r="P266" s="404"/>
      <c r="Q266" s="430"/>
      <c r="R266" s="424"/>
      <c r="S266" s="427"/>
      <c r="T266" s="348"/>
    </row>
    <row r="267" spans="1:21" s="349" customFormat="1" x14ac:dyDescent="0.3">
      <c r="A267" s="365"/>
      <c r="B267" s="358" t="s">
        <v>94</v>
      </c>
      <c r="C267" s="358"/>
      <c r="D267" s="431"/>
      <c r="E267" s="431"/>
      <c r="F267" s="431"/>
      <c r="G267" s="431"/>
      <c r="H267" s="431"/>
      <c r="I267" s="431"/>
      <c r="J267" s="431"/>
      <c r="K267" s="431"/>
      <c r="L267" s="431"/>
      <c r="M267" s="431"/>
      <c r="N267" s="403">
        <f>SUM(N258:N266)</f>
        <v>679</v>
      </c>
      <c r="O267" s="430">
        <f>SUM(O258:O266)</f>
        <v>1</v>
      </c>
      <c r="P267" s="404">
        <f>SUM(P258:P266)</f>
        <v>106847</v>
      </c>
      <c r="Q267" s="430">
        <f>SUM(Q258:Q266)</f>
        <v>1</v>
      </c>
      <c r="R267" s="358"/>
      <c r="S267" s="361"/>
      <c r="T267" s="348"/>
    </row>
    <row r="268" spans="1:21" x14ac:dyDescent="0.3">
      <c r="A268" s="249"/>
      <c r="B268" s="277"/>
      <c r="C268" s="277"/>
      <c r="D268" s="337"/>
      <c r="E268" s="337"/>
      <c r="F268" s="337"/>
      <c r="G268" s="337"/>
      <c r="H268" s="337"/>
      <c r="I268" s="337"/>
      <c r="J268" s="337"/>
      <c r="K268" s="337"/>
      <c r="L268" s="337"/>
      <c r="M268" s="337"/>
      <c r="N268" s="287"/>
      <c r="O268" s="338"/>
      <c r="P268" s="339"/>
      <c r="Q268" s="338"/>
      <c r="R268" s="277"/>
      <c r="S268" s="252"/>
      <c r="T268" s="247"/>
    </row>
    <row r="269" spans="1:21" x14ac:dyDescent="0.3">
      <c r="A269" s="443"/>
      <c r="B269" s="452" t="s">
        <v>146</v>
      </c>
      <c r="C269" s="453"/>
      <c r="D269" s="453"/>
      <c r="E269" s="453"/>
      <c r="F269" s="453"/>
      <c r="G269" s="453"/>
      <c r="H269" s="453"/>
      <c r="I269" s="453"/>
      <c r="J269" s="453"/>
      <c r="K269" s="453"/>
      <c r="L269" s="453"/>
      <c r="M269" s="453"/>
      <c r="N269" s="469" t="s">
        <v>83</v>
      </c>
      <c r="O269" s="453" t="s">
        <v>84</v>
      </c>
      <c r="P269" s="469" t="s">
        <v>89</v>
      </c>
      <c r="Q269" s="453" t="s">
        <v>84</v>
      </c>
      <c r="R269" s="447"/>
      <c r="S269" s="445"/>
      <c r="T269" s="247"/>
    </row>
    <row r="270" spans="1:21" s="349" customFormat="1" x14ac:dyDescent="0.3">
      <c r="A270" s="344"/>
      <c r="B270" s="408" t="s">
        <v>72</v>
      </c>
      <c r="C270" s="471"/>
      <c r="D270" s="471"/>
      <c r="E270" s="471"/>
      <c r="F270" s="471"/>
      <c r="G270" s="471"/>
      <c r="H270" s="471"/>
      <c r="I270" s="471"/>
      <c r="J270" s="471"/>
      <c r="K270" s="471"/>
      <c r="L270" s="471"/>
      <c r="M270" s="471"/>
      <c r="N270" s="408">
        <v>0</v>
      </c>
      <c r="O270" s="472">
        <v>0</v>
      </c>
      <c r="P270" s="411">
        <v>0</v>
      </c>
      <c r="Q270" s="472">
        <v>0</v>
      </c>
      <c r="R270" s="393"/>
      <c r="S270" s="347"/>
      <c r="T270" s="348"/>
    </row>
    <row r="271" spans="1:21" s="349" customFormat="1" x14ac:dyDescent="0.3">
      <c r="A271" s="365"/>
      <c r="B271" s="403" t="s">
        <v>73</v>
      </c>
      <c r="C271" s="429"/>
      <c r="D271" s="429"/>
      <c r="E271" s="429"/>
      <c r="F271" s="429"/>
      <c r="G271" s="429"/>
      <c r="H271" s="429"/>
      <c r="I271" s="429"/>
      <c r="J271" s="429"/>
      <c r="K271" s="429"/>
      <c r="L271" s="429"/>
      <c r="M271" s="429"/>
      <c r="N271" s="403">
        <v>0</v>
      </c>
      <c r="O271" s="430">
        <v>0</v>
      </c>
      <c r="P271" s="404">
        <v>0</v>
      </c>
      <c r="Q271" s="430">
        <v>0</v>
      </c>
      <c r="R271" s="358"/>
      <c r="S271" s="361"/>
      <c r="T271" s="348"/>
    </row>
    <row r="272" spans="1:21" s="349" customFormat="1" x14ac:dyDescent="0.3">
      <c r="A272" s="365"/>
      <c r="B272" s="403" t="s">
        <v>74</v>
      </c>
      <c r="C272" s="429"/>
      <c r="D272" s="429"/>
      <c r="E272" s="429"/>
      <c r="F272" s="429"/>
      <c r="G272" s="429"/>
      <c r="H272" s="429"/>
      <c r="I272" s="429"/>
      <c r="J272" s="429"/>
      <c r="K272" s="429"/>
      <c r="L272" s="429"/>
      <c r="M272" s="429"/>
      <c r="N272" s="403">
        <v>0</v>
      </c>
      <c r="O272" s="430">
        <v>0</v>
      </c>
      <c r="P272" s="404">
        <v>0</v>
      </c>
      <c r="Q272" s="430">
        <v>0</v>
      </c>
      <c r="R272" s="358"/>
      <c r="S272" s="361"/>
      <c r="T272" s="348"/>
    </row>
    <row r="273" spans="1:20" s="349" customFormat="1" x14ac:dyDescent="0.3">
      <c r="A273" s="365"/>
      <c r="B273" s="403" t="s">
        <v>119</v>
      </c>
      <c r="C273" s="429"/>
      <c r="D273" s="429"/>
      <c r="E273" s="429"/>
      <c r="F273" s="429"/>
      <c r="G273" s="429"/>
      <c r="H273" s="429"/>
      <c r="I273" s="429"/>
      <c r="J273" s="429"/>
      <c r="K273" s="429"/>
      <c r="L273" s="429"/>
      <c r="M273" s="429"/>
      <c r="N273" s="403">
        <v>0</v>
      </c>
      <c r="O273" s="430">
        <v>0</v>
      </c>
      <c r="P273" s="404">
        <v>0</v>
      </c>
      <c r="Q273" s="430">
        <v>0</v>
      </c>
      <c r="R273" s="358"/>
      <c r="S273" s="361"/>
      <c r="T273" s="348"/>
    </row>
    <row r="274" spans="1:20" s="349" customFormat="1" x14ac:dyDescent="0.3">
      <c r="A274" s="365"/>
      <c r="B274" s="403" t="s">
        <v>120</v>
      </c>
      <c r="C274" s="429"/>
      <c r="D274" s="429"/>
      <c r="E274" s="429"/>
      <c r="F274" s="429"/>
      <c r="G274" s="429"/>
      <c r="H274" s="429"/>
      <c r="I274" s="429"/>
      <c r="J274" s="429"/>
      <c r="K274" s="429"/>
      <c r="L274" s="429"/>
      <c r="M274" s="429"/>
      <c r="N274" s="403">
        <v>0</v>
      </c>
      <c r="O274" s="430">
        <v>0</v>
      </c>
      <c r="P274" s="404">
        <v>0</v>
      </c>
      <c r="Q274" s="430">
        <v>0</v>
      </c>
      <c r="R274" s="358"/>
      <c r="S274" s="361"/>
      <c r="T274" s="348"/>
    </row>
    <row r="275" spans="1:20" s="349" customFormat="1" x14ac:dyDescent="0.3">
      <c r="A275" s="365"/>
      <c r="B275" s="403" t="s">
        <v>121</v>
      </c>
      <c r="C275" s="429"/>
      <c r="D275" s="429"/>
      <c r="E275" s="429"/>
      <c r="F275" s="429"/>
      <c r="G275" s="429"/>
      <c r="H275" s="429"/>
      <c r="I275" s="429"/>
      <c r="J275" s="429"/>
      <c r="K275" s="429"/>
      <c r="L275" s="429"/>
      <c r="M275" s="429"/>
      <c r="N275" s="403">
        <v>0</v>
      </c>
      <c r="O275" s="430">
        <v>0</v>
      </c>
      <c r="P275" s="404">
        <v>0</v>
      </c>
      <c r="Q275" s="430">
        <v>0</v>
      </c>
      <c r="R275" s="358"/>
      <c r="S275" s="361"/>
      <c r="T275" s="348"/>
    </row>
    <row r="276" spans="1:20" s="349" customFormat="1" x14ac:dyDescent="0.3">
      <c r="A276" s="365"/>
      <c r="B276" s="403" t="s">
        <v>122</v>
      </c>
      <c r="C276" s="429"/>
      <c r="D276" s="429"/>
      <c r="E276" s="429"/>
      <c r="F276" s="429"/>
      <c r="G276" s="429"/>
      <c r="H276" s="429"/>
      <c r="I276" s="429"/>
      <c r="J276" s="429"/>
      <c r="K276" s="429"/>
      <c r="L276" s="429"/>
      <c r="M276" s="429"/>
      <c r="N276" s="403">
        <v>0</v>
      </c>
      <c r="O276" s="430">
        <v>0</v>
      </c>
      <c r="P276" s="404">
        <v>0</v>
      </c>
      <c r="Q276" s="430">
        <v>0</v>
      </c>
      <c r="R276" s="358"/>
      <c r="S276" s="361"/>
      <c r="T276" s="348"/>
    </row>
    <row r="277" spans="1:20" s="349" customFormat="1" x14ac:dyDescent="0.3">
      <c r="A277" s="365"/>
      <c r="B277" s="403" t="s">
        <v>123</v>
      </c>
      <c r="C277" s="429"/>
      <c r="D277" s="429"/>
      <c r="E277" s="429"/>
      <c r="F277" s="429"/>
      <c r="G277" s="429"/>
      <c r="H277" s="429"/>
      <c r="I277" s="429"/>
      <c r="J277" s="429"/>
      <c r="K277" s="429"/>
      <c r="L277" s="429"/>
      <c r="M277" s="429"/>
      <c r="N277" s="403">
        <v>0</v>
      </c>
      <c r="O277" s="430">
        <v>0</v>
      </c>
      <c r="P277" s="404">
        <v>0</v>
      </c>
      <c r="Q277" s="430">
        <v>0</v>
      </c>
      <c r="R277" s="358"/>
      <c r="S277" s="361"/>
      <c r="T277" s="348"/>
    </row>
    <row r="278" spans="1:20" s="349" customFormat="1" x14ac:dyDescent="0.3">
      <c r="A278" s="365"/>
      <c r="B278" s="403"/>
      <c r="C278" s="429"/>
      <c r="D278" s="429"/>
      <c r="E278" s="429"/>
      <c r="F278" s="429"/>
      <c r="G278" s="429"/>
      <c r="H278" s="429"/>
      <c r="I278" s="429"/>
      <c r="J278" s="429"/>
      <c r="K278" s="429"/>
      <c r="L278" s="429"/>
      <c r="M278" s="429"/>
      <c r="N278" s="403"/>
      <c r="O278" s="430"/>
      <c r="P278" s="404"/>
      <c r="Q278" s="430"/>
      <c r="R278" s="358"/>
      <c r="S278" s="361"/>
      <c r="T278" s="348"/>
    </row>
    <row r="279" spans="1:20" s="349" customFormat="1" x14ac:dyDescent="0.3">
      <c r="A279" s="365"/>
      <c r="B279" s="358" t="s">
        <v>94</v>
      </c>
      <c r="C279" s="358"/>
      <c r="D279" s="431"/>
      <c r="E279" s="431"/>
      <c r="F279" s="431"/>
      <c r="G279" s="431"/>
      <c r="H279" s="431"/>
      <c r="I279" s="431"/>
      <c r="J279" s="431"/>
      <c r="K279" s="431"/>
      <c r="L279" s="431"/>
      <c r="M279" s="431"/>
      <c r="N279" s="403">
        <f>SUM(N270:N278)</f>
        <v>0</v>
      </c>
      <c r="O279" s="430">
        <f>SUM(O270:O278)</f>
        <v>0</v>
      </c>
      <c r="P279" s="404">
        <f>SUM(P270:P278)</f>
        <v>0</v>
      </c>
      <c r="Q279" s="430">
        <f>SUM(Q270:Q278)</f>
        <v>0</v>
      </c>
      <c r="R279" s="358"/>
      <c r="S279" s="361"/>
      <c r="T279" s="348"/>
    </row>
    <row r="280" spans="1:20" x14ac:dyDescent="0.3">
      <c r="A280" s="249"/>
      <c r="B280" s="277"/>
      <c r="C280" s="277"/>
      <c r="D280" s="337"/>
      <c r="E280" s="337"/>
      <c r="F280" s="337"/>
      <c r="G280" s="337"/>
      <c r="H280" s="337"/>
      <c r="I280" s="337"/>
      <c r="J280" s="337"/>
      <c r="K280" s="337"/>
      <c r="L280" s="337"/>
      <c r="M280" s="337"/>
      <c r="N280" s="287"/>
      <c r="O280" s="338"/>
      <c r="P280" s="339"/>
      <c r="Q280" s="338"/>
      <c r="R280" s="277"/>
      <c r="S280" s="252"/>
      <c r="T280" s="247"/>
    </row>
    <row r="281" spans="1:20" x14ac:dyDescent="0.3">
      <c r="A281" s="443"/>
      <c r="B281" s="452" t="s">
        <v>125</v>
      </c>
      <c r="C281" s="447"/>
      <c r="D281" s="475"/>
      <c r="E281" s="475"/>
      <c r="F281" s="475"/>
      <c r="G281" s="475"/>
      <c r="H281" s="475"/>
      <c r="I281" s="475"/>
      <c r="J281" s="475"/>
      <c r="K281" s="475"/>
      <c r="L281" s="475"/>
      <c r="M281" s="475"/>
      <c r="N281" s="469" t="s">
        <v>83</v>
      </c>
      <c r="O281" s="453" t="s">
        <v>84</v>
      </c>
      <c r="P281" s="469" t="s">
        <v>89</v>
      </c>
      <c r="Q281" s="453" t="s">
        <v>84</v>
      </c>
      <c r="R281" s="447"/>
      <c r="S281" s="445"/>
      <c r="T281" s="247"/>
    </row>
    <row r="282" spans="1:20" s="349" customFormat="1" x14ac:dyDescent="0.3">
      <c r="A282" s="344"/>
      <c r="B282" s="408" t="s">
        <v>72</v>
      </c>
      <c r="C282" s="393"/>
      <c r="D282" s="474"/>
      <c r="E282" s="474"/>
      <c r="F282" s="474"/>
      <c r="G282" s="474"/>
      <c r="H282" s="474"/>
      <c r="I282" s="474"/>
      <c r="J282" s="474"/>
      <c r="K282" s="474"/>
      <c r="L282" s="474"/>
      <c r="M282" s="474"/>
      <c r="N282" s="408">
        <v>0</v>
      </c>
      <c r="O282" s="472">
        <v>0</v>
      </c>
      <c r="P282" s="411">
        <v>0</v>
      </c>
      <c r="Q282" s="472">
        <v>0</v>
      </c>
      <c r="R282" s="393"/>
      <c r="S282" s="347"/>
      <c r="T282" s="348"/>
    </row>
    <row r="283" spans="1:20" s="349" customFormat="1" x14ac:dyDescent="0.3">
      <c r="A283" s="365"/>
      <c r="B283" s="403" t="s">
        <v>73</v>
      </c>
      <c r="C283" s="358"/>
      <c r="D283" s="431"/>
      <c r="E283" s="431"/>
      <c r="F283" s="431"/>
      <c r="G283" s="431"/>
      <c r="H283" s="431"/>
      <c r="I283" s="431"/>
      <c r="J283" s="431"/>
      <c r="K283" s="431"/>
      <c r="L283" s="431"/>
      <c r="M283" s="431"/>
      <c r="N283" s="403">
        <v>0</v>
      </c>
      <c r="O283" s="430">
        <v>0</v>
      </c>
      <c r="P283" s="404">
        <v>0</v>
      </c>
      <c r="Q283" s="430">
        <v>0</v>
      </c>
      <c r="R283" s="358"/>
      <c r="S283" s="361"/>
      <c r="T283" s="348"/>
    </row>
    <row r="284" spans="1:20" s="349" customFormat="1" x14ac:dyDescent="0.3">
      <c r="A284" s="365"/>
      <c r="B284" s="403" t="s">
        <v>74</v>
      </c>
      <c r="C284" s="358"/>
      <c r="D284" s="431"/>
      <c r="E284" s="431"/>
      <c r="F284" s="431"/>
      <c r="G284" s="431"/>
      <c r="H284" s="431"/>
      <c r="I284" s="431"/>
      <c r="J284" s="431"/>
      <c r="K284" s="431"/>
      <c r="L284" s="431"/>
      <c r="M284" s="431"/>
      <c r="N284" s="403">
        <v>0</v>
      </c>
      <c r="O284" s="430">
        <v>0</v>
      </c>
      <c r="P284" s="404">
        <v>0</v>
      </c>
      <c r="Q284" s="430">
        <v>0</v>
      </c>
      <c r="R284" s="358"/>
      <c r="S284" s="361"/>
      <c r="T284" s="348"/>
    </row>
    <row r="285" spans="1:20" s="349" customFormat="1" x14ac:dyDescent="0.3">
      <c r="A285" s="365"/>
      <c r="B285" s="403" t="s">
        <v>119</v>
      </c>
      <c r="C285" s="358"/>
      <c r="D285" s="431"/>
      <c r="E285" s="431"/>
      <c r="F285" s="431"/>
      <c r="G285" s="431"/>
      <c r="H285" s="431"/>
      <c r="I285" s="431"/>
      <c r="J285" s="431"/>
      <c r="K285" s="431"/>
      <c r="L285" s="431"/>
      <c r="M285" s="431"/>
      <c r="N285" s="403">
        <v>0</v>
      </c>
      <c r="O285" s="430">
        <v>0</v>
      </c>
      <c r="P285" s="404">
        <v>0</v>
      </c>
      <c r="Q285" s="430">
        <v>0</v>
      </c>
      <c r="R285" s="358"/>
      <c r="S285" s="361"/>
      <c r="T285" s="348"/>
    </row>
    <row r="286" spans="1:20" s="349" customFormat="1" x14ac:dyDescent="0.3">
      <c r="A286" s="365"/>
      <c r="B286" s="403" t="s">
        <v>120</v>
      </c>
      <c r="C286" s="358"/>
      <c r="D286" s="431"/>
      <c r="E286" s="431"/>
      <c r="F286" s="431"/>
      <c r="G286" s="431"/>
      <c r="H286" s="431"/>
      <c r="I286" s="431"/>
      <c r="J286" s="431"/>
      <c r="K286" s="431"/>
      <c r="L286" s="431"/>
      <c r="M286" s="431"/>
      <c r="N286" s="403">
        <v>0</v>
      </c>
      <c r="O286" s="430">
        <v>0</v>
      </c>
      <c r="P286" s="404">
        <v>0</v>
      </c>
      <c r="Q286" s="430">
        <v>0</v>
      </c>
      <c r="R286" s="358"/>
      <c r="S286" s="361"/>
      <c r="T286" s="348"/>
    </row>
    <row r="287" spans="1:20" s="349" customFormat="1" x14ac:dyDescent="0.3">
      <c r="A287" s="365"/>
      <c r="B287" s="403" t="s">
        <v>121</v>
      </c>
      <c r="C287" s="358"/>
      <c r="D287" s="431"/>
      <c r="E287" s="431"/>
      <c r="F287" s="431"/>
      <c r="G287" s="431"/>
      <c r="H287" s="431"/>
      <c r="I287" s="431"/>
      <c r="J287" s="431"/>
      <c r="K287" s="431"/>
      <c r="L287" s="431"/>
      <c r="M287" s="431"/>
      <c r="N287" s="403">
        <v>0</v>
      </c>
      <c r="O287" s="430">
        <v>0</v>
      </c>
      <c r="P287" s="404">
        <v>0</v>
      </c>
      <c r="Q287" s="430">
        <v>0</v>
      </c>
      <c r="R287" s="358"/>
      <c r="S287" s="361"/>
      <c r="T287" s="348"/>
    </row>
    <row r="288" spans="1:20" s="349" customFormat="1" x14ac:dyDescent="0.3">
      <c r="A288" s="365"/>
      <c r="B288" s="403" t="s">
        <v>122</v>
      </c>
      <c r="C288" s="358"/>
      <c r="D288" s="431"/>
      <c r="E288" s="431"/>
      <c r="F288" s="431"/>
      <c r="G288" s="431"/>
      <c r="H288" s="431"/>
      <c r="I288" s="431"/>
      <c r="J288" s="431"/>
      <c r="K288" s="431"/>
      <c r="L288" s="431"/>
      <c r="M288" s="431"/>
      <c r="N288" s="403">
        <v>0</v>
      </c>
      <c r="O288" s="430">
        <v>0</v>
      </c>
      <c r="P288" s="404">
        <v>0</v>
      </c>
      <c r="Q288" s="430">
        <v>0</v>
      </c>
      <c r="R288" s="358"/>
      <c r="S288" s="361"/>
      <c r="T288" s="348"/>
    </row>
    <row r="289" spans="1:20" s="349" customFormat="1" x14ac:dyDescent="0.3">
      <c r="A289" s="365"/>
      <c r="B289" s="403" t="s">
        <v>123</v>
      </c>
      <c r="C289" s="358"/>
      <c r="D289" s="431"/>
      <c r="E289" s="431"/>
      <c r="F289" s="431"/>
      <c r="G289" s="431"/>
      <c r="H289" s="431"/>
      <c r="I289" s="431"/>
      <c r="J289" s="431"/>
      <c r="K289" s="431"/>
      <c r="L289" s="431"/>
      <c r="M289" s="431"/>
      <c r="N289" s="403">
        <v>0</v>
      </c>
      <c r="O289" s="430">
        <v>0</v>
      </c>
      <c r="P289" s="404">
        <v>0</v>
      </c>
      <c r="Q289" s="430">
        <v>0</v>
      </c>
      <c r="R289" s="358"/>
      <c r="S289" s="361"/>
      <c r="T289" s="348"/>
    </row>
    <row r="290" spans="1:20" s="349" customFormat="1" x14ac:dyDescent="0.3">
      <c r="A290" s="365"/>
      <c r="B290" s="403"/>
      <c r="C290" s="358"/>
      <c r="D290" s="431"/>
      <c r="E290" s="431"/>
      <c r="F290" s="431"/>
      <c r="G290" s="431"/>
      <c r="H290" s="431"/>
      <c r="I290" s="431"/>
      <c r="J290" s="431"/>
      <c r="K290" s="431"/>
      <c r="L290" s="431"/>
      <c r="M290" s="431"/>
      <c r="N290" s="403"/>
      <c r="O290" s="430"/>
      <c r="P290" s="404"/>
      <c r="Q290" s="430"/>
      <c r="R290" s="358"/>
      <c r="S290" s="361"/>
      <c r="T290" s="348"/>
    </row>
    <row r="291" spans="1:20" s="349" customFormat="1" x14ac:dyDescent="0.3">
      <c r="A291" s="365"/>
      <c r="B291" s="358" t="s">
        <v>94</v>
      </c>
      <c r="C291" s="358"/>
      <c r="D291" s="431"/>
      <c r="E291" s="431"/>
      <c r="F291" s="431"/>
      <c r="G291" s="431"/>
      <c r="H291" s="431"/>
      <c r="I291" s="431"/>
      <c r="J291" s="431"/>
      <c r="K291" s="431"/>
      <c r="L291" s="431"/>
      <c r="M291" s="431"/>
      <c r="N291" s="403">
        <f>SUM(N282:N289)</f>
        <v>0</v>
      </c>
      <c r="O291" s="430">
        <f>SUM(O282:O289)</f>
        <v>0</v>
      </c>
      <c r="P291" s="404">
        <f>SUM(P282:P289)</f>
        <v>0</v>
      </c>
      <c r="Q291" s="430">
        <f>SUM(Q282:Q289)</f>
        <v>0</v>
      </c>
      <c r="R291" s="358"/>
      <c r="S291" s="361"/>
      <c r="T291" s="348"/>
    </row>
    <row r="292" spans="1:20" s="349" customFormat="1" x14ac:dyDescent="0.3">
      <c r="A292" s="365"/>
      <c r="B292" s="358"/>
      <c r="C292" s="358"/>
      <c r="D292" s="431"/>
      <c r="E292" s="431"/>
      <c r="F292" s="431"/>
      <c r="G292" s="431"/>
      <c r="H292" s="431"/>
      <c r="I292" s="431"/>
      <c r="J292" s="431"/>
      <c r="K292" s="431"/>
      <c r="L292" s="431"/>
      <c r="M292" s="431"/>
      <c r="N292" s="403"/>
      <c r="O292" s="430"/>
      <c r="P292" s="404"/>
      <c r="Q292" s="430"/>
      <c r="R292" s="358"/>
      <c r="S292" s="361"/>
      <c r="T292" s="348"/>
    </row>
    <row r="293" spans="1:20" s="349" customFormat="1" x14ac:dyDescent="0.3">
      <c r="A293" s="365"/>
      <c r="B293" s="362" t="s">
        <v>177</v>
      </c>
      <c r="C293" s="358"/>
      <c r="D293" s="431"/>
      <c r="E293" s="431"/>
      <c r="F293" s="431"/>
      <c r="G293" s="431"/>
      <c r="H293" s="431"/>
      <c r="I293" s="431"/>
      <c r="J293" s="431"/>
      <c r="K293" s="431"/>
      <c r="L293" s="431"/>
      <c r="M293" s="431"/>
      <c r="N293" s="432">
        <f>N291+N279+N267</f>
        <v>679</v>
      </c>
      <c r="O293" s="430"/>
      <c r="P293" s="433">
        <f>+P291+P279+P267</f>
        <v>106847</v>
      </c>
      <c r="Q293" s="430"/>
      <c r="R293" s="358"/>
      <c r="S293" s="361"/>
      <c r="T293" s="348"/>
    </row>
    <row r="294" spans="1:20" s="349" customFormat="1" x14ac:dyDescent="0.3">
      <c r="A294" s="365"/>
      <c r="B294" s="362" t="s">
        <v>217</v>
      </c>
      <c r="C294" s="362"/>
      <c r="D294" s="434"/>
      <c r="E294" s="434"/>
      <c r="F294" s="434"/>
      <c r="G294" s="434"/>
      <c r="H294" s="434"/>
      <c r="I294" s="434"/>
      <c r="J294" s="434"/>
      <c r="K294" s="434"/>
      <c r="L294" s="434"/>
      <c r="M294" s="434"/>
      <c r="N294" s="432"/>
      <c r="O294" s="435"/>
      <c r="P294" s="433">
        <f>+R180</f>
        <v>0</v>
      </c>
      <c r="Q294" s="430"/>
      <c r="R294" s="358"/>
      <c r="S294" s="361"/>
      <c r="T294" s="348"/>
    </row>
    <row r="295" spans="1:20" s="349" customFormat="1" x14ac:dyDescent="0.3">
      <c r="A295" s="365"/>
      <c r="B295" s="362" t="s">
        <v>126</v>
      </c>
      <c r="C295" s="362"/>
      <c r="D295" s="434"/>
      <c r="E295" s="434"/>
      <c r="F295" s="434"/>
      <c r="G295" s="434"/>
      <c r="H295" s="434"/>
      <c r="I295" s="434"/>
      <c r="J295" s="434"/>
      <c r="K295" s="434"/>
      <c r="L295" s="434"/>
      <c r="M295" s="434"/>
      <c r="N295" s="432"/>
      <c r="O295" s="435"/>
      <c r="P295" s="433">
        <f>+P293+P294</f>
        <v>106847</v>
      </c>
      <c r="Q295" s="430"/>
      <c r="R295" s="358"/>
      <c r="S295" s="361"/>
      <c r="T295" s="348"/>
    </row>
    <row r="296" spans="1:20" s="349" customFormat="1" x14ac:dyDescent="0.3">
      <c r="A296" s="365"/>
      <c r="B296" s="362" t="s">
        <v>176</v>
      </c>
      <c r="C296" s="358"/>
      <c r="D296" s="431"/>
      <c r="E296" s="431"/>
      <c r="F296" s="431"/>
      <c r="G296" s="431"/>
      <c r="H296" s="431"/>
      <c r="I296" s="431"/>
      <c r="J296" s="431"/>
      <c r="K296" s="431"/>
      <c r="L296" s="431"/>
      <c r="M296" s="431"/>
      <c r="N296" s="432"/>
      <c r="O296" s="430"/>
      <c r="P296" s="433">
        <f>+R80</f>
        <v>106847</v>
      </c>
      <c r="Q296" s="430"/>
      <c r="R296" s="358"/>
      <c r="S296" s="361"/>
      <c r="T296" s="348"/>
    </row>
    <row r="297" spans="1:20" s="349" customFormat="1" x14ac:dyDescent="0.3">
      <c r="A297" s="365"/>
      <c r="B297" s="362"/>
      <c r="C297" s="358"/>
      <c r="D297" s="431"/>
      <c r="E297" s="431"/>
      <c r="F297" s="431"/>
      <c r="G297" s="431"/>
      <c r="H297" s="431"/>
      <c r="I297" s="431"/>
      <c r="J297" s="431"/>
      <c r="K297" s="431"/>
      <c r="L297" s="431"/>
      <c r="M297" s="431"/>
      <c r="N297" s="432"/>
      <c r="O297" s="430"/>
      <c r="P297" s="433"/>
      <c r="Q297" s="430"/>
      <c r="R297" s="358"/>
      <c r="S297" s="361"/>
      <c r="T297" s="348"/>
    </row>
    <row r="298" spans="1:20" s="349" customFormat="1" x14ac:dyDescent="0.3">
      <c r="A298" s="365"/>
      <c r="B298" s="362" t="s">
        <v>202</v>
      </c>
      <c r="C298" s="358"/>
      <c r="D298" s="431"/>
      <c r="E298" s="431"/>
      <c r="F298" s="431"/>
      <c r="G298" s="431"/>
      <c r="H298" s="431"/>
      <c r="I298" s="431"/>
      <c r="J298" s="431"/>
      <c r="K298" s="431"/>
      <c r="L298" s="431"/>
      <c r="M298" s="431"/>
      <c r="N298" s="432"/>
      <c r="O298" s="430"/>
      <c r="P298" s="436">
        <f>(L33+R147)/R33</f>
        <v>0.14040650529061874</v>
      </c>
      <c r="Q298" s="430"/>
      <c r="R298" s="358"/>
      <c r="S298" s="361"/>
      <c r="T298" s="348"/>
    </row>
    <row r="299" spans="1:20" s="349" customFormat="1" x14ac:dyDescent="0.3">
      <c r="A299" s="344"/>
      <c r="B299" s="346"/>
      <c r="C299" s="346"/>
      <c r="D299" s="437"/>
      <c r="E299" s="437"/>
      <c r="F299" s="437"/>
      <c r="G299" s="437"/>
      <c r="H299" s="437"/>
      <c r="I299" s="437"/>
      <c r="J299" s="437"/>
      <c r="K299" s="437"/>
      <c r="L299" s="437"/>
      <c r="M299" s="437"/>
      <c r="N299" s="437"/>
      <c r="O299" s="437"/>
      <c r="P299" s="438"/>
      <c r="Q299" s="437"/>
      <c r="R299" s="346"/>
      <c r="S299" s="347"/>
      <c r="T299" s="348"/>
    </row>
    <row r="300" spans="1:20" s="349" customFormat="1" x14ac:dyDescent="0.3">
      <c r="A300" s="344"/>
      <c r="B300" s="350" t="s">
        <v>75</v>
      </c>
      <c r="C300" s="346"/>
      <c r="D300" s="439" t="s">
        <v>79</v>
      </c>
      <c r="E300" s="350"/>
      <c r="F300" s="350" t="s">
        <v>80</v>
      </c>
      <c r="G300" s="346"/>
      <c r="H300" s="350"/>
      <c r="I300" s="346"/>
      <c r="J300" s="346"/>
      <c r="K300" s="346"/>
      <c r="L300" s="346"/>
      <c r="M300" s="346"/>
      <c r="N300" s="346"/>
      <c r="O300" s="346"/>
      <c r="P300" s="346"/>
      <c r="Q300" s="346"/>
      <c r="R300" s="346"/>
      <c r="S300" s="347"/>
      <c r="T300" s="348"/>
    </row>
    <row r="301" spans="1:20" s="349" customFormat="1" x14ac:dyDescent="0.3">
      <c r="A301" s="344"/>
      <c r="B301" s="346"/>
      <c r="C301" s="346"/>
      <c r="D301" s="346"/>
      <c r="E301" s="346"/>
      <c r="F301" s="346"/>
      <c r="G301" s="346"/>
      <c r="H301" s="346"/>
      <c r="I301" s="346"/>
      <c r="J301" s="346"/>
      <c r="K301" s="346"/>
      <c r="L301" s="346"/>
      <c r="M301" s="346"/>
      <c r="N301" s="346"/>
      <c r="O301" s="346"/>
      <c r="P301" s="346"/>
      <c r="Q301" s="346"/>
      <c r="R301" s="346"/>
      <c r="S301" s="347"/>
      <c r="T301" s="348"/>
    </row>
    <row r="302" spans="1:20" s="349" customFormat="1" x14ac:dyDescent="0.3">
      <c r="A302" s="344"/>
      <c r="B302" s="350" t="s">
        <v>193</v>
      </c>
      <c r="C302" s="350"/>
      <c r="D302" s="440" t="s">
        <v>147</v>
      </c>
      <c r="E302" s="350"/>
      <c r="F302" s="441" t="s">
        <v>292</v>
      </c>
      <c r="G302" s="350"/>
      <c r="H302" s="350"/>
      <c r="I302" s="346"/>
      <c r="J302" s="346"/>
      <c r="K302" s="346"/>
      <c r="L302" s="346"/>
      <c r="M302" s="346"/>
      <c r="N302" s="346"/>
      <c r="O302" s="346"/>
      <c r="P302" s="346"/>
      <c r="Q302" s="346"/>
      <c r="R302" s="346"/>
      <c r="S302" s="347"/>
      <c r="T302" s="348"/>
    </row>
    <row r="303" spans="1:20" s="349" customFormat="1" x14ac:dyDescent="0.3">
      <c r="A303" s="344"/>
      <c r="B303" s="350" t="s">
        <v>194</v>
      </c>
      <c r="C303" s="350"/>
      <c r="D303" s="440" t="s">
        <v>114</v>
      </c>
      <c r="E303" s="350"/>
      <c r="F303" s="441" t="s">
        <v>293</v>
      </c>
      <c r="G303" s="350"/>
      <c r="H303" s="350"/>
      <c r="I303" s="346"/>
      <c r="J303" s="346"/>
      <c r="K303" s="346"/>
      <c r="L303" s="346"/>
      <c r="M303" s="346"/>
      <c r="N303" s="346"/>
      <c r="O303" s="346"/>
      <c r="P303" s="346"/>
      <c r="Q303" s="346"/>
      <c r="R303" s="346"/>
      <c r="S303" s="347"/>
      <c r="T303" s="348"/>
    </row>
    <row r="304" spans="1:20" x14ac:dyDescent="0.3">
      <c r="A304" s="340"/>
      <c r="B304" s="259"/>
      <c r="C304" s="259"/>
      <c r="D304" s="260"/>
      <c r="E304" s="260"/>
      <c r="F304" s="260"/>
      <c r="G304" s="260"/>
      <c r="H304" s="260"/>
      <c r="I304" s="260"/>
      <c r="J304" s="260"/>
      <c r="K304" s="260"/>
      <c r="L304" s="260"/>
      <c r="M304" s="260"/>
      <c r="N304" s="260"/>
      <c r="O304" s="260"/>
      <c r="P304" s="260"/>
      <c r="Q304" s="260"/>
      <c r="R304" s="260"/>
      <c r="S304" s="261"/>
      <c r="T304" s="247"/>
    </row>
    <row r="305" spans="1:20" x14ac:dyDescent="0.3">
      <c r="A305" s="340"/>
      <c r="B305" s="259"/>
      <c r="C305" s="259"/>
      <c r="D305" s="260"/>
      <c r="E305" s="260"/>
      <c r="F305" s="260"/>
      <c r="G305" s="260"/>
      <c r="H305" s="260"/>
      <c r="I305" s="260"/>
      <c r="J305" s="260"/>
      <c r="K305" s="260"/>
      <c r="L305" s="260"/>
      <c r="M305" s="260"/>
      <c r="N305" s="260"/>
      <c r="O305" s="260"/>
      <c r="P305" s="260"/>
      <c r="Q305" s="260"/>
      <c r="R305" s="260"/>
      <c r="S305" s="261"/>
      <c r="T305" s="247"/>
    </row>
    <row r="306" spans="1:20" ht="18.600000000000001" thickBot="1" x14ac:dyDescent="0.4">
      <c r="A306" s="340"/>
      <c r="B306" s="442" t="str">
        <f>B205</f>
        <v>PM22 INVESTOR REPORT QUARTER ENDING NOVEMBER 2017</v>
      </c>
      <c r="C306" s="259"/>
      <c r="D306" s="260"/>
      <c r="E306" s="260"/>
      <c r="F306" s="260"/>
      <c r="G306" s="260"/>
      <c r="H306" s="260"/>
      <c r="I306" s="260"/>
      <c r="J306" s="260"/>
      <c r="K306" s="260"/>
      <c r="L306" s="260"/>
      <c r="M306" s="260"/>
      <c r="N306" s="260"/>
      <c r="O306" s="260"/>
      <c r="P306" s="260"/>
      <c r="Q306" s="260"/>
      <c r="R306" s="260"/>
      <c r="S306" s="311"/>
      <c r="T306" s="247"/>
    </row>
    <row r="307" spans="1:20" x14ac:dyDescent="0.3">
      <c r="A307" s="341"/>
      <c r="B307" s="341"/>
      <c r="C307" s="341"/>
      <c r="D307" s="341"/>
      <c r="E307" s="341"/>
      <c r="F307" s="341"/>
      <c r="G307" s="341"/>
      <c r="H307" s="341"/>
      <c r="I307" s="341"/>
      <c r="J307" s="341"/>
      <c r="K307" s="341"/>
      <c r="L307" s="341"/>
      <c r="M307" s="341"/>
      <c r="N307" s="341"/>
      <c r="O307" s="341"/>
      <c r="P307" s="341"/>
      <c r="Q307" s="341"/>
      <c r="R307" s="341"/>
      <c r="S307" s="341"/>
    </row>
  </sheetData>
  <hyperlinks>
    <hyperlink ref="K9" r:id="rId1"/>
    <hyperlink ref="N243"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R307"/>
  <sheetViews>
    <sheetView showGridLines="0" showOutlineSymbols="0" zoomScale="70" zoomScaleNormal="70" workbookViewId="0"/>
  </sheetViews>
  <sheetFormatPr defaultColWidth="9.6328125" defaultRowHeight="15.6" x14ac:dyDescent="0.3"/>
  <cols>
    <col min="1" max="1" width="4" style="248" customWidth="1"/>
    <col min="2" max="2" width="71.1796875" style="248" customWidth="1"/>
    <col min="3" max="3" width="2.1796875" style="248" customWidth="1"/>
    <col min="4" max="4" width="16.1796875" style="248" customWidth="1"/>
    <col min="5" max="5" width="2.90625" style="248" customWidth="1"/>
    <col min="6" max="6" width="16.1796875" style="248" customWidth="1"/>
    <col min="7" max="7" width="2.1796875" style="248" customWidth="1"/>
    <col min="8" max="8" width="17.90625" style="248" customWidth="1"/>
    <col min="9" max="9" width="2.36328125" style="248" customWidth="1"/>
    <col min="10" max="10" width="14.90625" style="248" customWidth="1"/>
    <col min="11" max="11" width="2.36328125" style="248" customWidth="1"/>
    <col min="12" max="12" width="15.54296875" style="248" customWidth="1"/>
    <col min="13" max="13" width="2.1796875" style="248" customWidth="1"/>
    <col min="14" max="14" width="15.54296875" style="248" customWidth="1"/>
    <col min="15" max="16" width="12.6328125" style="248" customWidth="1"/>
    <col min="17" max="17" width="7.81640625" style="248" customWidth="1"/>
    <col min="18" max="18" width="14.6328125" style="248" customWidth="1"/>
    <col min="19" max="19" width="11.81640625" style="248" customWidth="1"/>
    <col min="20" max="16384" width="9.6328125" style="248"/>
  </cols>
  <sheetData>
    <row r="1" spans="1:20" ht="21" x14ac:dyDescent="0.4">
      <c r="A1" s="244"/>
      <c r="B1" s="343" t="s">
        <v>221</v>
      </c>
      <c r="C1" s="245"/>
      <c r="D1" s="245"/>
      <c r="E1" s="245"/>
      <c r="F1" s="245"/>
      <c r="G1" s="245"/>
      <c r="H1" s="245"/>
      <c r="I1" s="245"/>
      <c r="J1" s="245"/>
      <c r="K1" s="245"/>
      <c r="L1" s="245"/>
      <c r="M1" s="245"/>
      <c r="N1" s="245"/>
      <c r="O1" s="245"/>
      <c r="P1" s="245"/>
      <c r="Q1" s="245"/>
      <c r="R1" s="245"/>
      <c r="S1" s="246"/>
      <c r="T1" s="247"/>
    </row>
    <row r="2" spans="1:20" x14ac:dyDescent="0.3">
      <c r="A2" s="249"/>
      <c r="B2" s="250"/>
      <c r="C2" s="251"/>
      <c r="D2" s="251"/>
      <c r="E2" s="251"/>
      <c r="F2" s="251"/>
      <c r="G2" s="251"/>
      <c r="H2" s="251"/>
      <c r="I2" s="251"/>
      <c r="J2" s="251"/>
      <c r="K2" s="251"/>
      <c r="L2" s="251"/>
      <c r="M2" s="251"/>
      <c r="N2" s="251"/>
      <c r="O2" s="251"/>
      <c r="P2" s="251"/>
      <c r="Q2" s="251"/>
      <c r="R2" s="251"/>
      <c r="S2" s="252"/>
      <c r="T2" s="247"/>
    </row>
    <row r="3" spans="1:20" x14ac:dyDescent="0.3">
      <c r="A3" s="253"/>
      <c r="B3" s="254" t="s">
        <v>222</v>
      </c>
      <c r="C3" s="251"/>
      <c r="D3" s="251"/>
      <c r="E3" s="251"/>
      <c r="F3" s="251"/>
      <c r="G3" s="251"/>
      <c r="H3" s="251"/>
      <c r="I3" s="251"/>
      <c r="J3" s="251"/>
      <c r="K3" s="251"/>
      <c r="L3" s="251"/>
      <c r="M3" s="251"/>
      <c r="N3" s="251"/>
      <c r="O3" s="251"/>
      <c r="P3" s="251"/>
      <c r="Q3" s="251"/>
      <c r="R3" s="251"/>
      <c r="S3" s="252"/>
      <c r="T3" s="247"/>
    </row>
    <row r="4" spans="1:20" x14ac:dyDescent="0.3">
      <c r="A4" s="249"/>
      <c r="B4" s="250"/>
      <c r="C4" s="251"/>
      <c r="D4" s="251"/>
      <c r="E4" s="251"/>
      <c r="F4" s="251"/>
      <c r="G4" s="251"/>
      <c r="H4" s="251"/>
      <c r="I4" s="251"/>
      <c r="J4" s="251"/>
      <c r="K4" s="251"/>
      <c r="L4" s="251"/>
      <c r="M4" s="251"/>
      <c r="N4" s="251"/>
      <c r="O4" s="251"/>
      <c r="P4" s="251"/>
      <c r="Q4" s="251"/>
      <c r="R4" s="251"/>
      <c r="S4" s="252"/>
      <c r="T4" s="247"/>
    </row>
    <row r="5" spans="1:20" s="349" customFormat="1" x14ac:dyDescent="0.3">
      <c r="A5" s="344"/>
      <c r="B5" s="345" t="s">
        <v>109</v>
      </c>
      <c r="C5" s="346"/>
      <c r="D5" s="346"/>
      <c r="E5" s="346"/>
      <c r="F5" s="346"/>
      <c r="G5" s="346"/>
      <c r="H5" s="346"/>
      <c r="I5" s="346"/>
      <c r="J5" s="346"/>
      <c r="K5" s="346"/>
      <c r="L5" s="346"/>
      <c r="M5" s="346"/>
      <c r="N5" s="346"/>
      <c r="O5" s="346"/>
      <c r="P5" s="346"/>
      <c r="Q5" s="346"/>
      <c r="R5" s="346"/>
      <c r="S5" s="347"/>
      <c r="T5" s="348"/>
    </row>
    <row r="6" spans="1:20" s="349" customFormat="1" x14ac:dyDescent="0.3">
      <c r="A6" s="344"/>
      <c r="B6" s="345" t="s">
        <v>111</v>
      </c>
      <c r="C6" s="346"/>
      <c r="D6" s="346"/>
      <c r="E6" s="346"/>
      <c r="F6" s="346"/>
      <c r="G6" s="346"/>
      <c r="H6" s="346"/>
      <c r="I6" s="346"/>
      <c r="J6" s="346"/>
      <c r="K6" s="346"/>
      <c r="L6" s="346"/>
      <c r="M6" s="346"/>
      <c r="N6" s="346"/>
      <c r="O6" s="346"/>
      <c r="P6" s="346"/>
      <c r="Q6" s="346"/>
      <c r="R6" s="346"/>
      <c r="S6" s="347"/>
      <c r="T6" s="348"/>
    </row>
    <row r="7" spans="1:20" s="349" customFormat="1" x14ac:dyDescent="0.3">
      <c r="A7" s="344"/>
      <c r="B7" s="345" t="s">
        <v>110</v>
      </c>
      <c r="C7" s="346"/>
      <c r="D7" s="346"/>
      <c r="E7" s="346"/>
      <c r="F7" s="346"/>
      <c r="G7" s="346"/>
      <c r="H7" s="346"/>
      <c r="I7" s="346"/>
      <c r="J7" s="346"/>
      <c r="K7" s="346"/>
      <c r="L7" s="346"/>
      <c r="M7" s="346"/>
      <c r="N7" s="346"/>
      <c r="O7" s="346"/>
      <c r="P7" s="346"/>
      <c r="Q7" s="346"/>
      <c r="R7" s="346"/>
      <c r="S7" s="347"/>
      <c r="T7" s="348"/>
    </row>
    <row r="8" spans="1:20" x14ac:dyDescent="0.3">
      <c r="A8" s="249"/>
      <c r="B8" s="255"/>
      <c r="C8" s="251"/>
      <c r="D8" s="251"/>
      <c r="E8" s="251"/>
      <c r="F8" s="251"/>
      <c r="G8" s="251"/>
      <c r="H8" s="251"/>
      <c r="I8" s="251"/>
      <c r="J8" s="251"/>
      <c r="K8" s="251"/>
      <c r="L8" s="251"/>
      <c r="M8" s="251"/>
      <c r="N8" s="251"/>
      <c r="O8" s="251"/>
      <c r="P8" s="251"/>
      <c r="Q8" s="251"/>
      <c r="R8" s="251"/>
      <c r="S8" s="252"/>
      <c r="T8" s="247"/>
    </row>
    <row r="9" spans="1:20" ht="18" x14ac:dyDescent="0.35">
      <c r="A9" s="249"/>
      <c r="B9" s="256" t="s">
        <v>127</v>
      </c>
      <c r="C9" s="251"/>
      <c r="D9" s="251"/>
      <c r="E9" s="257"/>
      <c r="F9" s="251"/>
      <c r="G9" s="251"/>
      <c r="H9" s="257"/>
      <c r="I9" s="251"/>
      <c r="J9" s="257"/>
      <c r="K9" s="243" t="s">
        <v>291</v>
      </c>
      <c r="L9" s="257"/>
      <c r="M9" s="251"/>
      <c r="N9" s="251"/>
      <c r="O9" s="251"/>
      <c r="P9" s="251"/>
      <c r="Q9" s="251"/>
      <c r="R9" s="251"/>
      <c r="S9" s="252"/>
      <c r="T9" s="247"/>
    </row>
    <row r="10" spans="1:20" x14ac:dyDescent="0.3">
      <c r="A10" s="249"/>
      <c r="B10" s="255"/>
      <c r="C10" s="258"/>
      <c r="D10" s="251"/>
      <c r="E10" s="251"/>
      <c r="F10" s="251"/>
      <c r="G10" s="251"/>
      <c r="H10" s="251"/>
      <c r="I10" s="251"/>
      <c r="J10" s="251"/>
      <c r="K10" s="251"/>
      <c r="L10" s="251"/>
      <c r="M10" s="251"/>
      <c r="N10" s="251"/>
      <c r="O10" s="251"/>
      <c r="P10" s="251"/>
      <c r="Q10" s="251"/>
      <c r="R10" s="251"/>
      <c r="S10" s="252"/>
      <c r="T10" s="247"/>
    </row>
    <row r="11" spans="1:20" s="349" customFormat="1" x14ac:dyDescent="0.3">
      <c r="A11" s="344"/>
      <c r="B11" s="350" t="s">
        <v>0</v>
      </c>
      <c r="C11" s="346"/>
      <c r="D11" s="346"/>
      <c r="E11" s="346"/>
      <c r="F11" s="346"/>
      <c r="G11" s="346"/>
      <c r="H11" s="346"/>
      <c r="I11" s="346"/>
      <c r="J11" s="346"/>
      <c r="K11" s="346"/>
      <c r="L11" s="346"/>
      <c r="M11" s="346"/>
      <c r="N11" s="346"/>
      <c r="O11" s="346"/>
      <c r="P11" s="346"/>
      <c r="Q11" s="346"/>
      <c r="R11" s="346"/>
      <c r="S11" s="347"/>
      <c r="T11" s="348"/>
    </row>
    <row r="12" spans="1:20" ht="16.2" thickBot="1" x14ac:dyDescent="0.35">
      <c r="A12" s="249"/>
      <c r="B12" s="258"/>
      <c r="C12" s="251"/>
      <c r="D12" s="251"/>
      <c r="E12" s="251"/>
      <c r="F12" s="251"/>
      <c r="G12" s="251"/>
      <c r="H12" s="251"/>
      <c r="I12" s="251"/>
      <c r="J12" s="251"/>
      <c r="K12" s="251"/>
      <c r="L12" s="251"/>
      <c r="M12" s="251"/>
      <c r="N12" s="251"/>
      <c r="O12" s="251"/>
      <c r="P12" s="251"/>
      <c r="Q12" s="251"/>
      <c r="R12" s="251"/>
      <c r="S12" s="252"/>
      <c r="T12" s="247"/>
    </row>
    <row r="13" spans="1:20" x14ac:dyDescent="0.3">
      <c r="A13" s="244"/>
      <c r="B13" s="245"/>
      <c r="C13" s="245"/>
      <c r="D13" s="245"/>
      <c r="E13" s="245"/>
      <c r="F13" s="245"/>
      <c r="G13" s="245"/>
      <c r="H13" s="245"/>
      <c r="I13" s="245"/>
      <c r="J13" s="245"/>
      <c r="K13" s="245"/>
      <c r="L13" s="245"/>
      <c r="M13" s="245"/>
      <c r="N13" s="245"/>
      <c r="O13" s="245"/>
      <c r="P13" s="245"/>
      <c r="Q13" s="245"/>
      <c r="R13" s="245"/>
      <c r="S13" s="246"/>
      <c r="T13" s="247"/>
    </row>
    <row r="14" spans="1:20" s="349" customFormat="1" x14ac:dyDescent="0.3">
      <c r="A14" s="344"/>
      <c r="B14" s="350" t="s">
        <v>1</v>
      </c>
      <c r="C14" s="346"/>
      <c r="D14" s="346"/>
      <c r="E14" s="346"/>
      <c r="F14" s="346"/>
      <c r="G14" s="346"/>
      <c r="H14" s="346"/>
      <c r="I14" s="346"/>
      <c r="J14" s="346"/>
      <c r="K14" s="346"/>
      <c r="L14" s="346"/>
      <c r="M14" s="346"/>
      <c r="N14" s="346"/>
      <c r="O14" s="346"/>
      <c r="P14" s="346"/>
      <c r="Q14" s="346"/>
      <c r="R14" s="351" t="s">
        <v>223</v>
      </c>
      <c r="S14" s="347"/>
      <c r="T14" s="348"/>
    </row>
    <row r="15" spans="1:20" s="349" customFormat="1" x14ac:dyDescent="0.3">
      <c r="A15" s="344"/>
      <c r="B15" s="350" t="s">
        <v>2</v>
      </c>
      <c r="C15" s="346"/>
      <c r="D15" s="352"/>
      <c r="E15" s="352"/>
      <c r="F15" s="352"/>
      <c r="G15" s="352"/>
      <c r="H15" s="352"/>
      <c r="I15" s="352"/>
      <c r="J15" s="352"/>
      <c r="K15" s="352"/>
      <c r="L15" s="352"/>
      <c r="M15" s="352"/>
      <c r="N15" s="353"/>
      <c r="O15" s="353"/>
      <c r="P15" s="353" t="s">
        <v>154</v>
      </c>
      <c r="Q15" s="353">
        <v>1</v>
      </c>
      <c r="R15" s="351"/>
      <c r="S15" s="347"/>
      <c r="T15" s="348"/>
    </row>
    <row r="16" spans="1:20" s="349" customFormat="1" x14ac:dyDescent="0.3">
      <c r="A16" s="344"/>
      <c r="B16" s="350" t="s">
        <v>3</v>
      </c>
      <c r="C16" s="346"/>
      <c r="D16" s="352"/>
      <c r="E16" s="352"/>
      <c r="F16" s="352"/>
      <c r="G16" s="352"/>
      <c r="H16" s="352"/>
      <c r="I16" s="352"/>
      <c r="J16" s="352"/>
      <c r="K16" s="352"/>
      <c r="L16" s="352"/>
      <c r="M16" s="352"/>
      <c r="N16" s="353"/>
      <c r="O16" s="353"/>
      <c r="P16" s="353" t="s">
        <v>154</v>
      </c>
      <c r="Q16" s="353">
        <v>1</v>
      </c>
      <c r="R16" s="351"/>
      <c r="S16" s="347"/>
      <c r="T16" s="348"/>
    </row>
    <row r="17" spans="1:23" s="349" customFormat="1" x14ac:dyDescent="0.3">
      <c r="A17" s="344"/>
      <c r="B17" s="350" t="s">
        <v>4</v>
      </c>
      <c r="C17" s="346"/>
      <c r="D17" s="346"/>
      <c r="E17" s="346"/>
      <c r="F17" s="346"/>
      <c r="G17" s="346"/>
      <c r="H17" s="346"/>
      <c r="I17" s="346"/>
      <c r="J17" s="346"/>
      <c r="K17" s="346"/>
      <c r="L17" s="346"/>
      <c r="M17" s="346"/>
      <c r="N17" s="346"/>
      <c r="O17" s="346"/>
      <c r="P17" s="346"/>
      <c r="Q17" s="346"/>
      <c r="R17" s="354">
        <v>42088</v>
      </c>
      <c r="S17" s="347"/>
      <c r="T17" s="348"/>
    </row>
    <row r="18" spans="1:23" s="349" customFormat="1" x14ac:dyDescent="0.3">
      <c r="A18" s="344"/>
      <c r="B18" s="350" t="s">
        <v>5</v>
      </c>
      <c r="C18" s="346"/>
      <c r="D18" s="346"/>
      <c r="E18" s="346"/>
      <c r="F18" s="346"/>
      <c r="G18" s="346"/>
      <c r="H18" s="346"/>
      <c r="I18" s="346"/>
      <c r="J18" s="346"/>
      <c r="K18" s="346"/>
      <c r="L18" s="346"/>
      <c r="M18" s="346"/>
      <c r="N18" s="346"/>
      <c r="O18" s="346"/>
      <c r="P18" s="346"/>
      <c r="Q18" s="346"/>
      <c r="R18" s="354">
        <v>43179</v>
      </c>
      <c r="S18" s="347"/>
      <c r="T18" s="348"/>
    </row>
    <row r="19" spans="1:23" s="349" customFormat="1" x14ac:dyDescent="0.3">
      <c r="A19" s="344"/>
      <c r="B19" s="346"/>
      <c r="C19" s="346"/>
      <c r="D19" s="346"/>
      <c r="E19" s="346"/>
      <c r="F19" s="346"/>
      <c r="G19" s="346"/>
      <c r="H19" s="346"/>
      <c r="I19" s="346"/>
      <c r="J19" s="346"/>
      <c r="K19" s="346"/>
      <c r="L19" s="346"/>
      <c r="M19" s="346"/>
      <c r="N19" s="346"/>
      <c r="O19" s="346"/>
      <c r="P19" s="346"/>
      <c r="Q19" s="346"/>
      <c r="R19" s="355"/>
      <c r="S19" s="347"/>
      <c r="T19" s="348"/>
    </row>
    <row r="20" spans="1:23" s="349" customFormat="1" x14ac:dyDescent="0.3">
      <c r="A20" s="344"/>
      <c r="B20" s="356" t="s">
        <v>6</v>
      </c>
      <c r="C20" s="346"/>
      <c r="D20" s="346"/>
      <c r="E20" s="346"/>
      <c r="F20" s="346"/>
      <c r="G20" s="346"/>
      <c r="H20" s="346"/>
      <c r="I20" s="346"/>
      <c r="J20" s="346"/>
      <c r="K20" s="346"/>
      <c r="L20" s="346"/>
      <c r="M20" s="346"/>
      <c r="N20" s="346"/>
      <c r="O20" s="346"/>
      <c r="P20" s="355" t="s">
        <v>85</v>
      </c>
      <c r="Q20" s="346"/>
      <c r="R20" s="346"/>
      <c r="S20" s="347"/>
      <c r="T20" s="348"/>
    </row>
    <row r="21" spans="1:23" x14ac:dyDescent="0.3">
      <c r="A21" s="249"/>
      <c r="B21" s="251"/>
      <c r="C21" s="251"/>
      <c r="D21" s="251"/>
      <c r="E21" s="251"/>
      <c r="F21" s="251"/>
      <c r="G21" s="251"/>
      <c r="H21" s="251"/>
      <c r="I21" s="251"/>
      <c r="J21" s="251"/>
      <c r="K21" s="251"/>
      <c r="L21" s="251"/>
      <c r="M21" s="251"/>
      <c r="N21" s="251"/>
      <c r="O21" s="251"/>
      <c r="P21" s="251"/>
      <c r="Q21" s="251"/>
      <c r="R21" s="262"/>
      <c r="S21" s="252"/>
      <c r="T21" s="247"/>
    </row>
    <row r="22" spans="1:23" x14ac:dyDescent="0.3">
      <c r="A22" s="443"/>
      <c r="B22" s="447"/>
      <c r="C22" s="448"/>
      <c r="D22" s="448" t="s">
        <v>232</v>
      </c>
      <c r="E22" s="448"/>
      <c r="F22" s="448" t="s">
        <v>233</v>
      </c>
      <c r="G22" s="448"/>
      <c r="H22" s="448" t="s">
        <v>179</v>
      </c>
      <c r="I22" s="448"/>
      <c r="J22" s="448" t="s">
        <v>180</v>
      </c>
      <c r="K22" s="448"/>
      <c r="L22" s="448" t="s">
        <v>234</v>
      </c>
      <c r="M22" s="448"/>
      <c r="N22" s="448"/>
      <c r="O22" s="449"/>
      <c r="P22" s="449"/>
      <c r="Q22" s="447"/>
      <c r="R22" s="447"/>
      <c r="S22" s="445"/>
      <c r="T22" s="247"/>
    </row>
    <row r="23" spans="1:23" s="349" customFormat="1" x14ac:dyDescent="0.3">
      <c r="A23" s="344"/>
      <c r="B23" s="393" t="s">
        <v>226</v>
      </c>
      <c r="C23" s="446"/>
      <c r="D23" s="446" t="s">
        <v>112</v>
      </c>
      <c r="E23" s="446"/>
      <c r="F23" s="446" t="s">
        <v>112</v>
      </c>
      <c r="G23" s="446"/>
      <c r="H23" s="446" t="s">
        <v>178</v>
      </c>
      <c r="I23" s="446"/>
      <c r="J23" s="446" t="s">
        <v>249</v>
      </c>
      <c r="K23" s="446"/>
      <c r="L23" s="446" t="s">
        <v>153</v>
      </c>
      <c r="M23" s="446"/>
      <c r="N23" s="446"/>
      <c r="O23" s="446"/>
      <c r="P23" s="446"/>
      <c r="Q23" s="393"/>
      <c r="R23" s="393"/>
      <c r="S23" s="347"/>
      <c r="T23" s="348"/>
    </row>
    <row r="24" spans="1:23" s="349" customFormat="1" x14ac:dyDescent="0.3">
      <c r="A24" s="357"/>
      <c r="B24" s="358" t="s">
        <v>197</v>
      </c>
      <c r="C24" s="359"/>
      <c r="D24" s="360" t="s">
        <v>199</v>
      </c>
      <c r="E24" s="360"/>
      <c r="F24" s="360" t="s">
        <v>199</v>
      </c>
      <c r="G24" s="360"/>
      <c r="H24" s="360" t="s">
        <v>200</v>
      </c>
      <c r="I24" s="360"/>
      <c r="J24" s="360" t="s">
        <v>201</v>
      </c>
      <c r="K24" s="360"/>
      <c r="L24" s="360" t="s">
        <v>153</v>
      </c>
      <c r="M24" s="360"/>
      <c r="N24" s="360"/>
      <c r="O24" s="359"/>
      <c r="P24" s="360"/>
      <c r="Q24" s="358"/>
      <c r="R24" s="358"/>
      <c r="S24" s="361"/>
      <c r="T24" s="348"/>
    </row>
    <row r="25" spans="1:23" s="349" customFormat="1" x14ac:dyDescent="0.3">
      <c r="A25" s="357"/>
      <c r="B25" s="362" t="s">
        <v>227</v>
      </c>
      <c r="C25" s="359"/>
      <c r="D25" s="359" t="s">
        <v>112</v>
      </c>
      <c r="E25" s="359"/>
      <c r="F25" s="359" t="s">
        <v>112</v>
      </c>
      <c r="G25" s="359"/>
      <c r="H25" s="359" t="s">
        <v>112</v>
      </c>
      <c r="I25" s="359"/>
      <c r="J25" s="359" t="s">
        <v>178</v>
      </c>
      <c r="K25" s="359"/>
      <c r="L25" s="359" t="s">
        <v>153</v>
      </c>
      <c r="M25" s="359"/>
      <c r="N25" s="359"/>
      <c r="O25" s="359"/>
      <c r="P25" s="360"/>
      <c r="Q25" s="358"/>
      <c r="R25" s="358"/>
      <c r="S25" s="361"/>
      <c r="T25" s="348"/>
      <c r="U25" s="363"/>
      <c r="W25" s="364"/>
    </row>
    <row r="26" spans="1:23" s="349" customFormat="1" x14ac:dyDescent="0.3">
      <c r="A26" s="365"/>
      <c r="B26" s="362" t="s">
        <v>198</v>
      </c>
      <c r="C26" s="360"/>
      <c r="D26" s="359" t="s">
        <v>199</v>
      </c>
      <c r="E26" s="359"/>
      <c r="F26" s="359" t="s">
        <v>199</v>
      </c>
      <c r="G26" s="359"/>
      <c r="H26" s="359" t="s">
        <v>199</v>
      </c>
      <c r="I26" s="359"/>
      <c r="J26" s="359" t="s">
        <v>296</v>
      </c>
      <c r="K26" s="359"/>
      <c r="L26" s="359" t="s">
        <v>153</v>
      </c>
      <c r="M26" s="359"/>
      <c r="N26" s="359"/>
      <c r="O26" s="360"/>
      <c r="P26" s="366"/>
      <c r="Q26" s="358"/>
      <c r="R26" s="358"/>
      <c r="S26" s="361"/>
      <c r="T26" s="348"/>
      <c r="U26" s="363"/>
      <c r="W26" s="364"/>
    </row>
    <row r="27" spans="1:23" s="349" customFormat="1" x14ac:dyDescent="0.3">
      <c r="A27" s="365"/>
      <c r="B27" s="358" t="s">
        <v>7</v>
      </c>
      <c r="C27" s="367"/>
      <c r="D27" s="360" t="s">
        <v>228</v>
      </c>
      <c r="E27" s="360"/>
      <c r="F27" s="360" t="s">
        <v>242</v>
      </c>
      <c r="G27" s="360"/>
      <c r="H27" s="360" t="s">
        <v>243</v>
      </c>
      <c r="I27" s="360"/>
      <c r="J27" s="360" t="s">
        <v>244</v>
      </c>
      <c r="K27" s="360"/>
      <c r="L27" s="360" t="s">
        <v>245</v>
      </c>
      <c r="M27" s="360"/>
      <c r="N27" s="360"/>
      <c r="O27" s="368"/>
      <c r="P27" s="368"/>
      <c r="Q27" s="367"/>
      <c r="R27" s="368"/>
      <c r="S27" s="369"/>
      <c r="T27" s="348"/>
      <c r="U27" s="363"/>
      <c r="W27" s="364"/>
    </row>
    <row r="28" spans="1:23" s="349" customFormat="1" x14ac:dyDescent="0.3">
      <c r="A28" s="357"/>
      <c r="B28" s="358" t="s">
        <v>106</v>
      </c>
      <c r="C28" s="370"/>
      <c r="D28" s="371">
        <v>164000</v>
      </c>
      <c r="E28" s="372"/>
      <c r="F28" s="373">
        <v>151700</v>
      </c>
      <c r="G28" s="374"/>
      <c r="H28" s="373">
        <v>12000</v>
      </c>
      <c r="I28" s="374"/>
      <c r="J28" s="373">
        <v>12000</v>
      </c>
      <c r="K28" s="368"/>
      <c r="L28" s="373">
        <v>7500</v>
      </c>
      <c r="M28" s="368"/>
      <c r="N28" s="372"/>
      <c r="O28" s="375"/>
      <c r="P28" s="375"/>
      <c r="Q28" s="370"/>
      <c r="R28" s="368"/>
      <c r="S28" s="369"/>
      <c r="T28" s="348"/>
    </row>
    <row r="29" spans="1:23" s="349" customFormat="1" x14ac:dyDescent="0.3">
      <c r="A29" s="365"/>
      <c r="B29" s="358" t="s">
        <v>105</v>
      </c>
      <c r="C29" s="367"/>
      <c r="D29" s="371">
        <f>D28*D35</f>
        <v>46020.400799999996</v>
      </c>
      <c r="E29" s="372"/>
      <c r="F29" s="373">
        <f>F28*F35</f>
        <v>42568.870739999998</v>
      </c>
      <c r="G29" s="373"/>
      <c r="H29" s="373">
        <f>H28</f>
        <v>12000</v>
      </c>
      <c r="I29" s="373"/>
      <c r="J29" s="373">
        <f>J28</f>
        <v>12000</v>
      </c>
      <c r="K29" s="368"/>
      <c r="L29" s="373">
        <f>L28</f>
        <v>7500</v>
      </c>
      <c r="M29" s="368"/>
      <c r="N29" s="372"/>
      <c r="O29" s="368"/>
      <c r="P29" s="368"/>
      <c r="Q29" s="367"/>
      <c r="R29" s="368"/>
      <c r="S29" s="369"/>
      <c r="T29" s="348"/>
    </row>
    <row r="30" spans="1:23" s="349" customFormat="1" x14ac:dyDescent="0.3">
      <c r="A30" s="365"/>
      <c r="B30" s="362" t="s">
        <v>107</v>
      </c>
      <c r="C30" s="367"/>
      <c r="D30" s="376">
        <f>D28*D34</f>
        <v>36917.367599999998</v>
      </c>
      <c r="E30" s="377"/>
      <c r="F30" s="377">
        <f t="shared" ref="F30" si="0">F28*F34</f>
        <v>34148.565029999998</v>
      </c>
      <c r="G30" s="377"/>
      <c r="H30" s="377">
        <f t="shared" ref="H30" si="1">H28*H34</f>
        <v>12000</v>
      </c>
      <c r="I30" s="377"/>
      <c r="J30" s="377">
        <f t="shared" ref="J30" si="2">J28*J34</f>
        <v>12000</v>
      </c>
      <c r="K30" s="377"/>
      <c r="L30" s="377">
        <f t="shared" ref="L30" si="3">L28*L34</f>
        <v>7500</v>
      </c>
      <c r="M30" s="375"/>
      <c r="N30" s="378"/>
      <c r="O30" s="368"/>
      <c r="P30" s="368"/>
      <c r="Q30" s="367"/>
      <c r="R30" s="375"/>
      <c r="S30" s="369"/>
      <c r="T30" s="348"/>
    </row>
    <row r="31" spans="1:23" s="349" customFormat="1" x14ac:dyDescent="0.3">
      <c r="A31" s="365"/>
      <c r="B31" s="358" t="s">
        <v>229</v>
      </c>
      <c r="C31" s="367"/>
      <c r="D31" s="373">
        <v>116809</v>
      </c>
      <c r="E31" s="373"/>
      <c r="F31" s="373">
        <v>151700</v>
      </c>
      <c r="G31" s="373"/>
      <c r="H31" s="373">
        <v>12000</v>
      </c>
      <c r="I31" s="373"/>
      <c r="J31" s="373">
        <v>12000</v>
      </c>
      <c r="K31" s="373"/>
      <c r="L31" s="373">
        <v>7500</v>
      </c>
      <c r="M31" s="368"/>
      <c r="N31" s="378"/>
      <c r="O31" s="368"/>
      <c r="P31" s="368"/>
      <c r="Q31" s="367"/>
      <c r="R31" s="368">
        <f>SUM(D31:L31)</f>
        <v>300009</v>
      </c>
      <c r="S31" s="369"/>
      <c r="T31" s="348"/>
    </row>
    <row r="32" spans="1:23" s="349" customFormat="1" x14ac:dyDescent="0.3">
      <c r="A32" s="365"/>
      <c r="B32" s="358" t="s">
        <v>230</v>
      </c>
      <c r="C32" s="367"/>
      <c r="D32" s="373">
        <f>D31*D35</f>
        <v>32778.030469799996</v>
      </c>
      <c r="E32" s="373"/>
      <c r="F32" s="373">
        <f>F31*F35</f>
        <v>42568.870739999998</v>
      </c>
      <c r="G32" s="373"/>
      <c r="H32" s="373">
        <f>H31</f>
        <v>12000</v>
      </c>
      <c r="I32" s="373"/>
      <c r="J32" s="373">
        <f>+J31</f>
        <v>12000</v>
      </c>
      <c r="K32" s="373"/>
      <c r="L32" s="373">
        <f>L31</f>
        <v>7500</v>
      </c>
      <c r="M32" s="368"/>
      <c r="N32" s="378"/>
      <c r="O32" s="368"/>
      <c r="P32" s="368"/>
      <c r="Q32" s="367"/>
      <c r="R32" s="368">
        <f>SUM(D32:L32)</f>
        <v>106846.90120979999</v>
      </c>
      <c r="S32" s="369"/>
      <c r="T32" s="348"/>
    </row>
    <row r="33" spans="1:20" s="349" customFormat="1" x14ac:dyDescent="0.3">
      <c r="A33" s="365"/>
      <c r="B33" s="362" t="s">
        <v>231</v>
      </c>
      <c r="C33" s="367"/>
      <c r="D33" s="377">
        <f>D31*D34</f>
        <v>26294.3950731</v>
      </c>
      <c r="E33" s="377"/>
      <c r="F33" s="377">
        <f>F31*F34</f>
        <v>34148.565029999998</v>
      </c>
      <c r="G33" s="377"/>
      <c r="H33" s="377">
        <f t="shared" ref="H33:L33" si="4">H31*H34</f>
        <v>12000</v>
      </c>
      <c r="I33" s="377"/>
      <c r="J33" s="377">
        <f t="shared" si="4"/>
        <v>12000</v>
      </c>
      <c r="K33" s="377"/>
      <c r="L33" s="377">
        <f t="shared" si="4"/>
        <v>7500</v>
      </c>
      <c r="M33" s="375"/>
      <c r="N33" s="378"/>
      <c r="O33" s="368"/>
      <c r="P33" s="368"/>
      <c r="Q33" s="367"/>
      <c r="R33" s="375">
        <f>SUM(D33:L33)</f>
        <v>91942.960103099991</v>
      </c>
      <c r="S33" s="369"/>
      <c r="T33" s="348"/>
    </row>
    <row r="34" spans="1:20" s="273" customFormat="1" x14ac:dyDescent="0.3">
      <c r="A34" s="265"/>
      <c r="B34" s="266" t="s">
        <v>103</v>
      </c>
      <c r="C34" s="267"/>
      <c r="D34" s="268">
        <v>0.2251059</v>
      </c>
      <c r="E34" s="268"/>
      <c r="F34" s="268">
        <v>0.2251059</v>
      </c>
      <c r="G34" s="268"/>
      <c r="H34" s="268">
        <v>1</v>
      </c>
      <c r="I34" s="268"/>
      <c r="J34" s="268">
        <v>1</v>
      </c>
      <c r="K34" s="268"/>
      <c r="L34" s="268">
        <v>1</v>
      </c>
      <c r="M34" s="268"/>
      <c r="N34" s="268"/>
      <c r="O34" s="269"/>
      <c r="P34" s="269"/>
      <c r="Q34" s="267"/>
      <c r="R34" s="270"/>
      <c r="S34" s="271"/>
      <c r="T34" s="272"/>
    </row>
    <row r="35" spans="1:20" s="273" customFormat="1" x14ac:dyDescent="0.3">
      <c r="A35" s="265"/>
      <c r="B35" s="266" t="s">
        <v>104</v>
      </c>
      <c r="C35" s="267"/>
      <c r="D35" s="268">
        <v>0.28061219999999998</v>
      </c>
      <c r="E35" s="268"/>
      <c r="F35" s="268">
        <v>0.28061219999999998</v>
      </c>
      <c r="G35" s="268"/>
      <c r="H35" s="268">
        <v>1</v>
      </c>
      <c r="I35" s="268"/>
      <c r="J35" s="268">
        <v>1</v>
      </c>
      <c r="K35" s="268"/>
      <c r="L35" s="268">
        <v>1</v>
      </c>
      <c r="M35" s="268"/>
      <c r="N35" s="268"/>
      <c r="O35" s="274"/>
      <c r="P35" s="275"/>
      <c r="Q35" s="267"/>
      <c r="R35" s="274"/>
      <c r="S35" s="271"/>
      <c r="T35" s="272"/>
    </row>
    <row r="36" spans="1:20" s="349" customFormat="1" x14ac:dyDescent="0.3">
      <c r="A36" s="365"/>
      <c r="B36" s="358" t="s">
        <v>8</v>
      </c>
      <c r="C36" s="358"/>
      <c r="D36" s="366" t="s">
        <v>240</v>
      </c>
      <c r="E36" s="366"/>
      <c r="F36" s="366" t="s">
        <v>220</v>
      </c>
      <c r="G36" s="366"/>
      <c r="H36" s="366" t="s">
        <v>247</v>
      </c>
      <c r="I36" s="366"/>
      <c r="J36" s="366" t="s">
        <v>250</v>
      </c>
      <c r="K36" s="366"/>
      <c r="L36" s="366" t="s">
        <v>252</v>
      </c>
      <c r="M36" s="366"/>
      <c r="N36" s="366"/>
      <c r="O36" s="379"/>
      <c r="P36" s="380"/>
      <c r="Q36" s="358"/>
      <c r="R36" s="358"/>
      <c r="S36" s="361"/>
      <c r="T36" s="348"/>
    </row>
    <row r="37" spans="1:20" s="349" customFormat="1" x14ac:dyDescent="0.3">
      <c r="A37" s="365"/>
      <c r="B37" s="358" t="s">
        <v>9</v>
      </c>
      <c r="C37" s="381"/>
      <c r="D37" s="380">
        <v>1.7099999999999999E-3</v>
      </c>
      <c r="E37" s="380"/>
      <c r="F37" s="380">
        <v>1.3161900000000001E-2</v>
      </c>
      <c r="G37" s="380"/>
      <c r="H37" s="380">
        <v>1.8661899999999999E-2</v>
      </c>
      <c r="I37" s="380"/>
      <c r="J37" s="380">
        <v>2.1661900000000001E-2</v>
      </c>
      <c r="K37" s="380"/>
      <c r="L37" s="380">
        <v>2.5161900000000001E-2</v>
      </c>
      <c r="M37" s="379"/>
      <c r="N37" s="380"/>
      <c r="O37" s="366"/>
      <c r="P37" s="366"/>
      <c r="Q37" s="358"/>
      <c r="R37" s="379"/>
      <c r="S37" s="361"/>
      <c r="T37" s="348"/>
    </row>
    <row r="38" spans="1:20" s="349" customFormat="1" x14ac:dyDescent="0.3">
      <c r="A38" s="365"/>
      <c r="B38" s="358" t="s">
        <v>10</v>
      </c>
      <c r="C38" s="381"/>
      <c r="D38" s="380">
        <v>1.7099999999999999E-3</v>
      </c>
      <c r="E38" s="380"/>
      <c r="F38" s="380">
        <v>1.1268800000000001E-2</v>
      </c>
      <c r="G38" s="380"/>
      <c r="H38" s="380">
        <v>1.67688E-2</v>
      </c>
      <c r="I38" s="380"/>
      <c r="J38" s="380">
        <v>1.97688E-2</v>
      </c>
      <c r="K38" s="380"/>
      <c r="L38" s="380">
        <v>2.3268799999999999E-2</v>
      </c>
      <c r="M38" s="379"/>
      <c r="N38" s="380"/>
      <c r="O38" s="366"/>
      <c r="P38" s="366"/>
      <c r="Q38" s="358"/>
      <c r="R38" s="358"/>
      <c r="S38" s="361"/>
      <c r="T38" s="348"/>
    </row>
    <row r="39" spans="1:20" s="349" customFormat="1" x14ac:dyDescent="0.3">
      <c r="A39" s="365"/>
      <c r="B39" s="358" t="s">
        <v>235</v>
      </c>
      <c r="C39" s="381"/>
      <c r="D39" s="382" t="s">
        <v>260</v>
      </c>
      <c r="E39" s="380"/>
      <c r="F39" s="380" t="s">
        <v>220</v>
      </c>
      <c r="G39" s="380"/>
      <c r="H39" s="380" t="s">
        <v>247</v>
      </c>
      <c r="I39" s="380"/>
      <c r="J39" s="366" t="s">
        <v>250</v>
      </c>
      <c r="K39" s="380"/>
      <c r="L39" s="380" t="s">
        <v>252</v>
      </c>
      <c r="M39" s="379"/>
      <c r="N39" s="380"/>
      <c r="O39" s="366"/>
      <c r="P39" s="366"/>
      <c r="Q39" s="358"/>
      <c r="R39" s="358"/>
      <c r="S39" s="361"/>
      <c r="T39" s="348"/>
    </row>
    <row r="40" spans="1:20" s="349" customFormat="1" x14ac:dyDescent="0.3">
      <c r="A40" s="365"/>
      <c r="B40" s="358" t="s">
        <v>236</v>
      </c>
      <c r="C40" s="381"/>
      <c r="D40" s="380">
        <v>1.55619E-2</v>
      </c>
      <c r="E40" s="380"/>
      <c r="F40" s="380">
        <f>+F37</f>
        <v>1.3161900000000001E-2</v>
      </c>
      <c r="G40" s="380"/>
      <c r="H40" s="380">
        <f>+H37</f>
        <v>1.8661899999999999E-2</v>
      </c>
      <c r="I40" s="380"/>
      <c r="J40" s="380">
        <f>+J37</f>
        <v>2.1661900000000001E-2</v>
      </c>
      <c r="K40" s="380"/>
      <c r="L40" s="380">
        <f>+L37</f>
        <v>2.5161900000000001E-2</v>
      </c>
      <c r="M40" s="379"/>
      <c r="N40" s="380"/>
      <c r="O40" s="366"/>
      <c r="P40" s="366"/>
      <c r="Q40" s="358"/>
      <c r="R40" s="379">
        <f>SUMPRODUCT(D40:L40,D32:L32)/R32</f>
        <v>1.6312831560162468E-2</v>
      </c>
      <c r="S40" s="361"/>
      <c r="T40" s="348"/>
    </row>
    <row r="41" spans="1:20" s="349" customFormat="1" x14ac:dyDescent="0.3">
      <c r="A41" s="365"/>
      <c r="B41" s="358" t="s">
        <v>237</v>
      </c>
      <c r="C41" s="381"/>
      <c r="D41" s="380">
        <v>1.36688E-2</v>
      </c>
      <c r="E41" s="380"/>
      <c r="F41" s="380">
        <f>+F38</f>
        <v>1.1268800000000001E-2</v>
      </c>
      <c r="G41" s="380"/>
      <c r="H41" s="380">
        <f>+H38</f>
        <v>1.67688E-2</v>
      </c>
      <c r="I41" s="380"/>
      <c r="J41" s="380">
        <f>+J38</f>
        <v>1.97688E-2</v>
      </c>
      <c r="K41" s="380"/>
      <c r="L41" s="380">
        <f>+L38</f>
        <v>2.3268799999999999E-2</v>
      </c>
      <c r="M41" s="379"/>
      <c r="N41" s="380"/>
      <c r="O41" s="366"/>
      <c r="P41" s="366"/>
      <c r="Q41" s="358"/>
      <c r="R41" s="358"/>
      <c r="S41" s="361"/>
      <c r="T41" s="348"/>
    </row>
    <row r="42" spans="1:20" s="349" customFormat="1" x14ac:dyDescent="0.3">
      <c r="A42" s="365"/>
      <c r="B42" s="358" t="s">
        <v>238</v>
      </c>
      <c r="C42" s="358"/>
      <c r="D42" s="381">
        <v>43631</v>
      </c>
      <c r="E42" s="381"/>
      <c r="F42" s="381">
        <v>43631</v>
      </c>
      <c r="G42" s="381"/>
      <c r="H42" s="381">
        <v>43631</v>
      </c>
      <c r="I42" s="381"/>
      <c r="J42" s="381">
        <v>43631</v>
      </c>
      <c r="K42" s="381"/>
      <c r="L42" s="381">
        <v>43631</v>
      </c>
      <c r="M42" s="381"/>
      <c r="N42" s="381"/>
      <c r="O42" s="366"/>
      <c r="P42" s="366"/>
      <c r="Q42" s="358"/>
      <c r="R42" s="358"/>
      <c r="S42" s="361"/>
      <c r="T42" s="348"/>
    </row>
    <row r="43" spans="1:20" s="349" customFormat="1" x14ac:dyDescent="0.3">
      <c r="A43" s="365"/>
      <c r="B43" s="358" t="s">
        <v>11</v>
      </c>
      <c r="C43" s="358"/>
      <c r="D43" s="381">
        <v>43631</v>
      </c>
      <c r="E43" s="381"/>
      <c r="F43" s="381">
        <v>43631</v>
      </c>
      <c r="G43" s="366"/>
      <c r="H43" s="381">
        <v>43631</v>
      </c>
      <c r="I43" s="366"/>
      <c r="J43" s="381">
        <v>43631</v>
      </c>
      <c r="K43" s="366"/>
      <c r="L43" s="381" t="s">
        <v>97</v>
      </c>
      <c r="M43" s="366"/>
      <c r="N43" s="381"/>
      <c r="O43" s="366"/>
      <c r="P43" s="366"/>
      <c r="Q43" s="358"/>
      <c r="R43" s="358"/>
      <c r="S43" s="361"/>
      <c r="T43" s="348"/>
    </row>
    <row r="44" spans="1:20" s="349" customFormat="1" x14ac:dyDescent="0.3">
      <c r="A44" s="365"/>
      <c r="B44" s="358" t="s">
        <v>98</v>
      </c>
      <c r="C44" s="358"/>
      <c r="D44" s="366" t="s">
        <v>241</v>
      </c>
      <c r="E44" s="366"/>
      <c r="F44" s="366" t="s">
        <v>246</v>
      </c>
      <c r="G44" s="366"/>
      <c r="H44" s="366" t="s">
        <v>248</v>
      </c>
      <c r="I44" s="366"/>
      <c r="J44" s="366" t="s">
        <v>251</v>
      </c>
      <c r="K44" s="366"/>
      <c r="L44" s="366" t="s">
        <v>97</v>
      </c>
      <c r="M44" s="366"/>
      <c r="N44" s="366"/>
      <c r="O44" s="383"/>
      <c r="P44" s="383"/>
      <c r="Q44" s="383"/>
      <c r="R44" s="383"/>
      <c r="S44" s="361"/>
      <c r="T44" s="348"/>
    </row>
    <row r="45" spans="1:20" s="349" customFormat="1" x14ac:dyDescent="0.3">
      <c r="A45" s="365"/>
      <c r="B45" s="358" t="s">
        <v>239</v>
      </c>
      <c r="C45" s="358"/>
      <c r="D45" s="366" t="s">
        <v>273</v>
      </c>
      <c r="E45" s="366"/>
      <c r="F45" s="366" t="s">
        <v>246</v>
      </c>
      <c r="G45" s="366"/>
      <c r="H45" s="366" t="s">
        <v>248</v>
      </c>
      <c r="I45" s="366"/>
      <c r="J45" s="366" t="s">
        <v>251</v>
      </c>
      <c r="K45" s="366"/>
      <c r="L45" s="366" t="s">
        <v>97</v>
      </c>
      <c r="M45" s="366"/>
      <c r="N45" s="366"/>
      <c r="O45" s="383"/>
      <c r="P45" s="383"/>
      <c r="Q45" s="383"/>
      <c r="R45" s="383"/>
      <c r="S45" s="361"/>
      <c r="T45" s="348"/>
    </row>
    <row r="46" spans="1:20" s="349" customFormat="1" x14ac:dyDescent="0.3">
      <c r="A46" s="365"/>
      <c r="B46" s="358"/>
      <c r="C46" s="358"/>
      <c r="D46" s="366"/>
      <c r="E46" s="366"/>
      <c r="F46" s="366"/>
      <c r="G46" s="366"/>
      <c r="H46" s="366"/>
      <c r="I46" s="366"/>
      <c r="J46" s="366"/>
      <c r="K46" s="366"/>
      <c r="L46" s="366"/>
      <c r="M46" s="366"/>
      <c r="N46" s="366"/>
      <c r="O46" s="358"/>
      <c r="P46" s="358"/>
      <c r="Q46" s="358"/>
      <c r="R46" s="379" t="s">
        <v>130</v>
      </c>
      <c r="S46" s="361"/>
      <c r="T46" s="348"/>
    </row>
    <row r="47" spans="1:20" s="349" customFormat="1" x14ac:dyDescent="0.3">
      <c r="A47" s="365"/>
      <c r="B47" s="358" t="s">
        <v>253</v>
      </c>
      <c r="C47" s="358"/>
      <c r="D47" s="366"/>
      <c r="E47" s="366"/>
      <c r="F47" s="366"/>
      <c r="G47" s="366"/>
      <c r="H47" s="366"/>
      <c r="I47" s="366"/>
      <c r="J47" s="366"/>
      <c r="K47" s="366"/>
      <c r="L47" s="366"/>
      <c r="M47" s="366"/>
      <c r="N47" s="366"/>
      <c r="O47" s="358"/>
      <c r="P47" s="358"/>
      <c r="Q47" s="358"/>
      <c r="R47" s="384">
        <f>SUM(H31:L31)/(D31+F31)</f>
        <v>0.11731450342446621</v>
      </c>
      <c r="S47" s="361"/>
      <c r="T47" s="348"/>
    </row>
    <row r="48" spans="1:20" s="349" customFormat="1" x14ac:dyDescent="0.3">
      <c r="A48" s="365"/>
      <c r="B48" s="358" t="s">
        <v>254</v>
      </c>
      <c r="C48" s="358"/>
      <c r="D48" s="358"/>
      <c r="E48" s="358"/>
      <c r="F48" s="358"/>
      <c r="G48" s="358"/>
      <c r="H48" s="358"/>
      <c r="I48" s="358"/>
      <c r="J48" s="358"/>
      <c r="K48" s="358"/>
      <c r="L48" s="358"/>
      <c r="M48" s="358"/>
      <c r="N48" s="358"/>
      <c r="O48" s="358"/>
      <c r="P48" s="358"/>
      <c r="Q48" s="358"/>
      <c r="R48" s="384">
        <f>SUM(H33:L33)/(D33+F33)</f>
        <v>0.5211525038857987</v>
      </c>
      <c r="S48" s="361"/>
      <c r="T48" s="348"/>
    </row>
    <row r="49" spans="1:21" s="349" customFormat="1" x14ac:dyDescent="0.3">
      <c r="A49" s="365"/>
      <c r="B49" s="358" t="s">
        <v>255</v>
      </c>
      <c r="C49" s="358"/>
      <c r="D49" s="358"/>
      <c r="E49" s="358"/>
      <c r="F49" s="358"/>
      <c r="G49" s="358"/>
      <c r="H49" s="358"/>
      <c r="I49" s="358"/>
      <c r="J49" s="358"/>
      <c r="K49" s="358"/>
      <c r="L49" s="358"/>
      <c r="M49" s="358"/>
      <c r="N49" s="358"/>
      <c r="O49" s="358"/>
      <c r="P49" s="366"/>
      <c r="Q49" s="366"/>
      <c r="R49" s="368" t="s">
        <v>149</v>
      </c>
      <c r="S49" s="361"/>
      <c r="T49" s="348"/>
    </row>
    <row r="50" spans="1:21" s="349" customFormat="1" x14ac:dyDescent="0.3">
      <c r="A50" s="365"/>
      <c r="B50" s="358"/>
      <c r="C50" s="358"/>
      <c r="D50" s="358"/>
      <c r="E50" s="358"/>
      <c r="F50" s="358"/>
      <c r="G50" s="358"/>
      <c r="H50" s="358"/>
      <c r="I50" s="358"/>
      <c r="J50" s="358"/>
      <c r="K50" s="358"/>
      <c r="L50" s="358"/>
      <c r="M50" s="358"/>
      <c r="N50" s="358"/>
      <c r="O50" s="358"/>
      <c r="P50" s="358"/>
      <c r="Q50" s="358"/>
      <c r="R50" s="385"/>
      <c r="S50" s="361"/>
      <c r="T50" s="348"/>
    </row>
    <row r="51" spans="1:21" s="349" customFormat="1" x14ac:dyDescent="0.3">
      <c r="A51" s="365"/>
      <c r="B51" s="358" t="s">
        <v>225</v>
      </c>
      <c r="C51" s="358"/>
      <c r="D51" s="358"/>
      <c r="E51" s="358"/>
      <c r="F51" s="358"/>
      <c r="G51" s="358"/>
      <c r="H51" s="358"/>
      <c r="I51" s="358"/>
      <c r="J51" s="358"/>
      <c r="K51" s="358"/>
      <c r="L51" s="358"/>
      <c r="M51" s="358"/>
      <c r="N51" s="358"/>
      <c r="O51" s="358"/>
      <c r="P51" s="358"/>
      <c r="Q51" s="358"/>
      <c r="R51" s="386" t="s">
        <v>91</v>
      </c>
      <c r="S51" s="361"/>
      <c r="T51" s="348"/>
    </row>
    <row r="52" spans="1:21" s="349" customFormat="1" x14ac:dyDescent="0.3">
      <c r="A52" s="365"/>
      <c r="B52" s="362" t="s">
        <v>131</v>
      </c>
      <c r="C52" s="362"/>
      <c r="D52" s="362"/>
      <c r="E52" s="362"/>
      <c r="F52" s="362"/>
      <c r="G52" s="362"/>
      <c r="H52" s="362"/>
      <c r="I52" s="362"/>
      <c r="J52" s="362"/>
      <c r="K52" s="362"/>
      <c r="L52" s="362"/>
      <c r="M52" s="362"/>
      <c r="N52" s="362"/>
      <c r="O52" s="362"/>
      <c r="P52" s="387"/>
      <c r="Q52" s="387"/>
      <c r="R52" s="388">
        <v>43174</v>
      </c>
      <c r="S52" s="361"/>
      <c r="T52" s="348"/>
    </row>
    <row r="53" spans="1:21" s="349" customFormat="1" x14ac:dyDescent="0.3">
      <c r="A53" s="365"/>
      <c r="B53" s="358" t="s">
        <v>99</v>
      </c>
      <c r="C53" s="358"/>
      <c r="D53" s="389"/>
      <c r="E53" s="389"/>
      <c r="F53" s="389"/>
      <c r="G53" s="389"/>
      <c r="H53" s="389"/>
      <c r="I53" s="389"/>
      <c r="J53" s="389"/>
      <c r="K53" s="389"/>
      <c r="L53" s="389"/>
      <c r="M53" s="389"/>
      <c r="N53" s="358">
        <f>+R53-P53+1</f>
        <v>91</v>
      </c>
      <c r="O53" s="358"/>
      <c r="P53" s="390">
        <v>42993</v>
      </c>
      <c r="Q53" s="391"/>
      <c r="R53" s="390">
        <v>43083</v>
      </c>
      <c r="S53" s="361"/>
      <c r="T53" s="348"/>
    </row>
    <row r="54" spans="1:21" s="349" customFormat="1" x14ac:dyDescent="0.3">
      <c r="A54" s="365"/>
      <c r="B54" s="358" t="s">
        <v>100</v>
      </c>
      <c r="C54" s="358"/>
      <c r="D54" s="358"/>
      <c r="E54" s="358"/>
      <c r="F54" s="358"/>
      <c r="G54" s="358"/>
      <c r="H54" s="358"/>
      <c r="I54" s="358"/>
      <c r="J54" s="358"/>
      <c r="K54" s="358"/>
      <c r="L54" s="358"/>
      <c r="M54" s="358"/>
      <c r="N54" s="358">
        <f>+R54-P54+1</f>
        <v>90</v>
      </c>
      <c r="O54" s="358"/>
      <c r="P54" s="390">
        <v>43084</v>
      </c>
      <c r="Q54" s="391"/>
      <c r="R54" s="390">
        <v>43173</v>
      </c>
      <c r="S54" s="361"/>
      <c r="T54" s="348"/>
    </row>
    <row r="55" spans="1:21" s="349" customFormat="1" x14ac:dyDescent="0.3">
      <c r="A55" s="365"/>
      <c r="B55" s="358" t="s">
        <v>261</v>
      </c>
      <c r="C55" s="358"/>
      <c r="D55" s="358"/>
      <c r="E55" s="358"/>
      <c r="F55" s="358"/>
      <c r="G55" s="358"/>
      <c r="H55" s="358"/>
      <c r="I55" s="358"/>
      <c r="J55" s="358"/>
      <c r="K55" s="358"/>
      <c r="L55" s="358"/>
      <c r="M55" s="358"/>
      <c r="N55" s="358"/>
      <c r="O55" s="358"/>
      <c r="P55" s="390"/>
      <c r="Q55" s="391"/>
      <c r="R55" s="390" t="s">
        <v>263</v>
      </c>
      <c r="S55" s="361"/>
      <c r="T55" s="348"/>
    </row>
    <row r="56" spans="1:21" s="349" customFormat="1" x14ac:dyDescent="0.3">
      <c r="A56" s="365"/>
      <c r="B56" s="358" t="s">
        <v>262</v>
      </c>
      <c r="C56" s="358"/>
      <c r="D56" s="358"/>
      <c r="E56" s="358"/>
      <c r="F56" s="358"/>
      <c r="G56" s="358"/>
      <c r="H56" s="358"/>
      <c r="I56" s="358"/>
      <c r="J56" s="358"/>
      <c r="K56" s="358"/>
      <c r="L56" s="358"/>
      <c r="M56" s="358"/>
      <c r="N56" s="358"/>
      <c r="O56" s="358"/>
      <c r="P56" s="390"/>
      <c r="Q56" s="391"/>
      <c r="R56" s="390" t="s">
        <v>118</v>
      </c>
      <c r="S56" s="361"/>
      <c r="T56" s="348"/>
      <c r="U56" s="392"/>
    </row>
    <row r="57" spans="1:21" s="349" customFormat="1" x14ac:dyDescent="0.3">
      <c r="A57" s="365"/>
      <c r="B57" s="358" t="s">
        <v>12</v>
      </c>
      <c r="C57" s="358"/>
      <c r="D57" s="358"/>
      <c r="E57" s="358"/>
      <c r="F57" s="358"/>
      <c r="G57" s="358"/>
      <c r="H57" s="358"/>
      <c r="I57" s="358"/>
      <c r="J57" s="358"/>
      <c r="K57" s="358"/>
      <c r="L57" s="358"/>
      <c r="M57" s="358"/>
      <c r="N57" s="358"/>
      <c r="O57" s="358"/>
      <c r="P57" s="390"/>
      <c r="Q57" s="391"/>
      <c r="R57" s="390">
        <v>43160</v>
      </c>
      <c r="S57" s="361"/>
      <c r="T57" s="348"/>
    </row>
    <row r="58" spans="1:21" s="349" customFormat="1" x14ac:dyDescent="0.3">
      <c r="A58" s="344"/>
      <c r="B58" s="393"/>
      <c r="C58" s="393"/>
      <c r="D58" s="393"/>
      <c r="E58" s="393"/>
      <c r="F58" s="393"/>
      <c r="G58" s="393"/>
      <c r="H58" s="393"/>
      <c r="I58" s="393"/>
      <c r="J58" s="393"/>
      <c r="K58" s="393"/>
      <c r="L58" s="393"/>
      <c r="M58" s="393"/>
      <c r="N58" s="393"/>
      <c r="O58" s="393"/>
      <c r="P58" s="394"/>
      <c r="Q58" s="395"/>
      <c r="R58" s="394"/>
      <c r="S58" s="347"/>
      <c r="T58" s="348"/>
    </row>
    <row r="59" spans="1:21" s="349" customFormat="1" x14ac:dyDescent="0.3">
      <c r="A59" s="344"/>
      <c r="B59" s="346"/>
      <c r="C59" s="346"/>
      <c r="D59" s="346"/>
      <c r="E59" s="346"/>
      <c r="F59" s="346"/>
      <c r="G59" s="346"/>
      <c r="H59" s="346"/>
      <c r="I59" s="346"/>
      <c r="J59" s="346"/>
      <c r="K59" s="346"/>
      <c r="L59" s="346"/>
      <c r="M59" s="346"/>
      <c r="N59" s="346"/>
      <c r="O59" s="346"/>
      <c r="P59" s="396"/>
      <c r="Q59" s="397"/>
      <c r="R59" s="396"/>
      <c r="S59" s="347"/>
      <c r="T59" s="348"/>
    </row>
    <row r="60" spans="1:21" s="349" customFormat="1" ht="18.600000000000001" thickBot="1" x14ac:dyDescent="0.4">
      <c r="A60" s="398"/>
      <c r="B60" s="399" t="s">
        <v>295</v>
      </c>
      <c r="C60" s="400"/>
      <c r="D60" s="400"/>
      <c r="E60" s="400"/>
      <c r="F60" s="400"/>
      <c r="G60" s="400"/>
      <c r="H60" s="400"/>
      <c r="I60" s="400"/>
      <c r="J60" s="400"/>
      <c r="K60" s="400"/>
      <c r="L60" s="400"/>
      <c r="M60" s="400"/>
      <c r="N60" s="400"/>
      <c r="O60" s="400"/>
      <c r="P60" s="400"/>
      <c r="Q60" s="400"/>
      <c r="R60" s="401"/>
      <c r="S60" s="402"/>
      <c r="T60" s="348"/>
    </row>
    <row r="61" spans="1:21" x14ac:dyDescent="0.3">
      <c r="A61" s="443"/>
      <c r="B61" s="450" t="s">
        <v>13</v>
      </c>
      <c r="C61" s="444"/>
      <c r="D61" s="444"/>
      <c r="E61" s="444"/>
      <c r="F61" s="444"/>
      <c r="G61" s="444"/>
      <c r="H61" s="444"/>
      <c r="I61" s="444"/>
      <c r="J61" s="444"/>
      <c r="K61" s="444"/>
      <c r="L61" s="444"/>
      <c r="M61" s="444"/>
      <c r="N61" s="444"/>
      <c r="O61" s="444"/>
      <c r="P61" s="444"/>
      <c r="Q61" s="444"/>
      <c r="R61" s="451"/>
      <c r="S61" s="444"/>
      <c r="T61" s="247"/>
    </row>
    <row r="62" spans="1:21" x14ac:dyDescent="0.3">
      <c r="A62" s="249"/>
      <c r="B62" s="258"/>
      <c r="C62" s="251"/>
      <c r="D62" s="251"/>
      <c r="E62" s="251"/>
      <c r="F62" s="251"/>
      <c r="G62" s="251"/>
      <c r="H62" s="251"/>
      <c r="I62" s="251"/>
      <c r="J62" s="251"/>
      <c r="K62" s="251"/>
      <c r="L62" s="251"/>
      <c r="M62" s="251"/>
      <c r="N62" s="251"/>
      <c r="O62" s="251"/>
      <c r="P62" s="251"/>
      <c r="Q62" s="251"/>
      <c r="R62" s="279"/>
      <c r="S62" s="252"/>
      <c r="T62" s="247"/>
    </row>
    <row r="63" spans="1:21" s="273" customFormat="1" ht="46.8" x14ac:dyDescent="0.3">
      <c r="A63" s="280"/>
      <c r="B63" s="281" t="s">
        <v>14</v>
      </c>
      <c r="C63" s="282"/>
      <c r="D63" s="282"/>
      <c r="E63" s="282"/>
      <c r="F63" s="282" t="s">
        <v>76</v>
      </c>
      <c r="G63" s="282"/>
      <c r="H63" s="282" t="s">
        <v>78</v>
      </c>
      <c r="I63" s="282"/>
      <c r="J63" s="282" t="s">
        <v>162</v>
      </c>
      <c r="K63" s="282"/>
      <c r="L63" s="282" t="s">
        <v>163</v>
      </c>
      <c r="M63" s="282"/>
      <c r="N63" s="282" t="s">
        <v>81</v>
      </c>
      <c r="O63" s="282"/>
      <c r="P63" s="282" t="s">
        <v>86</v>
      </c>
      <c r="Q63" s="282"/>
      <c r="R63" s="283" t="s">
        <v>92</v>
      </c>
      <c r="S63" s="284"/>
      <c r="T63" s="272"/>
    </row>
    <row r="64" spans="1:21" s="349" customFormat="1" x14ac:dyDescent="0.3">
      <c r="A64" s="365"/>
      <c r="B64" s="358" t="s">
        <v>15</v>
      </c>
      <c r="C64" s="403"/>
      <c r="D64" s="403"/>
      <c r="E64" s="403"/>
      <c r="F64" s="403">
        <v>244234</v>
      </c>
      <c r="G64" s="403"/>
      <c r="H64" s="404">
        <v>106847</v>
      </c>
      <c r="I64" s="403"/>
      <c r="J64" s="404">
        <v>101</v>
      </c>
      <c r="K64" s="403"/>
      <c r="L64" s="403">
        <f>5277+32</f>
        <v>5309</v>
      </c>
      <c r="M64" s="403"/>
      <c r="N64" s="403">
        <v>32</v>
      </c>
      <c r="O64" s="403"/>
      <c r="P64" s="403">
        <f>3358+3973+2195</f>
        <v>9526</v>
      </c>
      <c r="Q64" s="403"/>
      <c r="R64" s="404">
        <f>H64-J64-L64+N64-P64</f>
        <v>91943</v>
      </c>
      <c r="S64" s="361"/>
      <c r="T64" s="348"/>
    </row>
    <row r="65" spans="1:20" s="349" customFormat="1" x14ac:dyDescent="0.3">
      <c r="A65" s="365"/>
      <c r="B65" s="358" t="s">
        <v>16</v>
      </c>
      <c r="C65" s="403"/>
      <c r="D65" s="403"/>
      <c r="E65" s="403"/>
      <c r="F65" s="403">
        <v>0</v>
      </c>
      <c r="G65" s="403"/>
      <c r="H65" s="404">
        <v>0</v>
      </c>
      <c r="I65" s="403"/>
      <c r="J65" s="404">
        <v>0</v>
      </c>
      <c r="K65" s="403"/>
      <c r="L65" s="403">
        <v>0</v>
      </c>
      <c r="M65" s="403"/>
      <c r="N65" s="403">
        <v>0</v>
      </c>
      <c r="O65" s="403"/>
      <c r="P65" s="403">
        <v>0</v>
      </c>
      <c r="Q65" s="403"/>
      <c r="R65" s="404">
        <f>F65-J65-L65</f>
        <v>0</v>
      </c>
      <c r="S65" s="361"/>
      <c r="T65" s="348"/>
    </row>
    <row r="66" spans="1:20" s="349" customFormat="1" x14ac:dyDescent="0.3">
      <c r="A66" s="365"/>
      <c r="B66" s="358"/>
      <c r="C66" s="403"/>
      <c r="D66" s="403"/>
      <c r="E66" s="403"/>
      <c r="F66" s="403"/>
      <c r="G66" s="403"/>
      <c r="H66" s="404"/>
      <c r="I66" s="403"/>
      <c r="J66" s="404"/>
      <c r="K66" s="403"/>
      <c r="L66" s="403"/>
      <c r="M66" s="403"/>
      <c r="N66" s="403"/>
      <c r="O66" s="403"/>
      <c r="P66" s="403"/>
      <c r="Q66" s="403"/>
      <c r="R66" s="404"/>
      <c r="S66" s="361"/>
      <c r="T66" s="348"/>
    </row>
    <row r="67" spans="1:20" s="349" customFormat="1" x14ac:dyDescent="0.3">
      <c r="A67" s="365"/>
      <c r="B67" s="358" t="s">
        <v>17</v>
      </c>
      <c r="C67" s="403"/>
      <c r="D67" s="403"/>
      <c r="E67" s="403"/>
      <c r="F67" s="403">
        <f>SUM(F64:F66)</f>
        <v>244234</v>
      </c>
      <c r="G67" s="403"/>
      <c r="H67" s="403">
        <f>H64+H65</f>
        <v>106847</v>
      </c>
      <c r="I67" s="403"/>
      <c r="J67" s="403">
        <f>J64+J65</f>
        <v>101</v>
      </c>
      <c r="K67" s="403"/>
      <c r="L67" s="403">
        <f>SUM(L64:L66)</f>
        <v>5309</v>
      </c>
      <c r="M67" s="403"/>
      <c r="N67" s="403">
        <f>SUM(N64:N66)</f>
        <v>32</v>
      </c>
      <c r="O67" s="403"/>
      <c r="P67" s="403">
        <f>SUM(P64:P66)</f>
        <v>9526</v>
      </c>
      <c r="Q67" s="403"/>
      <c r="R67" s="403">
        <f>SUM(R64:R66)</f>
        <v>91943</v>
      </c>
      <c r="S67" s="361"/>
      <c r="T67" s="348"/>
    </row>
    <row r="68" spans="1:20" x14ac:dyDescent="0.3">
      <c r="A68" s="249"/>
      <c r="B68" s="277"/>
      <c r="C68" s="287"/>
      <c r="D68" s="287"/>
      <c r="E68" s="287"/>
      <c r="F68" s="287"/>
      <c r="G68" s="287"/>
      <c r="H68" s="287"/>
      <c r="I68" s="287"/>
      <c r="J68" s="287"/>
      <c r="K68" s="287"/>
      <c r="L68" s="287"/>
      <c r="M68" s="287"/>
      <c r="N68" s="287"/>
      <c r="O68" s="287"/>
      <c r="P68" s="287"/>
      <c r="Q68" s="287"/>
      <c r="R68" s="288"/>
      <c r="S68" s="252"/>
      <c r="T68" s="247"/>
    </row>
    <row r="69" spans="1:20" x14ac:dyDescent="0.3">
      <c r="A69" s="249"/>
      <c r="B69" s="254" t="s">
        <v>18</v>
      </c>
      <c r="C69" s="289"/>
      <c r="D69" s="289"/>
      <c r="E69" s="289"/>
      <c r="F69" s="289"/>
      <c r="G69" s="289"/>
      <c r="H69" s="289"/>
      <c r="I69" s="289"/>
      <c r="J69" s="289"/>
      <c r="K69" s="289"/>
      <c r="L69" s="289"/>
      <c r="M69" s="289"/>
      <c r="N69" s="289"/>
      <c r="O69" s="289"/>
      <c r="P69" s="289"/>
      <c r="Q69" s="289"/>
      <c r="R69" s="290"/>
      <c r="S69" s="252"/>
      <c r="T69" s="247"/>
    </row>
    <row r="70" spans="1:20" x14ac:dyDescent="0.3">
      <c r="A70" s="249"/>
      <c r="B70" s="251"/>
      <c r="C70" s="289"/>
      <c r="D70" s="289"/>
      <c r="E70" s="289"/>
      <c r="F70" s="289"/>
      <c r="G70" s="289"/>
      <c r="H70" s="289"/>
      <c r="I70" s="289"/>
      <c r="J70" s="289"/>
      <c r="K70" s="289"/>
      <c r="L70" s="289"/>
      <c r="M70" s="289"/>
      <c r="N70" s="289"/>
      <c r="O70" s="289"/>
      <c r="P70" s="289"/>
      <c r="Q70" s="289"/>
      <c r="R70" s="290"/>
      <c r="S70" s="252"/>
      <c r="T70" s="247"/>
    </row>
    <row r="71" spans="1:20" s="349" customFormat="1" x14ac:dyDescent="0.3">
      <c r="A71" s="365"/>
      <c r="B71" s="358" t="s">
        <v>15</v>
      </c>
      <c r="C71" s="403"/>
      <c r="D71" s="403"/>
      <c r="E71" s="403"/>
      <c r="F71" s="403"/>
      <c r="G71" s="403"/>
      <c r="H71" s="403"/>
      <c r="I71" s="403"/>
      <c r="J71" s="403"/>
      <c r="K71" s="403"/>
      <c r="L71" s="403"/>
      <c r="M71" s="403"/>
      <c r="N71" s="403"/>
      <c r="O71" s="403"/>
      <c r="P71" s="403"/>
      <c r="Q71" s="403"/>
      <c r="R71" s="403"/>
      <c r="S71" s="361"/>
      <c r="T71" s="348"/>
    </row>
    <row r="72" spans="1:20" s="349" customFormat="1" x14ac:dyDescent="0.3">
      <c r="A72" s="365"/>
      <c r="B72" s="358" t="s">
        <v>16</v>
      </c>
      <c r="C72" s="403"/>
      <c r="D72" s="403"/>
      <c r="E72" s="403"/>
      <c r="F72" s="403"/>
      <c r="G72" s="403"/>
      <c r="H72" s="403"/>
      <c r="I72" s="403"/>
      <c r="J72" s="403"/>
      <c r="K72" s="403"/>
      <c r="L72" s="403"/>
      <c r="M72" s="403"/>
      <c r="N72" s="403"/>
      <c r="O72" s="403"/>
      <c r="P72" s="403"/>
      <c r="Q72" s="403"/>
      <c r="R72" s="403"/>
      <c r="S72" s="361"/>
      <c r="T72" s="348"/>
    </row>
    <row r="73" spans="1:20" s="349" customFormat="1" x14ac:dyDescent="0.3">
      <c r="A73" s="365"/>
      <c r="B73" s="358"/>
      <c r="C73" s="403"/>
      <c r="D73" s="403"/>
      <c r="E73" s="403"/>
      <c r="F73" s="403"/>
      <c r="G73" s="403"/>
      <c r="H73" s="403"/>
      <c r="I73" s="403"/>
      <c r="J73" s="403"/>
      <c r="K73" s="403"/>
      <c r="L73" s="403"/>
      <c r="M73" s="403"/>
      <c r="N73" s="403"/>
      <c r="O73" s="403"/>
      <c r="P73" s="403"/>
      <c r="Q73" s="403"/>
      <c r="R73" s="403"/>
      <c r="S73" s="361"/>
      <c r="T73" s="348"/>
    </row>
    <row r="74" spans="1:20" s="349" customFormat="1" x14ac:dyDescent="0.3">
      <c r="A74" s="365"/>
      <c r="B74" s="358" t="s">
        <v>17</v>
      </c>
      <c r="C74" s="403"/>
      <c r="D74" s="403"/>
      <c r="E74" s="403"/>
      <c r="F74" s="403"/>
      <c r="G74" s="403"/>
      <c r="H74" s="403"/>
      <c r="I74" s="403"/>
      <c r="J74" s="403"/>
      <c r="K74" s="403"/>
      <c r="L74" s="403"/>
      <c r="M74" s="403"/>
      <c r="N74" s="403"/>
      <c r="O74" s="403"/>
      <c r="P74" s="403"/>
      <c r="Q74" s="403"/>
      <c r="R74" s="403"/>
      <c r="S74" s="361"/>
      <c r="T74" s="348"/>
    </row>
    <row r="75" spans="1:20" s="349" customFormat="1" x14ac:dyDescent="0.3">
      <c r="A75" s="365"/>
      <c r="B75" s="358"/>
      <c r="C75" s="403"/>
      <c r="D75" s="403"/>
      <c r="E75" s="403"/>
      <c r="F75" s="403"/>
      <c r="G75" s="403"/>
      <c r="H75" s="403"/>
      <c r="I75" s="403"/>
      <c r="J75" s="403"/>
      <c r="K75" s="403"/>
      <c r="L75" s="403"/>
      <c r="M75" s="403"/>
      <c r="N75" s="403"/>
      <c r="O75" s="403"/>
      <c r="P75" s="403"/>
      <c r="Q75" s="403"/>
      <c r="R75" s="403"/>
      <c r="S75" s="361"/>
      <c r="T75" s="348"/>
    </row>
    <row r="76" spans="1:20" s="349" customFormat="1" x14ac:dyDescent="0.3">
      <c r="A76" s="365"/>
      <c r="B76" s="358" t="s">
        <v>19</v>
      </c>
      <c r="C76" s="403"/>
      <c r="D76" s="403"/>
      <c r="E76" s="403"/>
      <c r="F76" s="403">
        <v>0</v>
      </c>
      <c r="G76" s="403"/>
      <c r="H76" s="403">
        <v>0</v>
      </c>
      <c r="I76" s="403"/>
      <c r="J76" s="403"/>
      <c r="K76" s="403"/>
      <c r="L76" s="403"/>
      <c r="M76" s="403"/>
      <c r="N76" s="403"/>
      <c r="O76" s="403"/>
      <c r="P76" s="403"/>
      <c r="Q76" s="403"/>
      <c r="R76" s="404">
        <v>0</v>
      </c>
      <c r="S76" s="361"/>
      <c r="T76" s="348"/>
    </row>
    <row r="77" spans="1:20" s="349" customFormat="1" x14ac:dyDescent="0.3">
      <c r="A77" s="365"/>
      <c r="B77" s="358" t="s">
        <v>196</v>
      </c>
      <c r="C77" s="403"/>
      <c r="D77" s="403"/>
      <c r="E77" s="403"/>
      <c r="F77" s="403">
        <v>53165</v>
      </c>
      <c r="G77" s="403"/>
      <c r="H77" s="403">
        <v>0</v>
      </c>
      <c r="I77" s="403"/>
      <c r="J77" s="403">
        <v>0</v>
      </c>
      <c r="K77" s="403"/>
      <c r="L77" s="403">
        <v>0</v>
      </c>
      <c r="M77" s="403"/>
      <c r="N77" s="403"/>
      <c r="O77" s="403"/>
      <c r="P77" s="403"/>
      <c r="Q77" s="403"/>
      <c r="R77" s="403">
        <v>0</v>
      </c>
      <c r="S77" s="361"/>
      <c r="T77" s="348"/>
    </row>
    <row r="78" spans="1:20" s="349" customFormat="1" x14ac:dyDescent="0.3">
      <c r="A78" s="365"/>
      <c r="B78" s="358" t="s">
        <v>206</v>
      </c>
      <c r="C78" s="403"/>
      <c r="D78" s="403"/>
      <c r="E78" s="403"/>
      <c r="F78" s="403">
        <v>2610</v>
      </c>
      <c r="G78" s="403"/>
      <c r="H78" s="403">
        <v>0</v>
      </c>
      <c r="I78" s="403"/>
      <c r="J78" s="403"/>
      <c r="K78" s="403"/>
      <c r="L78" s="403"/>
      <c r="M78" s="403"/>
      <c r="N78" s="403">
        <v>0</v>
      </c>
      <c r="O78" s="403"/>
      <c r="P78" s="403"/>
      <c r="Q78" s="403"/>
      <c r="R78" s="403">
        <f>H78+N78</f>
        <v>0</v>
      </c>
      <c r="S78" s="361"/>
      <c r="T78" s="348"/>
    </row>
    <row r="79" spans="1:20" s="349" customFormat="1" x14ac:dyDescent="0.3">
      <c r="A79" s="365"/>
      <c r="B79" s="358" t="s">
        <v>20</v>
      </c>
      <c r="C79" s="403"/>
      <c r="D79" s="403"/>
      <c r="E79" s="403"/>
      <c r="F79" s="403">
        <v>0</v>
      </c>
      <c r="G79" s="403"/>
      <c r="H79" s="403">
        <v>0</v>
      </c>
      <c r="I79" s="403"/>
      <c r="J79" s="403"/>
      <c r="K79" s="403"/>
      <c r="L79" s="403"/>
      <c r="M79" s="403"/>
      <c r="N79" s="403"/>
      <c r="O79" s="403"/>
      <c r="P79" s="403"/>
      <c r="Q79" s="403"/>
      <c r="R79" s="403">
        <v>0</v>
      </c>
      <c r="S79" s="361"/>
      <c r="T79" s="348"/>
    </row>
    <row r="80" spans="1:20" s="349" customFormat="1" x14ac:dyDescent="0.3">
      <c r="A80" s="365"/>
      <c r="B80" s="358" t="s">
        <v>21</v>
      </c>
      <c r="C80" s="403"/>
      <c r="D80" s="403"/>
      <c r="E80" s="403"/>
      <c r="F80" s="403">
        <f>SUM(F67:F79)</f>
        <v>300009</v>
      </c>
      <c r="G80" s="403"/>
      <c r="H80" s="403">
        <f>SUM(H67:H79)</f>
        <v>106847</v>
      </c>
      <c r="I80" s="403"/>
      <c r="J80" s="403"/>
      <c r="K80" s="403"/>
      <c r="L80" s="403"/>
      <c r="M80" s="403"/>
      <c r="N80" s="403"/>
      <c r="O80" s="403"/>
      <c r="P80" s="403"/>
      <c r="Q80" s="403"/>
      <c r="R80" s="403">
        <f>SUM(R67:R79)</f>
        <v>91943</v>
      </c>
      <c r="S80" s="361"/>
      <c r="T80" s="348"/>
    </row>
    <row r="81" spans="1:20" x14ac:dyDescent="0.3">
      <c r="A81" s="249"/>
      <c r="B81" s="277"/>
      <c r="C81" s="287"/>
      <c r="D81" s="287"/>
      <c r="E81" s="287"/>
      <c r="F81" s="287"/>
      <c r="G81" s="287"/>
      <c r="H81" s="287"/>
      <c r="I81" s="287"/>
      <c r="J81" s="287"/>
      <c r="K81" s="287"/>
      <c r="L81" s="287"/>
      <c r="M81" s="287"/>
      <c r="N81" s="287"/>
      <c r="O81" s="287"/>
      <c r="P81" s="287"/>
      <c r="Q81" s="287"/>
      <c r="R81" s="288"/>
      <c r="S81" s="252"/>
      <c r="T81" s="247"/>
    </row>
    <row r="82" spans="1:20" x14ac:dyDescent="0.3">
      <c r="A82" s="249"/>
      <c r="B82" s="251"/>
      <c r="C82" s="251"/>
      <c r="D82" s="251"/>
      <c r="E82" s="251"/>
      <c r="F82" s="251"/>
      <c r="G82" s="251"/>
      <c r="H82" s="251"/>
      <c r="I82" s="251"/>
      <c r="J82" s="251"/>
      <c r="K82" s="251"/>
      <c r="L82" s="251"/>
      <c r="M82" s="251"/>
      <c r="N82" s="251"/>
      <c r="O82" s="251"/>
      <c r="P82" s="251"/>
      <c r="Q82" s="251"/>
      <c r="R82" s="251"/>
      <c r="S82" s="252"/>
      <c r="T82" s="247"/>
    </row>
    <row r="83" spans="1:20" x14ac:dyDescent="0.3">
      <c r="A83" s="443"/>
      <c r="B83" s="452" t="s">
        <v>22</v>
      </c>
      <c r="C83" s="452"/>
      <c r="D83" s="453"/>
      <c r="E83" s="453"/>
      <c r="F83" s="453"/>
      <c r="G83" s="453"/>
      <c r="H83" s="454" t="s">
        <v>77</v>
      </c>
      <c r="I83" s="453"/>
      <c r="J83" s="455">
        <f>+P206</f>
        <v>43159</v>
      </c>
      <c r="K83" s="453"/>
      <c r="L83" s="453"/>
      <c r="M83" s="453"/>
      <c r="N83" s="453"/>
      <c r="O83" s="453"/>
      <c r="P83" s="453" t="s">
        <v>87</v>
      </c>
      <c r="Q83" s="453"/>
      <c r="R83" s="453" t="s">
        <v>93</v>
      </c>
      <c r="S83" s="445"/>
      <c r="T83" s="247"/>
    </row>
    <row r="84" spans="1:20" s="349" customFormat="1" x14ac:dyDescent="0.3">
      <c r="A84" s="344"/>
      <c r="B84" s="393" t="s">
        <v>23</v>
      </c>
      <c r="C84" s="393"/>
      <c r="D84" s="393"/>
      <c r="E84" s="393"/>
      <c r="F84" s="393"/>
      <c r="G84" s="393"/>
      <c r="H84" s="393"/>
      <c r="I84" s="393"/>
      <c r="J84" s="393"/>
      <c r="K84" s="393"/>
      <c r="L84" s="393"/>
      <c r="M84" s="393"/>
      <c r="N84" s="393"/>
      <c r="O84" s="393"/>
      <c r="P84" s="408">
        <v>0</v>
      </c>
      <c r="Q84" s="393"/>
      <c r="R84" s="411">
        <v>0</v>
      </c>
      <c r="S84" s="347"/>
      <c r="T84" s="348"/>
    </row>
    <row r="85" spans="1:20" s="349" customFormat="1" x14ac:dyDescent="0.3">
      <c r="A85" s="365"/>
      <c r="B85" s="358" t="s">
        <v>218</v>
      </c>
      <c r="C85" s="358"/>
      <c r="D85" s="383"/>
      <c r="E85" s="383"/>
      <c r="F85" s="383"/>
      <c r="G85" s="405"/>
      <c r="H85" s="383"/>
      <c r="I85" s="358"/>
      <c r="J85" s="406"/>
      <c r="K85" s="358"/>
      <c r="L85" s="358"/>
      <c r="M85" s="358"/>
      <c r="N85" s="358"/>
      <c r="O85" s="358"/>
      <c r="P85" s="403">
        <f>-N78</f>
        <v>0</v>
      </c>
      <c r="Q85" s="358"/>
      <c r="R85" s="404"/>
      <c r="S85" s="361"/>
      <c r="T85" s="348"/>
    </row>
    <row r="86" spans="1:20" s="349" customFormat="1" x14ac:dyDescent="0.3">
      <c r="A86" s="365"/>
      <c r="B86" s="358" t="s">
        <v>219</v>
      </c>
      <c r="C86" s="358"/>
      <c r="D86" s="383"/>
      <c r="E86" s="383"/>
      <c r="F86" s="383"/>
      <c r="G86" s="405"/>
      <c r="H86" s="383"/>
      <c r="I86" s="358"/>
      <c r="J86" s="406"/>
      <c r="K86" s="358"/>
      <c r="L86" s="358"/>
      <c r="M86" s="358"/>
      <c r="N86" s="358"/>
      <c r="O86" s="358"/>
      <c r="P86" s="403">
        <v>0</v>
      </c>
      <c r="Q86" s="358"/>
      <c r="R86" s="404"/>
      <c r="S86" s="361"/>
      <c r="T86" s="348"/>
    </row>
    <row r="87" spans="1:20" s="349" customFormat="1" x14ac:dyDescent="0.3">
      <c r="A87" s="365"/>
      <c r="B87" s="358" t="s">
        <v>24</v>
      </c>
      <c r="C87" s="358"/>
      <c r="D87" s="383"/>
      <c r="E87" s="383"/>
      <c r="F87" s="383"/>
      <c r="G87" s="405"/>
      <c r="H87" s="383"/>
      <c r="I87" s="358"/>
      <c r="J87" s="406"/>
      <c r="K87" s="358"/>
      <c r="L87" s="358"/>
      <c r="M87" s="358"/>
      <c r="N87" s="358"/>
      <c r="O87" s="358"/>
      <c r="P87" s="403">
        <f>+J64+L64+P64</f>
        <v>14936</v>
      </c>
      <c r="Q87" s="358"/>
      <c r="R87" s="404"/>
      <c r="S87" s="361"/>
      <c r="T87" s="348"/>
    </row>
    <row r="88" spans="1:20" s="349" customFormat="1" x14ac:dyDescent="0.3">
      <c r="A88" s="365"/>
      <c r="B88" s="358" t="s">
        <v>135</v>
      </c>
      <c r="C88" s="358"/>
      <c r="D88" s="383"/>
      <c r="E88" s="383"/>
      <c r="F88" s="383"/>
      <c r="G88" s="405"/>
      <c r="H88" s="383"/>
      <c r="I88" s="358"/>
      <c r="J88" s="406"/>
      <c r="K88" s="358"/>
      <c r="L88" s="358"/>
      <c r="M88" s="358"/>
      <c r="N88" s="358"/>
      <c r="O88" s="358"/>
      <c r="P88" s="403"/>
      <c r="Q88" s="358"/>
      <c r="R88" s="404">
        <f>1471-281-14</f>
        <v>1176</v>
      </c>
      <c r="S88" s="361"/>
      <c r="T88" s="348"/>
    </row>
    <row r="89" spans="1:20" s="349" customFormat="1" x14ac:dyDescent="0.3">
      <c r="A89" s="365"/>
      <c r="B89" s="358" t="s">
        <v>133</v>
      </c>
      <c r="C89" s="358"/>
      <c r="D89" s="383"/>
      <c r="E89" s="383"/>
      <c r="F89" s="383"/>
      <c r="G89" s="405"/>
      <c r="H89" s="383"/>
      <c r="I89" s="358"/>
      <c r="J89" s="406"/>
      <c r="K89" s="358"/>
      <c r="L89" s="358"/>
      <c r="M89" s="358"/>
      <c r="N89" s="358"/>
      <c r="O89" s="358"/>
      <c r="P89" s="403"/>
      <c r="Q89" s="358"/>
      <c r="R89" s="404">
        <v>62</v>
      </c>
      <c r="S89" s="361"/>
      <c r="T89" s="348"/>
    </row>
    <row r="90" spans="1:20" s="349" customFormat="1" x14ac:dyDescent="0.3">
      <c r="A90" s="365"/>
      <c r="B90" s="358" t="s">
        <v>134</v>
      </c>
      <c r="C90" s="358"/>
      <c r="D90" s="383"/>
      <c r="E90" s="383"/>
      <c r="F90" s="383"/>
      <c r="G90" s="405"/>
      <c r="H90" s="383"/>
      <c r="I90" s="358"/>
      <c r="J90" s="406"/>
      <c r="K90" s="358"/>
      <c r="L90" s="358"/>
      <c r="M90" s="358"/>
      <c r="N90" s="358"/>
      <c r="O90" s="358"/>
      <c r="P90" s="403"/>
      <c r="Q90" s="358"/>
      <c r="R90" s="404">
        <v>18</v>
      </c>
      <c r="S90" s="361"/>
      <c r="T90" s="348"/>
    </row>
    <row r="91" spans="1:20" s="349" customFormat="1" x14ac:dyDescent="0.3">
      <c r="A91" s="365"/>
      <c r="B91" s="358" t="s">
        <v>143</v>
      </c>
      <c r="C91" s="358"/>
      <c r="D91" s="383"/>
      <c r="E91" s="383"/>
      <c r="F91" s="383"/>
      <c r="G91" s="405"/>
      <c r="H91" s="383"/>
      <c r="I91" s="358"/>
      <c r="J91" s="406"/>
      <c r="K91" s="358"/>
      <c r="L91" s="358"/>
      <c r="M91" s="358"/>
      <c r="N91" s="358"/>
      <c r="O91" s="358"/>
      <c r="P91" s="403"/>
      <c r="Q91" s="358"/>
      <c r="R91" s="404">
        <v>0</v>
      </c>
      <c r="S91" s="361"/>
      <c r="T91" s="348"/>
    </row>
    <row r="92" spans="1:20" s="349" customFormat="1" x14ac:dyDescent="0.3">
      <c r="A92" s="365"/>
      <c r="B92" s="358" t="s">
        <v>145</v>
      </c>
      <c r="C92" s="358"/>
      <c r="D92" s="383"/>
      <c r="E92" s="383"/>
      <c r="F92" s="383"/>
      <c r="G92" s="405"/>
      <c r="H92" s="383"/>
      <c r="I92" s="358"/>
      <c r="J92" s="406"/>
      <c r="K92" s="358"/>
      <c r="L92" s="358"/>
      <c r="M92" s="358"/>
      <c r="N92" s="358"/>
      <c r="O92" s="358"/>
      <c r="P92" s="403"/>
      <c r="Q92" s="358"/>
      <c r="R92" s="404">
        <v>124</v>
      </c>
      <c r="S92" s="361"/>
      <c r="T92" s="348"/>
    </row>
    <row r="93" spans="1:20" s="349" customFormat="1" x14ac:dyDescent="0.3">
      <c r="A93" s="365"/>
      <c r="B93" s="358" t="s">
        <v>164</v>
      </c>
      <c r="C93" s="358"/>
      <c r="D93" s="383"/>
      <c r="E93" s="383"/>
      <c r="F93" s="383"/>
      <c r="G93" s="405"/>
      <c r="H93" s="383"/>
      <c r="I93" s="358"/>
      <c r="J93" s="406"/>
      <c r="K93" s="358"/>
      <c r="L93" s="358"/>
      <c r="M93" s="358"/>
      <c r="N93" s="358"/>
      <c r="O93" s="358"/>
      <c r="P93" s="403"/>
      <c r="Q93" s="358"/>
      <c r="R93" s="404">
        <v>0</v>
      </c>
      <c r="S93" s="361"/>
      <c r="T93" s="348"/>
    </row>
    <row r="94" spans="1:20" s="349" customFormat="1" x14ac:dyDescent="0.3">
      <c r="A94" s="365"/>
      <c r="B94" s="358" t="s">
        <v>165</v>
      </c>
      <c r="C94" s="358"/>
      <c r="D94" s="383"/>
      <c r="E94" s="383"/>
      <c r="F94" s="383"/>
      <c r="G94" s="405"/>
      <c r="H94" s="383"/>
      <c r="I94" s="358"/>
      <c r="J94" s="406"/>
      <c r="K94" s="358"/>
      <c r="L94" s="358"/>
      <c r="M94" s="358"/>
      <c r="N94" s="358"/>
      <c r="O94" s="358"/>
      <c r="P94" s="403"/>
      <c r="Q94" s="358"/>
      <c r="R94" s="404">
        <v>0</v>
      </c>
      <c r="S94" s="361"/>
      <c r="T94" s="348"/>
    </row>
    <row r="95" spans="1:20" s="349" customFormat="1" x14ac:dyDescent="0.3">
      <c r="A95" s="365"/>
      <c r="B95" s="358" t="s">
        <v>166</v>
      </c>
      <c r="C95" s="358"/>
      <c r="D95" s="358"/>
      <c r="E95" s="358"/>
      <c r="F95" s="358"/>
      <c r="G95" s="358"/>
      <c r="H95" s="358"/>
      <c r="I95" s="358"/>
      <c r="J95" s="358"/>
      <c r="K95" s="358"/>
      <c r="L95" s="358"/>
      <c r="M95" s="358"/>
      <c r="N95" s="358"/>
      <c r="O95" s="358"/>
      <c r="P95" s="403"/>
      <c r="Q95" s="358"/>
      <c r="R95" s="404">
        <v>0</v>
      </c>
      <c r="S95" s="361"/>
      <c r="T95" s="348"/>
    </row>
    <row r="96" spans="1:20" s="349" customFormat="1" x14ac:dyDescent="0.3">
      <c r="A96" s="365"/>
      <c r="B96" s="358" t="s">
        <v>264</v>
      </c>
      <c r="C96" s="358"/>
      <c r="D96" s="358"/>
      <c r="E96" s="358"/>
      <c r="F96" s="358"/>
      <c r="G96" s="358"/>
      <c r="H96" s="358"/>
      <c r="I96" s="358"/>
      <c r="J96" s="358"/>
      <c r="K96" s="358"/>
      <c r="L96" s="358"/>
      <c r="M96" s="358"/>
      <c r="N96" s="358"/>
      <c r="O96" s="358"/>
      <c r="P96" s="403"/>
      <c r="Q96" s="358"/>
      <c r="R96" s="404">
        <v>0</v>
      </c>
      <c r="S96" s="361"/>
      <c r="T96" s="348"/>
    </row>
    <row r="97" spans="1:21" s="349" customFormat="1" x14ac:dyDescent="0.3">
      <c r="A97" s="365"/>
      <c r="B97" s="358" t="s">
        <v>25</v>
      </c>
      <c r="C97" s="358"/>
      <c r="D97" s="358"/>
      <c r="E97" s="358"/>
      <c r="F97" s="358"/>
      <c r="G97" s="358"/>
      <c r="H97" s="358"/>
      <c r="I97" s="358"/>
      <c r="J97" s="358"/>
      <c r="K97" s="358"/>
      <c r="L97" s="358"/>
      <c r="M97" s="358"/>
      <c r="N97" s="358"/>
      <c r="O97" s="358"/>
      <c r="P97" s="403">
        <f>SUM(P84:P96)</f>
        <v>14936</v>
      </c>
      <c r="Q97" s="358"/>
      <c r="R97" s="403">
        <f>SUM(R84:R96)</f>
        <v>1380</v>
      </c>
      <c r="S97" s="361"/>
      <c r="T97" s="348"/>
    </row>
    <row r="98" spans="1:21" s="349" customFormat="1" x14ac:dyDescent="0.3">
      <c r="A98" s="365"/>
      <c r="B98" s="358" t="s">
        <v>26</v>
      </c>
      <c r="C98" s="358"/>
      <c r="D98" s="358"/>
      <c r="E98" s="358"/>
      <c r="F98" s="358"/>
      <c r="G98" s="358"/>
      <c r="H98" s="358"/>
      <c r="I98" s="358"/>
      <c r="J98" s="358"/>
      <c r="K98" s="358"/>
      <c r="L98" s="358"/>
      <c r="M98" s="358"/>
      <c r="N98" s="358"/>
      <c r="O98" s="358"/>
      <c r="P98" s="403">
        <f>-R98</f>
        <v>0</v>
      </c>
      <c r="Q98" s="358"/>
      <c r="R98" s="404">
        <v>0</v>
      </c>
      <c r="S98" s="361"/>
      <c r="T98" s="348"/>
    </row>
    <row r="99" spans="1:21" s="349" customFormat="1" x14ac:dyDescent="0.3">
      <c r="A99" s="365"/>
      <c r="B99" s="358" t="s">
        <v>150</v>
      </c>
      <c r="C99" s="358"/>
      <c r="D99" s="358"/>
      <c r="E99" s="358"/>
      <c r="F99" s="358"/>
      <c r="G99" s="358"/>
      <c r="H99" s="358"/>
      <c r="I99" s="358"/>
      <c r="J99" s="358"/>
      <c r="K99" s="358"/>
      <c r="L99" s="358"/>
      <c r="M99" s="358"/>
      <c r="N99" s="358"/>
      <c r="O99" s="358"/>
      <c r="P99" s="403"/>
      <c r="Q99" s="358"/>
      <c r="R99" s="404">
        <v>0</v>
      </c>
      <c r="S99" s="361"/>
      <c r="T99" s="348"/>
    </row>
    <row r="100" spans="1:21" s="349" customFormat="1" x14ac:dyDescent="0.3">
      <c r="A100" s="365"/>
      <c r="B100" s="358" t="s">
        <v>27</v>
      </c>
      <c r="C100" s="358"/>
      <c r="D100" s="358"/>
      <c r="E100" s="358"/>
      <c r="F100" s="358"/>
      <c r="G100" s="358"/>
      <c r="H100" s="358"/>
      <c r="I100" s="358"/>
      <c r="J100" s="358"/>
      <c r="K100" s="358"/>
      <c r="L100" s="358"/>
      <c r="M100" s="358"/>
      <c r="N100" s="358"/>
      <c r="O100" s="358"/>
      <c r="P100" s="403">
        <f>P97+P98</f>
        <v>14936</v>
      </c>
      <c r="Q100" s="358"/>
      <c r="R100" s="403">
        <f>R97+R98+R99</f>
        <v>1380</v>
      </c>
      <c r="S100" s="361"/>
      <c r="T100" s="348"/>
    </row>
    <row r="101" spans="1:21" x14ac:dyDescent="0.3">
      <c r="A101" s="276"/>
      <c r="B101" s="293" t="s">
        <v>28</v>
      </c>
      <c r="C101" s="291"/>
      <c r="D101" s="291"/>
      <c r="E101" s="291"/>
      <c r="F101" s="291"/>
      <c r="G101" s="291"/>
      <c r="H101" s="291"/>
      <c r="I101" s="291"/>
      <c r="J101" s="291"/>
      <c r="K101" s="291"/>
      <c r="L101" s="291"/>
      <c r="M101" s="291"/>
      <c r="N101" s="291"/>
      <c r="O101" s="291"/>
      <c r="P101" s="285"/>
      <c r="Q101" s="263"/>
      <c r="R101" s="286"/>
      <c r="S101" s="292"/>
      <c r="T101" s="247"/>
    </row>
    <row r="102" spans="1:21" s="349" customFormat="1" x14ac:dyDescent="0.3">
      <c r="A102" s="365">
        <v>1</v>
      </c>
      <c r="B102" s="358" t="s">
        <v>175</v>
      </c>
      <c r="C102" s="358"/>
      <c r="D102" s="358"/>
      <c r="E102" s="358"/>
      <c r="F102" s="358"/>
      <c r="G102" s="358"/>
      <c r="H102" s="358"/>
      <c r="I102" s="358"/>
      <c r="J102" s="358"/>
      <c r="K102" s="358"/>
      <c r="L102" s="358"/>
      <c r="M102" s="358"/>
      <c r="N102" s="358"/>
      <c r="O102" s="358"/>
      <c r="P102" s="403"/>
      <c r="Q102" s="358"/>
      <c r="R102" s="404">
        <v>0</v>
      </c>
      <c r="S102" s="361"/>
      <c r="T102" s="348"/>
    </row>
    <row r="103" spans="1:21" s="349" customFormat="1" x14ac:dyDescent="0.3">
      <c r="A103" s="365">
        <v>2</v>
      </c>
      <c r="B103" s="358" t="s">
        <v>195</v>
      </c>
      <c r="C103" s="358"/>
      <c r="D103" s="358"/>
      <c r="E103" s="358"/>
      <c r="F103" s="358"/>
      <c r="G103" s="358"/>
      <c r="H103" s="358"/>
      <c r="I103" s="358"/>
      <c r="J103" s="358"/>
      <c r="K103" s="358"/>
      <c r="L103" s="358"/>
      <c r="M103" s="358"/>
      <c r="N103" s="358"/>
      <c r="O103" s="358"/>
      <c r="P103" s="358"/>
      <c r="Q103" s="358"/>
      <c r="R103" s="404">
        <v>-3</v>
      </c>
      <c r="S103" s="361"/>
      <c r="T103" s="348"/>
    </row>
    <row r="104" spans="1:21" s="349" customFormat="1" x14ac:dyDescent="0.3">
      <c r="A104" s="365">
        <v>3</v>
      </c>
      <c r="B104" s="358" t="s">
        <v>287</v>
      </c>
      <c r="C104" s="358"/>
      <c r="D104" s="358"/>
      <c r="E104" s="358"/>
      <c r="F104" s="358"/>
      <c r="G104" s="358"/>
      <c r="H104" s="358"/>
      <c r="I104" s="358"/>
      <c r="J104" s="358"/>
      <c r="K104" s="358"/>
      <c r="L104" s="358"/>
      <c r="M104" s="358"/>
      <c r="N104" s="358"/>
      <c r="O104" s="358"/>
      <c r="P104" s="358"/>
      <c r="Q104" s="358"/>
      <c r="R104" s="404">
        <f>-40-5-3</f>
        <v>-48</v>
      </c>
      <c r="S104" s="361"/>
      <c r="T104" s="348"/>
    </row>
    <row r="105" spans="1:21" s="349" customFormat="1" x14ac:dyDescent="0.3">
      <c r="A105" s="365">
        <v>4</v>
      </c>
      <c r="B105" s="358" t="s">
        <v>96</v>
      </c>
      <c r="C105" s="358"/>
      <c r="D105" s="358"/>
      <c r="E105" s="358"/>
      <c r="F105" s="358"/>
      <c r="G105" s="358"/>
      <c r="H105" s="358"/>
      <c r="I105" s="358"/>
      <c r="J105" s="358"/>
      <c r="K105" s="358"/>
      <c r="L105" s="358"/>
      <c r="M105" s="358"/>
      <c r="N105" s="358"/>
      <c r="O105" s="358"/>
      <c r="P105" s="358"/>
      <c r="Q105" s="358"/>
      <c r="R105" s="404">
        <v>-36</v>
      </c>
      <c r="S105" s="361"/>
      <c r="T105" s="348"/>
    </row>
    <row r="106" spans="1:21" s="349" customFormat="1" x14ac:dyDescent="0.3">
      <c r="A106" s="365" t="s">
        <v>274</v>
      </c>
      <c r="B106" s="358" t="s">
        <v>272</v>
      </c>
      <c r="C106" s="358"/>
      <c r="D106" s="358"/>
      <c r="E106" s="358"/>
      <c r="F106" s="358"/>
      <c r="G106" s="358"/>
      <c r="H106" s="358"/>
      <c r="I106" s="358"/>
      <c r="J106" s="358"/>
      <c r="K106" s="358"/>
      <c r="L106" s="358"/>
      <c r="M106" s="358"/>
      <c r="N106" s="358"/>
      <c r="O106" s="358"/>
      <c r="P106" s="358"/>
      <c r="Q106" s="358"/>
      <c r="R106" s="404">
        <v>-126</v>
      </c>
      <c r="S106" s="361"/>
      <c r="T106" s="348"/>
      <c r="U106" s="407"/>
    </row>
    <row r="107" spans="1:21" s="349" customFormat="1" x14ac:dyDescent="0.3">
      <c r="A107" s="365" t="s">
        <v>275</v>
      </c>
      <c r="B107" s="358" t="s">
        <v>266</v>
      </c>
      <c r="C107" s="358"/>
      <c r="D107" s="358"/>
      <c r="E107" s="358"/>
      <c r="F107" s="358"/>
      <c r="G107" s="358"/>
      <c r="H107" s="358"/>
      <c r="I107" s="358"/>
      <c r="J107" s="358"/>
      <c r="K107" s="358"/>
      <c r="L107" s="358"/>
      <c r="M107" s="358"/>
      <c r="N107" s="358"/>
      <c r="O107" s="358"/>
      <c r="P107" s="358"/>
      <c r="Q107" s="358"/>
      <c r="R107" s="404">
        <v>-138</v>
      </c>
      <c r="S107" s="361"/>
      <c r="T107" s="348"/>
      <c r="U107" s="407"/>
    </row>
    <row r="108" spans="1:21" s="349" customFormat="1" x14ac:dyDescent="0.3">
      <c r="A108" s="365">
        <v>6</v>
      </c>
      <c r="B108" s="358" t="s">
        <v>189</v>
      </c>
      <c r="C108" s="358"/>
      <c r="D108" s="358"/>
      <c r="E108" s="358"/>
      <c r="F108" s="358"/>
      <c r="G108" s="358"/>
      <c r="H108" s="358"/>
      <c r="I108" s="358"/>
      <c r="J108" s="358"/>
      <c r="K108" s="358"/>
      <c r="L108" s="358"/>
      <c r="M108" s="358"/>
      <c r="N108" s="358"/>
      <c r="O108" s="358"/>
      <c r="P108" s="358"/>
      <c r="Q108" s="358"/>
      <c r="R108" s="404">
        <v>-55</v>
      </c>
      <c r="S108" s="361"/>
      <c r="T108" s="348"/>
      <c r="U108" s="407"/>
    </row>
    <row r="109" spans="1:21" s="349" customFormat="1" x14ac:dyDescent="0.3">
      <c r="A109" s="365">
        <v>7</v>
      </c>
      <c r="B109" s="358" t="s">
        <v>190</v>
      </c>
      <c r="C109" s="358"/>
      <c r="D109" s="358"/>
      <c r="E109" s="358"/>
      <c r="F109" s="358"/>
      <c r="G109" s="358"/>
      <c r="H109" s="358"/>
      <c r="I109" s="358"/>
      <c r="J109" s="358"/>
      <c r="K109" s="358"/>
      <c r="L109" s="358"/>
      <c r="M109" s="358"/>
      <c r="N109" s="358"/>
      <c r="O109" s="358"/>
      <c r="P109" s="358"/>
      <c r="Q109" s="358"/>
      <c r="R109" s="404">
        <v>-64</v>
      </c>
      <c r="S109" s="361"/>
      <c r="T109" s="348"/>
      <c r="U109" s="407"/>
    </row>
    <row r="110" spans="1:21" s="349" customFormat="1" x14ac:dyDescent="0.3">
      <c r="A110" s="365">
        <v>8</v>
      </c>
      <c r="B110" s="358" t="s">
        <v>156</v>
      </c>
      <c r="C110" s="358"/>
      <c r="D110" s="358"/>
      <c r="E110" s="358"/>
      <c r="F110" s="358"/>
      <c r="G110" s="358"/>
      <c r="H110" s="358"/>
      <c r="I110" s="358"/>
      <c r="J110" s="358"/>
      <c r="K110" s="358"/>
      <c r="L110" s="358"/>
      <c r="M110" s="358"/>
      <c r="N110" s="358"/>
      <c r="O110" s="358"/>
      <c r="P110" s="358"/>
      <c r="Q110" s="358"/>
      <c r="R110" s="404">
        <v>0</v>
      </c>
      <c r="S110" s="361"/>
      <c r="T110" s="348"/>
      <c r="U110" s="407"/>
    </row>
    <row r="111" spans="1:21" s="349" customFormat="1" x14ac:dyDescent="0.3">
      <c r="A111" s="365">
        <v>9</v>
      </c>
      <c r="B111" s="358" t="s">
        <v>37</v>
      </c>
      <c r="C111" s="358"/>
      <c r="D111" s="358"/>
      <c r="E111" s="358"/>
      <c r="F111" s="358"/>
      <c r="G111" s="358"/>
      <c r="H111" s="358"/>
      <c r="I111" s="358"/>
      <c r="J111" s="358"/>
      <c r="K111" s="358"/>
      <c r="L111" s="358"/>
      <c r="M111" s="358"/>
      <c r="N111" s="358"/>
      <c r="O111" s="358"/>
      <c r="P111" s="403">
        <f>-R111</f>
        <v>0</v>
      </c>
      <c r="Q111" s="358"/>
      <c r="R111" s="404">
        <v>0</v>
      </c>
      <c r="S111" s="361"/>
      <c r="T111" s="348"/>
    </row>
    <row r="112" spans="1:21" s="349" customFormat="1" x14ac:dyDescent="0.3">
      <c r="A112" s="365">
        <v>10</v>
      </c>
      <c r="B112" s="358" t="s">
        <v>101</v>
      </c>
      <c r="C112" s="358"/>
      <c r="D112" s="358"/>
      <c r="E112" s="358"/>
      <c r="F112" s="358"/>
      <c r="G112" s="358"/>
      <c r="H112" s="358"/>
      <c r="I112" s="358"/>
      <c r="J112" s="358"/>
      <c r="K112" s="358"/>
      <c r="L112" s="358"/>
      <c r="M112" s="358"/>
      <c r="N112" s="358"/>
      <c r="O112" s="358"/>
      <c r="P112" s="358"/>
      <c r="Q112" s="358"/>
      <c r="R112" s="404">
        <v>0</v>
      </c>
      <c r="S112" s="361"/>
      <c r="T112" s="348"/>
    </row>
    <row r="113" spans="1:20" s="349" customFormat="1" x14ac:dyDescent="0.3">
      <c r="A113" s="365">
        <v>11</v>
      </c>
      <c r="B113" s="358" t="s">
        <v>29</v>
      </c>
      <c r="C113" s="358"/>
      <c r="D113" s="358"/>
      <c r="E113" s="358"/>
      <c r="F113" s="358"/>
      <c r="G113" s="358"/>
      <c r="H113" s="358"/>
      <c r="I113" s="358"/>
      <c r="J113" s="358"/>
      <c r="K113" s="358"/>
      <c r="L113" s="358"/>
      <c r="M113" s="358"/>
      <c r="N113" s="358"/>
      <c r="O113" s="358"/>
      <c r="P113" s="358"/>
      <c r="Q113" s="358"/>
      <c r="R113" s="404">
        <v>-20</v>
      </c>
      <c r="S113" s="361"/>
      <c r="T113" s="348"/>
    </row>
    <row r="114" spans="1:20" s="349" customFormat="1" x14ac:dyDescent="0.3">
      <c r="A114" s="365">
        <v>12</v>
      </c>
      <c r="B114" s="358" t="s">
        <v>138</v>
      </c>
      <c r="C114" s="358"/>
      <c r="D114" s="358"/>
      <c r="E114" s="358"/>
      <c r="F114" s="358"/>
      <c r="G114" s="358"/>
      <c r="H114" s="358"/>
      <c r="I114" s="358"/>
      <c r="J114" s="358"/>
      <c r="K114" s="358"/>
      <c r="L114" s="358"/>
      <c r="M114" s="358"/>
      <c r="N114" s="358"/>
      <c r="O114" s="358"/>
      <c r="P114" s="358"/>
      <c r="Q114" s="358"/>
      <c r="R114" s="404">
        <v>0</v>
      </c>
      <c r="S114" s="361"/>
      <c r="T114" s="348"/>
    </row>
    <row r="115" spans="1:20" s="349" customFormat="1" x14ac:dyDescent="0.3">
      <c r="A115" s="365">
        <v>13</v>
      </c>
      <c r="B115" s="358" t="s">
        <v>267</v>
      </c>
      <c r="C115" s="358"/>
      <c r="D115" s="358"/>
      <c r="E115" s="358"/>
      <c r="F115" s="358"/>
      <c r="G115" s="358"/>
      <c r="H115" s="358"/>
      <c r="I115" s="358"/>
      <c r="J115" s="358"/>
      <c r="K115" s="358"/>
      <c r="L115" s="358"/>
      <c r="M115" s="358"/>
      <c r="N115" s="358"/>
      <c r="O115" s="358"/>
      <c r="P115" s="358"/>
      <c r="Q115" s="358"/>
      <c r="R115" s="404">
        <v>-46</v>
      </c>
      <c r="S115" s="361"/>
      <c r="T115" s="348"/>
    </row>
    <row r="116" spans="1:20" s="349" customFormat="1" x14ac:dyDescent="0.3">
      <c r="A116" s="365">
        <v>14</v>
      </c>
      <c r="B116" s="358" t="s">
        <v>157</v>
      </c>
      <c r="C116" s="358"/>
      <c r="D116" s="358"/>
      <c r="E116" s="358"/>
      <c r="F116" s="358"/>
      <c r="G116" s="358"/>
      <c r="H116" s="358"/>
      <c r="I116" s="358"/>
      <c r="J116" s="358"/>
      <c r="K116" s="358"/>
      <c r="L116" s="358"/>
      <c r="M116" s="358"/>
      <c r="N116" s="358"/>
      <c r="O116" s="358"/>
      <c r="P116" s="358"/>
      <c r="Q116" s="358"/>
      <c r="R116" s="404">
        <v>0</v>
      </c>
      <c r="S116" s="361"/>
      <c r="T116" s="348"/>
    </row>
    <row r="117" spans="1:20" s="349" customFormat="1" x14ac:dyDescent="0.3">
      <c r="A117" s="365">
        <v>15</v>
      </c>
      <c r="B117" s="358" t="s">
        <v>207</v>
      </c>
      <c r="C117" s="358"/>
      <c r="D117" s="358"/>
      <c r="E117" s="358"/>
      <c r="F117" s="358"/>
      <c r="G117" s="358"/>
      <c r="H117" s="358"/>
      <c r="I117" s="358"/>
      <c r="J117" s="358"/>
      <c r="K117" s="358"/>
      <c r="L117" s="358"/>
      <c r="M117" s="358"/>
      <c r="N117" s="358"/>
      <c r="O117" s="358"/>
      <c r="P117" s="358"/>
      <c r="Q117" s="358"/>
      <c r="R117" s="404">
        <v>-39</v>
      </c>
      <c r="S117" s="361"/>
      <c r="T117" s="348"/>
    </row>
    <row r="118" spans="1:20" s="349" customFormat="1" x14ac:dyDescent="0.3">
      <c r="A118" s="365">
        <v>16</v>
      </c>
      <c r="B118" s="358" t="s">
        <v>167</v>
      </c>
      <c r="C118" s="358"/>
      <c r="D118" s="358"/>
      <c r="E118" s="358"/>
      <c r="F118" s="358"/>
      <c r="G118" s="358"/>
      <c r="H118" s="358"/>
      <c r="I118" s="358"/>
      <c r="J118" s="358"/>
      <c r="K118" s="358"/>
      <c r="L118" s="358"/>
      <c r="M118" s="358"/>
      <c r="N118" s="358"/>
      <c r="O118" s="358"/>
      <c r="P118" s="358"/>
      <c r="Q118" s="358"/>
      <c r="R118" s="404">
        <f>-13-177</f>
        <v>-190</v>
      </c>
      <c r="S118" s="361"/>
      <c r="T118" s="348"/>
    </row>
    <row r="119" spans="1:20" s="349" customFormat="1" x14ac:dyDescent="0.3">
      <c r="A119" s="365">
        <v>17</v>
      </c>
      <c r="B119" s="358" t="s">
        <v>268</v>
      </c>
      <c r="C119" s="358"/>
      <c r="D119" s="358"/>
      <c r="E119" s="358"/>
      <c r="F119" s="358"/>
      <c r="G119" s="358"/>
      <c r="H119" s="358"/>
      <c r="I119" s="358"/>
      <c r="J119" s="358"/>
      <c r="K119" s="358"/>
      <c r="L119" s="358"/>
      <c r="M119" s="358"/>
      <c r="N119" s="358"/>
      <c r="O119" s="358"/>
      <c r="P119" s="358"/>
      <c r="Q119" s="358"/>
      <c r="R119" s="404">
        <f>-R100-SUM(R102:R118)</f>
        <v>-615</v>
      </c>
      <c r="S119" s="361"/>
      <c r="T119" s="348"/>
    </row>
    <row r="120" spans="1:20" x14ac:dyDescent="0.3">
      <c r="A120" s="276"/>
      <c r="B120" s="293" t="s">
        <v>30</v>
      </c>
      <c r="C120" s="291"/>
      <c r="D120" s="291"/>
      <c r="E120" s="291"/>
      <c r="F120" s="291"/>
      <c r="G120" s="291"/>
      <c r="H120" s="291"/>
      <c r="I120" s="291"/>
      <c r="J120" s="291"/>
      <c r="K120" s="291"/>
      <c r="L120" s="291"/>
      <c r="M120" s="291"/>
      <c r="N120" s="291"/>
      <c r="O120" s="291"/>
      <c r="P120" s="263"/>
      <c r="Q120" s="263"/>
      <c r="R120" s="294"/>
      <c r="S120" s="292"/>
      <c r="T120" s="247"/>
    </row>
    <row r="121" spans="1:20" s="349" customFormat="1" x14ac:dyDescent="0.3">
      <c r="A121" s="365"/>
      <c r="B121" s="358" t="s">
        <v>208</v>
      </c>
      <c r="C121" s="358"/>
      <c r="D121" s="358"/>
      <c r="E121" s="358"/>
      <c r="F121" s="358"/>
      <c r="G121" s="358"/>
      <c r="H121" s="358"/>
      <c r="I121" s="358"/>
      <c r="J121" s="358"/>
      <c r="K121" s="358"/>
      <c r="L121" s="358"/>
      <c r="M121" s="358"/>
      <c r="N121" s="358"/>
      <c r="O121" s="358"/>
      <c r="P121" s="403">
        <f>-P188</f>
        <v>0</v>
      </c>
      <c r="Q121" s="403"/>
      <c r="R121" s="404"/>
      <c r="S121" s="361"/>
      <c r="T121" s="348"/>
    </row>
    <row r="122" spans="1:20" s="349" customFormat="1" x14ac:dyDescent="0.3">
      <c r="A122" s="365"/>
      <c r="B122" s="358" t="s">
        <v>209</v>
      </c>
      <c r="C122" s="358"/>
      <c r="D122" s="358"/>
      <c r="E122" s="358"/>
      <c r="F122" s="358"/>
      <c r="G122" s="358"/>
      <c r="H122" s="358"/>
      <c r="I122" s="358"/>
      <c r="J122" s="358"/>
      <c r="K122" s="358"/>
      <c r="L122" s="358"/>
      <c r="M122" s="358"/>
      <c r="N122" s="358"/>
      <c r="O122" s="358"/>
      <c r="P122" s="403">
        <f>-O188</f>
        <v>-32</v>
      </c>
      <c r="Q122" s="403"/>
      <c r="R122" s="404"/>
      <c r="S122" s="361"/>
      <c r="T122" s="348"/>
    </row>
    <row r="123" spans="1:20" s="349" customFormat="1" x14ac:dyDescent="0.3">
      <c r="A123" s="365"/>
      <c r="B123" s="358" t="s">
        <v>270</v>
      </c>
      <c r="C123" s="358"/>
      <c r="D123" s="358"/>
      <c r="E123" s="358"/>
      <c r="F123" s="358"/>
      <c r="G123" s="358"/>
      <c r="H123" s="358"/>
      <c r="I123" s="358"/>
      <c r="J123" s="358"/>
      <c r="K123" s="358"/>
      <c r="L123" s="358"/>
      <c r="M123" s="358"/>
      <c r="N123" s="358"/>
      <c r="O123" s="358"/>
      <c r="P123" s="403">
        <v>-6484</v>
      </c>
      <c r="Q123" s="403"/>
      <c r="R123" s="404"/>
      <c r="S123" s="361"/>
      <c r="T123" s="348"/>
    </row>
    <row r="124" spans="1:20" s="349" customFormat="1" x14ac:dyDescent="0.3">
      <c r="A124" s="365"/>
      <c r="B124" s="358" t="s">
        <v>269</v>
      </c>
      <c r="C124" s="358"/>
      <c r="D124" s="358"/>
      <c r="E124" s="358"/>
      <c r="F124" s="358"/>
      <c r="G124" s="358"/>
      <c r="H124" s="358"/>
      <c r="I124" s="358"/>
      <c r="J124" s="358"/>
      <c r="K124" s="358"/>
      <c r="L124" s="358"/>
      <c r="M124" s="358"/>
      <c r="N124" s="358"/>
      <c r="O124" s="358"/>
      <c r="P124" s="403">
        <v>-8420</v>
      </c>
      <c r="Q124" s="403"/>
      <c r="R124" s="404"/>
      <c r="S124" s="361"/>
      <c r="T124" s="348"/>
    </row>
    <row r="125" spans="1:20" s="349" customFormat="1" x14ac:dyDescent="0.3">
      <c r="A125" s="365"/>
      <c r="B125" s="358" t="s">
        <v>181</v>
      </c>
      <c r="C125" s="358"/>
      <c r="D125" s="358"/>
      <c r="E125" s="358"/>
      <c r="F125" s="358"/>
      <c r="G125" s="358"/>
      <c r="H125" s="358"/>
      <c r="I125" s="358"/>
      <c r="J125" s="358"/>
      <c r="K125" s="358"/>
      <c r="L125" s="358"/>
      <c r="M125" s="358"/>
      <c r="N125" s="358"/>
      <c r="O125" s="358"/>
      <c r="P125" s="403">
        <v>0</v>
      </c>
      <c r="Q125" s="403"/>
      <c r="R125" s="404"/>
      <c r="S125" s="361"/>
      <c r="T125" s="348"/>
    </row>
    <row r="126" spans="1:20" s="349" customFormat="1" x14ac:dyDescent="0.3">
      <c r="A126" s="365"/>
      <c r="B126" s="358" t="s">
        <v>182</v>
      </c>
      <c r="C126" s="358"/>
      <c r="D126" s="358"/>
      <c r="E126" s="358"/>
      <c r="F126" s="358"/>
      <c r="G126" s="358"/>
      <c r="H126" s="358"/>
      <c r="I126" s="358"/>
      <c r="J126" s="358"/>
      <c r="K126" s="358"/>
      <c r="L126" s="358"/>
      <c r="M126" s="358"/>
      <c r="N126" s="358"/>
      <c r="O126" s="358"/>
      <c r="P126" s="403">
        <v>0</v>
      </c>
      <c r="Q126" s="403"/>
      <c r="R126" s="404"/>
      <c r="S126" s="361"/>
      <c r="T126" s="348"/>
    </row>
    <row r="127" spans="1:20" s="349" customFormat="1" x14ac:dyDescent="0.3">
      <c r="A127" s="365"/>
      <c r="B127" s="358" t="s">
        <v>271</v>
      </c>
      <c r="C127" s="358"/>
      <c r="D127" s="358"/>
      <c r="E127" s="358"/>
      <c r="F127" s="358"/>
      <c r="G127" s="358"/>
      <c r="H127" s="358"/>
      <c r="I127" s="358"/>
      <c r="J127" s="358"/>
      <c r="K127" s="358"/>
      <c r="L127" s="358"/>
      <c r="M127" s="358"/>
      <c r="N127" s="358"/>
      <c r="O127" s="358"/>
      <c r="P127" s="403">
        <v>0</v>
      </c>
      <c r="Q127" s="403"/>
      <c r="R127" s="404"/>
      <c r="S127" s="361"/>
      <c r="T127" s="348"/>
    </row>
    <row r="128" spans="1:20" s="349" customFormat="1" x14ac:dyDescent="0.3">
      <c r="A128" s="365"/>
      <c r="B128" s="358" t="s">
        <v>31</v>
      </c>
      <c r="C128" s="358"/>
      <c r="D128" s="358"/>
      <c r="E128" s="358"/>
      <c r="F128" s="358"/>
      <c r="G128" s="358"/>
      <c r="H128" s="358"/>
      <c r="I128" s="358"/>
      <c r="J128" s="358"/>
      <c r="K128" s="358"/>
      <c r="L128" s="358"/>
      <c r="M128" s="358"/>
      <c r="N128" s="358"/>
      <c r="O128" s="358"/>
      <c r="P128" s="403">
        <f>SUM(P121:P127)</f>
        <v>-14936</v>
      </c>
      <c r="Q128" s="403"/>
      <c r="R128" s="403">
        <f>SUM(R101:R127)</f>
        <v>-1380</v>
      </c>
      <c r="S128" s="361"/>
      <c r="T128" s="348"/>
    </row>
    <row r="129" spans="1:20" s="349" customFormat="1" x14ac:dyDescent="0.3">
      <c r="A129" s="365"/>
      <c r="B129" s="358" t="s">
        <v>32</v>
      </c>
      <c r="C129" s="358"/>
      <c r="D129" s="358"/>
      <c r="E129" s="358"/>
      <c r="F129" s="358"/>
      <c r="G129" s="358"/>
      <c r="H129" s="358"/>
      <c r="I129" s="358"/>
      <c r="J129" s="358"/>
      <c r="K129" s="358"/>
      <c r="L129" s="358"/>
      <c r="M129" s="358"/>
      <c r="N129" s="358"/>
      <c r="O129" s="358"/>
      <c r="P129" s="403">
        <f>P100+P128+P111</f>
        <v>0</v>
      </c>
      <c r="Q129" s="403"/>
      <c r="R129" s="403">
        <f>R100+R128</f>
        <v>0</v>
      </c>
      <c r="S129" s="361"/>
      <c r="T129" s="348"/>
    </row>
    <row r="130" spans="1:20" s="349" customFormat="1" x14ac:dyDescent="0.3">
      <c r="A130" s="344"/>
      <c r="B130" s="393"/>
      <c r="C130" s="393"/>
      <c r="D130" s="393"/>
      <c r="E130" s="393"/>
      <c r="F130" s="393"/>
      <c r="G130" s="393"/>
      <c r="H130" s="393"/>
      <c r="I130" s="393"/>
      <c r="J130" s="393"/>
      <c r="K130" s="393"/>
      <c r="L130" s="393"/>
      <c r="M130" s="393"/>
      <c r="N130" s="393"/>
      <c r="O130" s="393"/>
      <c r="P130" s="408"/>
      <c r="Q130" s="408"/>
      <c r="R130" s="408"/>
      <c r="S130" s="347"/>
      <c r="T130" s="348"/>
    </row>
    <row r="131" spans="1:20" s="349" customFormat="1" x14ac:dyDescent="0.3">
      <c r="A131" s="344"/>
      <c r="B131" s="346"/>
      <c r="C131" s="346"/>
      <c r="D131" s="346"/>
      <c r="E131" s="346"/>
      <c r="F131" s="346"/>
      <c r="G131" s="346"/>
      <c r="H131" s="346"/>
      <c r="I131" s="346"/>
      <c r="J131" s="346"/>
      <c r="K131" s="346"/>
      <c r="L131" s="346"/>
      <c r="M131" s="346"/>
      <c r="N131" s="346"/>
      <c r="O131" s="346"/>
      <c r="P131" s="346"/>
      <c r="Q131" s="346"/>
      <c r="R131" s="409"/>
      <c r="S131" s="347"/>
      <c r="T131" s="348"/>
    </row>
    <row r="132" spans="1:20" s="349" customFormat="1" ht="18.600000000000001" thickBot="1" x14ac:dyDescent="0.4">
      <c r="A132" s="398"/>
      <c r="B132" s="399" t="str">
        <f>B60</f>
        <v>PM22 INVESTOR REPORT QUARTER ENDING FEBRUARY 2018</v>
      </c>
      <c r="C132" s="400"/>
      <c r="D132" s="400"/>
      <c r="E132" s="400"/>
      <c r="F132" s="400"/>
      <c r="G132" s="400"/>
      <c r="H132" s="400"/>
      <c r="I132" s="400"/>
      <c r="J132" s="400"/>
      <c r="K132" s="400"/>
      <c r="L132" s="400"/>
      <c r="M132" s="400"/>
      <c r="N132" s="400"/>
      <c r="O132" s="400"/>
      <c r="P132" s="400"/>
      <c r="Q132" s="400"/>
      <c r="R132" s="410"/>
      <c r="S132" s="402"/>
      <c r="T132" s="348"/>
    </row>
    <row r="133" spans="1:20" x14ac:dyDescent="0.3">
      <c r="A133" s="456"/>
      <c r="B133" s="457" t="s">
        <v>33</v>
      </c>
      <c r="C133" s="458"/>
      <c r="D133" s="458"/>
      <c r="E133" s="458"/>
      <c r="F133" s="458"/>
      <c r="G133" s="458"/>
      <c r="H133" s="458"/>
      <c r="I133" s="458"/>
      <c r="J133" s="458"/>
      <c r="K133" s="458"/>
      <c r="L133" s="458"/>
      <c r="M133" s="458"/>
      <c r="N133" s="458"/>
      <c r="O133" s="458"/>
      <c r="P133" s="458"/>
      <c r="Q133" s="458"/>
      <c r="R133" s="459"/>
      <c r="S133" s="460"/>
      <c r="T133" s="247"/>
    </row>
    <row r="134" spans="1:20" x14ac:dyDescent="0.3">
      <c r="A134" s="249"/>
      <c r="B134" s="295"/>
      <c r="C134" s="251"/>
      <c r="D134" s="251"/>
      <c r="E134" s="251"/>
      <c r="F134" s="251"/>
      <c r="G134" s="251"/>
      <c r="H134" s="251"/>
      <c r="I134" s="251"/>
      <c r="J134" s="251"/>
      <c r="K134" s="251"/>
      <c r="L134" s="251"/>
      <c r="M134" s="251"/>
      <c r="N134" s="251"/>
      <c r="O134" s="251"/>
      <c r="P134" s="251"/>
      <c r="Q134" s="251"/>
      <c r="R134" s="279"/>
      <c r="S134" s="252"/>
      <c r="T134" s="247"/>
    </row>
    <row r="135" spans="1:20" x14ac:dyDescent="0.3">
      <c r="A135" s="249"/>
      <c r="B135" s="296" t="s">
        <v>34</v>
      </c>
      <c r="C135" s="251"/>
      <c r="D135" s="251"/>
      <c r="E135" s="251"/>
      <c r="F135" s="251"/>
      <c r="G135" s="251"/>
      <c r="H135" s="251"/>
      <c r="I135" s="251"/>
      <c r="J135" s="251"/>
      <c r="K135" s="251"/>
      <c r="L135" s="251"/>
      <c r="M135" s="251"/>
      <c r="N135" s="251"/>
      <c r="O135" s="251"/>
      <c r="P135" s="251"/>
      <c r="Q135" s="251"/>
      <c r="R135" s="279"/>
      <c r="S135" s="252"/>
      <c r="T135" s="247"/>
    </row>
    <row r="136" spans="1:20" s="349" customFormat="1" x14ac:dyDescent="0.3">
      <c r="A136" s="365"/>
      <c r="B136" s="358" t="s">
        <v>35</v>
      </c>
      <c r="C136" s="358"/>
      <c r="D136" s="358"/>
      <c r="E136" s="358"/>
      <c r="F136" s="358"/>
      <c r="G136" s="358"/>
      <c r="H136" s="358"/>
      <c r="I136" s="358"/>
      <c r="J136" s="358"/>
      <c r="K136" s="358"/>
      <c r="L136" s="358"/>
      <c r="M136" s="358"/>
      <c r="N136" s="358"/>
      <c r="O136" s="358"/>
      <c r="P136" s="358"/>
      <c r="Q136" s="358"/>
      <c r="R136" s="404">
        <v>7502</v>
      </c>
      <c r="S136" s="361"/>
      <c r="T136" s="348"/>
    </row>
    <row r="137" spans="1:20" s="349" customFormat="1" x14ac:dyDescent="0.3">
      <c r="A137" s="365"/>
      <c r="B137" s="358" t="s">
        <v>36</v>
      </c>
      <c r="C137" s="358"/>
      <c r="D137" s="358"/>
      <c r="E137" s="358"/>
      <c r="F137" s="358"/>
      <c r="G137" s="358"/>
      <c r="H137" s="358"/>
      <c r="I137" s="358"/>
      <c r="J137" s="358"/>
      <c r="K137" s="358"/>
      <c r="L137" s="358"/>
      <c r="M137" s="358"/>
      <c r="N137" s="358"/>
      <c r="O137" s="358"/>
      <c r="P137" s="358"/>
      <c r="Q137" s="358"/>
      <c r="R137" s="404">
        <v>0</v>
      </c>
      <c r="S137" s="361"/>
      <c r="T137" s="348"/>
    </row>
    <row r="138" spans="1:20" s="349" customFormat="1" x14ac:dyDescent="0.3">
      <c r="A138" s="365"/>
      <c r="B138" s="358" t="s">
        <v>169</v>
      </c>
      <c r="C138" s="358"/>
      <c r="D138" s="358"/>
      <c r="E138" s="358"/>
      <c r="F138" s="358"/>
      <c r="G138" s="358"/>
      <c r="H138" s="358"/>
      <c r="I138" s="358"/>
      <c r="J138" s="358"/>
      <c r="K138" s="358"/>
      <c r="L138" s="358"/>
      <c r="M138" s="358"/>
      <c r="N138" s="358"/>
      <c r="O138" s="358"/>
      <c r="P138" s="358"/>
      <c r="Q138" s="358"/>
      <c r="R138" s="404">
        <f>R136-R139</f>
        <v>5390.9259974225006</v>
      </c>
      <c r="S138" s="361"/>
      <c r="T138" s="348"/>
    </row>
    <row r="139" spans="1:20" s="349" customFormat="1" x14ac:dyDescent="0.3">
      <c r="A139" s="365"/>
      <c r="B139" s="358" t="s">
        <v>210</v>
      </c>
      <c r="C139" s="358"/>
      <c r="D139" s="358"/>
      <c r="E139" s="358"/>
      <c r="F139" s="358"/>
      <c r="G139" s="358"/>
      <c r="H139" s="358"/>
      <c r="I139" s="358"/>
      <c r="J139" s="358"/>
      <c r="K139" s="358"/>
      <c r="L139" s="358"/>
      <c r="M139" s="358"/>
      <c r="N139" s="358"/>
      <c r="O139" s="358"/>
      <c r="P139" s="358"/>
      <c r="Q139" s="358"/>
      <c r="R139" s="404">
        <f>SUM(D33:J33)*0.025</f>
        <v>2111.0740025774999</v>
      </c>
      <c r="S139" s="361"/>
      <c r="T139" s="348"/>
    </row>
    <row r="140" spans="1:20" s="349" customFormat="1" x14ac:dyDescent="0.3">
      <c r="A140" s="365"/>
      <c r="B140" s="358" t="s">
        <v>108</v>
      </c>
      <c r="C140" s="358"/>
      <c r="D140" s="358"/>
      <c r="E140" s="358"/>
      <c r="F140" s="358"/>
      <c r="G140" s="358"/>
      <c r="H140" s="358"/>
      <c r="I140" s="358"/>
      <c r="J140" s="358"/>
      <c r="K140" s="358"/>
      <c r="L140" s="358"/>
      <c r="M140" s="358"/>
      <c r="N140" s="358"/>
      <c r="O140" s="358"/>
      <c r="P140" s="358"/>
      <c r="Q140" s="358"/>
      <c r="R140" s="404"/>
      <c r="S140" s="361"/>
      <c r="T140" s="348"/>
    </row>
    <row r="141" spans="1:20" s="349" customFormat="1" x14ac:dyDescent="0.3">
      <c r="A141" s="365"/>
      <c r="B141" s="358" t="s">
        <v>155</v>
      </c>
      <c r="C141" s="358"/>
      <c r="D141" s="358"/>
      <c r="E141" s="358"/>
      <c r="F141" s="358"/>
      <c r="G141" s="358"/>
      <c r="H141" s="358"/>
      <c r="I141" s="358"/>
      <c r="J141" s="358"/>
      <c r="K141" s="358"/>
      <c r="L141" s="358"/>
      <c r="M141" s="358"/>
      <c r="N141" s="358"/>
      <c r="O141" s="358"/>
      <c r="P141" s="358"/>
      <c r="Q141" s="358"/>
      <c r="R141" s="404">
        <v>0</v>
      </c>
      <c r="S141" s="361"/>
      <c r="T141" s="348"/>
    </row>
    <row r="142" spans="1:20" s="349" customFormat="1" x14ac:dyDescent="0.3">
      <c r="A142" s="365"/>
      <c r="B142" s="358" t="s">
        <v>189</v>
      </c>
      <c r="C142" s="358"/>
      <c r="D142" s="358"/>
      <c r="E142" s="358"/>
      <c r="F142" s="358"/>
      <c r="G142" s="358"/>
      <c r="H142" s="358"/>
      <c r="I142" s="358"/>
      <c r="J142" s="358"/>
      <c r="K142" s="358"/>
      <c r="L142" s="358"/>
      <c r="M142" s="358"/>
      <c r="N142" s="358"/>
      <c r="O142" s="358"/>
      <c r="P142" s="358"/>
      <c r="Q142" s="358"/>
      <c r="R142" s="404">
        <v>0</v>
      </c>
      <c r="S142" s="361"/>
      <c r="T142" s="348"/>
    </row>
    <row r="143" spans="1:20" s="349" customFormat="1" x14ac:dyDescent="0.3">
      <c r="A143" s="365"/>
      <c r="B143" s="358" t="s">
        <v>190</v>
      </c>
      <c r="C143" s="358"/>
      <c r="D143" s="358"/>
      <c r="E143" s="358"/>
      <c r="F143" s="358"/>
      <c r="G143" s="358"/>
      <c r="H143" s="358"/>
      <c r="I143" s="358"/>
      <c r="J143" s="358"/>
      <c r="K143" s="358"/>
      <c r="L143" s="358"/>
      <c r="M143" s="358"/>
      <c r="N143" s="358"/>
      <c r="O143" s="358"/>
      <c r="P143" s="358"/>
      <c r="Q143" s="358"/>
      <c r="R143" s="404">
        <v>0</v>
      </c>
      <c r="S143" s="361"/>
      <c r="T143" s="348"/>
    </row>
    <row r="144" spans="1:20" s="349" customFormat="1" x14ac:dyDescent="0.3">
      <c r="A144" s="365"/>
      <c r="B144" s="358" t="s">
        <v>37</v>
      </c>
      <c r="C144" s="358"/>
      <c r="D144" s="358"/>
      <c r="E144" s="358"/>
      <c r="F144" s="358"/>
      <c r="G144" s="358"/>
      <c r="H144" s="358"/>
      <c r="I144" s="358"/>
      <c r="J144" s="358"/>
      <c r="K144" s="358"/>
      <c r="L144" s="358"/>
      <c r="M144" s="358"/>
      <c r="N144" s="358"/>
      <c r="O144" s="358"/>
      <c r="P144" s="358"/>
      <c r="Q144" s="358"/>
      <c r="R144" s="404">
        <v>0</v>
      </c>
      <c r="S144" s="361"/>
      <c r="T144" s="348"/>
    </row>
    <row r="145" spans="1:21" s="349" customFormat="1" x14ac:dyDescent="0.3">
      <c r="A145" s="365"/>
      <c r="B145" s="358" t="s">
        <v>102</v>
      </c>
      <c r="C145" s="358"/>
      <c r="D145" s="358"/>
      <c r="E145" s="358"/>
      <c r="F145" s="358"/>
      <c r="G145" s="358"/>
      <c r="H145" s="358"/>
      <c r="I145" s="358"/>
      <c r="J145" s="358"/>
      <c r="K145" s="358"/>
      <c r="L145" s="358"/>
      <c r="M145" s="358"/>
      <c r="N145" s="358"/>
      <c r="O145" s="358"/>
      <c r="P145" s="358"/>
      <c r="Q145" s="358"/>
      <c r="R145" s="404">
        <v>0</v>
      </c>
      <c r="S145" s="361"/>
      <c r="T145" s="348"/>
    </row>
    <row r="146" spans="1:21" s="349" customFormat="1" x14ac:dyDescent="0.3">
      <c r="A146" s="365"/>
      <c r="B146" s="358" t="s">
        <v>256</v>
      </c>
      <c r="C146" s="358"/>
      <c r="D146" s="358"/>
      <c r="E146" s="358"/>
      <c r="F146" s="358"/>
      <c r="G146" s="358"/>
      <c r="H146" s="358"/>
      <c r="I146" s="358"/>
      <c r="J146" s="358"/>
      <c r="K146" s="358"/>
      <c r="L146" s="358"/>
      <c r="M146" s="358"/>
      <c r="N146" s="358"/>
      <c r="O146" s="358"/>
      <c r="P146" s="358"/>
      <c r="Q146" s="358"/>
      <c r="R146" s="404">
        <v>0</v>
      </c>
      <c r="S146" s="361"/>
      <c r="T146" s="348"/>
      <c r="U146" s="407"/>
    </row>
    <row r="147" spans="1:21" s="349" customFormat="1" x14ac:dyDescent="0.3">
      <c r="A147" s="365"/>
      <c r="B147" s="358" t="s">
        <v>38</v>
      </c>
      <c r="C147" s="358"/>
      <c r="D147" s="358"/>
      <c r="E147" s="358"/>
      <c r="F147" s="358"/>
      <c r="G147" s="358"/>
      <c r="H147" s="358"/>
      <c r="I147" s="358"/>
      <c r="J147" s="358"/>
      <c r="K147" s="358"/>
      <c r="L147" s="358"/>
      <c r="M147" s="358"/>
      <c r="N147" s="358"/>
      <c r="O147" s="358"/>
      <c r="P147" s="358"/>
      <c r="Q147" s="358"/>
      <c r="R147" s="404">
        <f>SUM(R137:R146)</f>
        <v>7502</v>
      </c>
      <c r="S147" s="361"/>
      <c r="T147" s="348"/>
    </row>
    <row r="148" spans="1:21" x14ac:dyDescent="0.3">
      <c r="A148" s="249"/>
      <c r="B148" s="277"/>
      <c r="C148" s="277"/>
      <c r="D148" s="277"/>
      <c r="E148" s="277"/>
      <c r="F148" s="277"/>
      <c r="G148" s="277"/>
      <c r="H148" s="277"/>
      <c r="I148" s="277"/>
      <c r="J148" s="277"/>
      <c r="K148" s="277"/>
      <c r="L148" s="277"/>
      <c r="M148" s="277"/>
      <c r="N148" s="277"/>
      <c r="O148" s="277"/>
      <c r="P148" s="277"/>
      <c r="Q148" s="277"/>
      <c r="R148" s="297"/>
      <c r="S148" s="252"/>
      <c r="T148" s="247"/>
    </row>
    <row r="149" spans="1:21" x14ac:dyDescent="0.3">
      <c r="A149" s="249"/>
      <c r="B149" s="296" t="s">
        <v>203</v>
      </c>
      <c r="C149" s="251"/>
      <c r="D149" s="251"/>
      <c r="E149" s="251"/>
      <c r="F149" s="251"/>
      <c r="G149" s="251"/>
      <c r="H149" s="251"/>
      <c r="I149" s="251"/>
      <c r="J149" s="251"/>
      <c r="K149" s="251"/>
      <c r="L149" s="251"/>
      <c r="M149" s="251"/>
      <c r="N149" s="251"/>
      <c r="O149" s="251"/>
      <c r="P149" s="251"/>
      <c r="Q149" s="251"/>
      <c r="R149" s="279"/>
      <c r="S149" s="252"/>
      <c r="T149" s="247"/>
    </row>
    <row r="150" spans="1:21" s="349" customFormat="1" x14ac:dyDescent="0.3">
      <c r="A150" s="365"/>
      <c r="B150" s="358" t="s">
        <v>278</v>
      </c>
      <c r="C150" s="358"/>
      <c r="D150" s="358"/>
      <c r="E150" s="358"/>
      <c r="F150" s="358"/>
      <c r="G150" s="358"/>
      <c r="H150" s="358"/>
      <c r="I150" s="358"/>
      <c r="J150" s="358"/>
      <c r="K150" s="358"/>
      <c r="L150" s="358"/>
      <c r="M150" s="358"/>
      <c r="N150" s="358"/>
      <c r="O150" s="358"/>
      <c r="P150" s="358"/>
      <c r="Q150" s="358"/>
      <c r="R150" s="404">
        <v>0</v>
      </c>
      <c r="S150" s="361"/>
      <c r="T150" s="348"/>
    </row>
    <row r="151" spans="1:21" s="349" customFormat="1" x14ac:dyDescent="0.3">
      <c r="A151" s="365"/>
      <c r="B151" s="358" t="s">
        <v>191</v>
      </c>
      <c r="C151" s="358"/>
      <c r="D151" s="358"/>
      <c r="E151" s="358"/>
      <c r="F151" s="358"/>
      <c r="G151" s="358"/>
      <c r="H151" s="358"/>
      <c r="I151" s="358"/>
      <c r="J151" s="358"/>
      <c r="K151" s="358"/>
      <c r="L151" s="358"/>
      <c r="M151" s="358"/>
      <c r="N151" s="358"/>
      <c r="O151" s="358"/>
      <c r="P151" s="358"/>
      <c r="Q151" s="358"/>
      <c r="R151" s="404">
        <f>+J77</f>
        <v>0</v>
      </c>
      <c r="S151" s="361"/>
      <c r="T151" s="348"/>
    </row>
    <row r="152" spans="1:21" s="349" customFormat="1" x14ac:dyDescent="0.3">
      <c r="A152" s="365"/>
      <c r="B152" s="358" t="s">
        <v>205</v>
      </c>
      <c r="C152" s="358"/>
      <c r="D152" s="358"/>
      <c r="E152" s="358"/>
      <c r="F152" s="358"/>
      <c r="G152" s="358"/>
      <c r="H152" s="358"/>
      <c r="I152" s="358"/>
      <c r="J152" s="358"/>
      <c r="K152" s="358"/>
      <c r="L152" s="358"/>
      <c r="M152" s="358"/>
      <c r="N152" s="358"/>
      <c r="O152" s="358"/>
      <c r="P152" s="358"/>
      <c r="Q152" s="358"/>
      <c r="R152" s="404">
        <f>R150+R151</f>
        <v>0</v>
      </c>
      <c r="S152" s="361"/>
      <c r="T152" s="348"/>
    </row>
    <row r="153" spans="1:21" s="349" customFormat="1" x14ac:dyDescent="0.3">
      <c r="A153" s="344"/>
      <c r="B153" s="393"/>
      <c r="C153" s="393"/>
      <c r="D153" s="393"/>
      <c r="E153" s="393"/>
      <c r="F153" s="393"/>
      <c r="G153" s="393"/>
      <c r="H153" s="393"/>
      <c r="I153" s="393"/>
      <c r="J153" s="393"/>
      <c r="K153" s="393"/>
      <c r="L153" s="393"/>
      <c r="M153" s="393"/>
      <c r="N153" s="393"/>
      <c r="O153" s="393"/>
      <c r="P153" s="393"/>
      <c r="Q153" s="393"/>
      <c r="R153" s="411"/>
      <c r="S153" s="347"/>
      <c r="T153" s="348"/>
    </row>
    <row r="154" spans="1:21" x14ac:dyDescent="0.3">
      <c r="A154" s="249"/>
      <c r="B154" s="296" t="s">
        <v>211</v>
      </c>
      <c r="C154" s="298"/>
      <c r="D154" s="298"/>
      <c r="E154" s="298"/>
      <c r="F154" s="298"/>
      <c r="G154" s="298"/>
      <c r="H154" s="298"/>
      <c r="I154" s="298"/>
      <c r="J154" s="298"/>
      <c r="K154" s="298"/>
      <c r="L154" s="298"/>
      <c r="M154" s="298"/>
      <c r="N154" s="298"/>
      <c r="O154" s="298"/>
      <c r="P154" s="298"/>
      <c r="Q154" s="298"/>
      <c r="R154" s="299"/>
      <c r="S154" s="252"/>
      <c r="T154" s="247"/>
    </row>
    <row r="155" spans="1:21" s="349" customFormat="1" x14ac:dyDescent="0.3">
      <c r="A155" s="412"/>
      <c r="B155" s="413" t="s">
        <v>277</v>
      </c>
      <c r="C155" s="413"/>
      <c r="D155" s="413"/>
      <c r="E155" s="413"/>
      <c r="F155" s="413"/>
      <c r="G155" s="413"/>
      <c r="H155" s="413"/>
      <c r="I155" s="413"/>
      <c r="J155" s="413"/>
      <c r="K155" s="413"/>
      <c r="L155" s="413"/>
      <c r="M155" s="413"/>
      <c r="N155" s="413"/>
      <c r="O155" s="413"/>
      <c r="P155" s="413"/>
      <c r="Q155" s="413"/>
      <c r="R155" s="414">
        <f>+'Feb 17'!R158</f>
        <v>0</v>
      </c>
      <c r="S155" s="415"/>
      <c r="T155" s="348"/>
    </row>
    <row r="156" spans="1:21" s="349" customFormat="1" x14ac:dyDescent="0.3">
      <c r="A156" s="412"/>
      <c r="B156" s="413" t="s">
        <v>213</v>
      </c>
      <c r="C156" s="413"/>
      <c r="D156" s="413"/>
      <c r="E156" s="413"/>
      <c r="F156" s="413"/>
      <c r="G156" s="413"/>
      <c r="H156" s="413"/>
      <c r="I156" s="413"/>
      <c r="J156" s="413"/>
      <c r="K156" s="413"/>
      <c r="L156" s="413"/>
      <c r="M156" s="413"/>
      <c r="N156" s="413"/>
      <c r="O156" s="413"/>
      <c r="P156" s="413"/>
      <c r="Q156" s="413"/>
      <c r="R156" s="414">
        <f>P86</f>
        <v>0</v>
      </c>
      <c r="S156" s="415"/>
      <c r="T156" s="348"/>
    </row>
    <row r="157" spans="1:21" s="349" customFormat="1" x14ac:dyDescent="0.3">
      <c r="A157" s="412"/>
      <c r="B157" s="413" t="s">
        <v>214</v>
      </c>
      <c r="C157" s="413"/>
      <c r="D157" s="413"/>
      <c r="E157" s="413"/>
      <c r="F157" s="413"/>
      <c r="G157" s="413"/>
      <c r="H157" s="413"/>
      <c r="I157" s="413"/>
      <c r="J157" s="413"/>
      <c r="K157" s="413"/>
      <c r="L157" s="413"/>
      <c r="M157" s="413"/>
      <c r="N157" s="413"/>
      <c r="O157" s="413"/>
      <c r="P157" s="413"/>
      <c r="Q157" s="413"/>
      <c r="R157" s="414">
        <v>0</v>
      </c>
      <c r="S157" s="415"/>
      <c r="T157" s="348"/>
    </row>
    <row r="158" spans="1:21" s="349" customFormat="1" x14ac:dyDescent="0.3">
      <c r="A158" s="412"/>
      <c r="B158" s="413" t="s">
        <v>215</v>
      </c>
      <c r="C158" s="413"/>
      <c r="D158" s="413"/>
      <c r="E158" s="413"/>
      <c r="F158" s="413"/>
      <c r="G158" s="413"/>
      <c r="H158" s="413"/>
      <c r="I158" s="413"/>
      <c r="J158" s="413"/>
      <c r="K158" s="413"/>
      <c r="L158" s="413"/>
      <c r="M158" s="413"/>
      <c r="N158" s="413"/>
      <c r="O158" s="413"/>
      <c r="P158" s="413"/>
      <c r="Q158" s="413"/>
      <c r="R158" s="414">
        <f>R155+R156+R157</f>
        <v>0</v>
      </c>
      <c r="S158" s="415"/>
      <c r="T158" s="348"/>
    </row>
    <row r="159" spans="1:21" x14ac:dyDescent="0.3">
      <c r="A159" s="249"/>
      <c r="B159" s="277"/>
      <c r="C159" s="277"/>
      <c r="D159" s="277"/>
      <c r="E159" s="277"/>
      <c r="F159" s="277"/>
      <c r="G159" s="277"/>
      <c r="H159" s="277"/>
      <c r="I159" s="277"/>
      <c r="J159" s="277"/>
      <c r="K159" s="277"/>
      <c r="L159" s="277"/>
      <c r="M159" s="277"/>
      <c r="N159" s="277"/>
      <c r="O159" s="277"/>
      <c r="P159" s="277"/>
      <c r="Q159" s="277"/>
      <c r="R159" s="297"/>
      <c r="S159" s="252"/>
      <c r="T159" s="247"/>
    </row>
    <row r="160" spans="1:21" x14ac:dyDescent="0.3">
      <c r="A160" s="249"/>
      <c r="B160" s="296" t="s">
        <v>39</v>
      </c>
      <c r="C160" s="251"/>
      <c r="D160" s="251"/>
      <c r="E160" s="251"/>
      <c r="F160" s="251"/>
      <c r="G160" s="251"/>
      <c r="H160" s="251"/>
      <c r="I160" s="251"/>
      <c r="J160" s="251"/>
      <c r="K160" s="251"/>
      <c r="L160" s="251"/>
      <c r="M160" s="251"/>
      <c r="N160" s="251"/>
      <c r="O160" s="251"/>
      <c r="P160" s="251"/>
      <c r="Q160" s="251"/>
      <c r="R160" s="300"/>
      <c r="S160" s="252"/>
      <c r="T160" s="247"/>
    </row>
    <row r="161" spans="1:252" s="349" customFormat="1" x14ac:dyDescent="0.3">
      <c r="A161" s="365"/>
      <c r="B161" s="358" t="s">
        <v>40</v>
      </c>
      <c r="C161" s="358"/>
      <c r="D161" s="358"/>
      <c r="E161" s="358"/>
      <c r="F161" s="358"/>
      <c r="G161" s="358"/>
      <c r="H161" s="358"/>
      <c r="I161" s="358"/>
      <c r="J161" s="358"/>
      <c r="K161" s="358"/>
      <c r="L161" s="358"/>
      <c r="M161" s="358"/>
      <c r="N161" s="358"/>
      <c r="O161" s="358"/>
      <c r="P161" s="358"/>
      <c r="Q161" s="358"/>
      <c r="R161" s="404">
        <v>0</v>
      </c>
      <c r="S161" s="361"/>
      <c r="T161" s="348"/>
    </row>
    <row r="162" spans="1:252" s="349" customFormat="1" x14ac:dyDescent="0.3">
      <c r="A162" s="365"/>
      <c r="B162" s="358" t="s">
        <v>41</v>
      </c>
      <c r="C162" s="358"/>
      <c r="D162" s="358"/>
      <c r="E162" s="358"/>
      <c r="F162" s="358"/>
      <c r="G162" s="358"/>
      <c r="H162" s="358"/>
      <c r="I162" s="358"/>
      <c r="J162" s="358"/>
      <c r="K162" s="358"/>
      <c r="L162" s="358"/>
      <c r="M162" s="358"/>
      <c r="N162" s="358"/>
      <c r="O162" s="358"/>
      <c r="P162" s="358"/>
      <c r="Q162" s="358"/>
      <c r="R162" s="404">
        <v>0</v>
      </c>
      <c r="S162" s="361"/>
      <c r="T162" s="348"/>
    </row>
    <row r="163" spans="1:252" s="349" customFormat="1" x14ac:dyDescent="0.3">
      <c r="A163" s="365"/>
      <c r="B163" s="358" t="s">
        <v>42</v>
      </c>
      <c r="C163" s="358"/>
      <c r="D163" s="358"/>
      <c r="E163" s="358"/>
      <c r="F163" s="358"/>
      <c r="G163" s="358"/>
      <c r="H163" s="358"/>
      <c r="I163" s="358"/>
      <c r="J163" s="358"/>
      <c r="K163" s="358"/>
      <c r="L163" s="358"/>
      <c r="M163" s="358"/>
      <c r="N163" s="358"/>
      <c r="O163" s="358"/>
      <c r="P163" s="358"/>
      <c r="Q163" s="358"/>
      <c r="R163" s="404">
        <f>R162+R161</f>
        <v>0</v>
      </c>
      <c r="S163" s="361"/>
      <c r="T163" s="348"/>
    </row>
    <row r="164" spans="1:252" s="349" customFormat="1" x14ac:dyDescent="0.3">
      <c r="A164" s="365"/>
      <c r="B164" s="358" t="s">
        <v>174</v>
      </c>
      <c r="C164" s="358"/>
      <c r="D164" s="358"/>
      <c r="E164" s="358"/>
      <c r="F164" s="358"/>
      <c r="G164" s="358"/>
      <c r="H164" s="358"/>
      <c r="I164" s="358"/>
      <c r="J164" s="358"/>
      <c r="K164" s="358"/>
      <c r="L164" s="358"/>
      <c r="M164" s="358"/>
      <c r="N164" s="358"/>
      <c r="O164" s="358"/>
      <c r="P164" s="358"/>
      <c r="Q164" s="358"/>
      <c r="R164" s="404">
        <f>R111</f>
        <v>0</v>
      </c>
      <c r="S164" s="361"/>
      <c r="T164" s="348"/>
    </row>
    <row r="165" spans="1:252" s="349" customFormat="1" x14ac:dyDescent="0.3">
      <c r="A165" s="365"/>
      <c r="B165" s="358" t="s">
        <v>43</v>
      </c>
      <c r="C165" s="358"/>
      <c r="D165" s="358"/>
      <c r="E165" s="358"/>
      <c r="F165" s="358"/>
      <c r="G165" s="358"/>
      <c r="H165" s="358"/>
      <c r="I165" s="358"/>
      <c r="J165" s="358"/>
      <c r="K165" s="358"/>
      <c r="L165" s="358"/>
      <c r="M165" s="358"/>
      <c r="N165" s="358"/>
      <c r="O165" s="358"/>
      <c r="P165" s="358"/>
      <c r="Q165" s="358"/>
      <c r="R165" s="404">
        <f>R163+R164</f>
        <v>0</v>
      </c>
      <c r="S165" s="361"/>
      <c r="T165" s="348"/>
    </row>
    <row r="166" spans="1:252" s="349" customFormat="1" x14ac:dyDescent="0.3">
      <c r="A166" s="365"/>
      <c r="B166" s="358" t="s">
        <v>150</v>
      </c>
      <c r="C166" s="358"/>
      <c r="D166" s="358"/>
      <c r="E166" s="358"/>
      <c r="F166" s="358"/>
      <c r="G166" s="358"/>
      <c r="H166" s="358"/>
      <c r="I166" s="358"/>
      <c r="J166" s="358"/>
      <c r="K166" s="358"/>
      <c r="L166" s="358"/>
      <c r="M166" s="358"/>
      <c r="N166" s="358"/>
      <c r="O166" s="358"/>
      <c r="P166" s="358"/>
      <c r="Q166" s="358"/>
      <c r="R166" s="404">
        <f>-R99</f>
        <v>0</v>
      </c>
      <c r="S166" s="361"/>
      <c r="T166" s="348"/>
    </row>
    <row r="167" spans="1:252" ht="16.2" thickBot="1" x14ac:dyDescent="0.35">
      <c r="A167" s="249"/>
      <c r="B167" s="277"/>
      <c r="C167" s="277"/>
      <c r="D167" s="277"/>
      <c r="E167" s="277"/>
      <c r="F167" s="277"/>
      <c r="G167" s="277"/>
      <c r="H167" s="277"/>
      <c r="I167" s="277"/>
      <c r="J167" s="277"/>
      <c r="K167" s="277"/>
      <c r="L167" s="277"/>
      <c r="M167" s="277"/>
      <c r="N167" s="277"/>
      <c r="O167" s="277"/>
      <c r="P167" s="277"/>
      <c r="Q167" s="277"/>
      <c r="R167" s="297"/>
      <c r="S167" s="252"/>
      <c r="T167" s="247"/>
    </row>
    <row r="168" spans="1:252" x14ac:dyDescent="0.3">
      <c r="A168" s="244"/>
      <c r="B168" s="245"/>
      <c r="C168" s="245"/>
      <c r="D168" s="245"/>
      <c r="E168" s="245"/>
      <c r="F168" s="245"/>
      <c r="G168" s="245"/>
      <c r="H168" s="245"/>
      <c r="I168" s="245"/>
      <c r="J168" s="245"/>
      <c r="K168" s="245"/>
      <c r="L168" s="245"/>
      <c r="M168" s="245"/>
      <c r="N168" s="245"/>
      <c r="O168" s="245"/>
      <c r="P168" s="245"/>
      <c r="Q168" s="245"/>
      <c r="R168" s="301"/>
      <c r="S168" s="246"/>
      <c r="T168" s="247"/>
    </row>
    <row r="169" spans="1:252" s="303" customFormat="1" x14ac:dyDescent="0.3">
      <c r="A169" s="249"/>
      <c r="B169" s="296" t="s">
        <v>204</v>
      </c>
      <c r="C169" s="277"/>
      <c r="D169" s="277"/>
      <c r="E169" s="277"/>
      <c r="F169" s="277"/>
      <c r="G169" s="277"/>
      <c r="H169" s="277"/>
      <c r="I169" s="277"/>
      <c r="J169" s="277"/>
      <c r="K169" s="277"/>
      <c r="L169" s="277"/>
      <c r="M169" s="277"/>
      <c r="N169" s="277"/>
      <c r="O169" s="277"/>
      <c r="P169" s="277"/>
      <c r="Q169" s="277"/>
      <c r="R169" s="302"/>
      <c r="S169" s="252"/>
      <c r="T169" s="247"/>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c r="BT169" s="248"/>
      <c r="BU169" s="248"/>
      <c r="BV169" s="248"/>
      <c r="BW169" s="248"/>
      <c r="BX169" s="248"/>
      <c r="BY169" s="248"/>
      <c r="BZ169" s="248"/>
      <c r="CA169" s="248"/>
      <c r="CB169" s="248"/>
      <c r="CC169" s="248"/>
      <c r="CD169" s="248"/>
      <c r="CE169" s="248"/>
      <c r="CF169" s="248"/>
      <c r="CG169" s="248"/>
      <c r="CH169" s="248"/>
      <c r="CI169" s="248"/>
      <c r="CJ169" s="248"/>
      <c r="CK169" s="248"/>
      <c r="CL169" s="248"/>
      <c r="CM169" s="248"/>
      <c r="CN169" s="248"/>
      <c r="CO169" s="248"/>
      <c r="CP169" s="248"/>
      <c r="CQ169" s="248"/>
      <c r="CR169" s="248"/>
      <c r="CS169" s="248"/>
      <c r="CT169" s="248"/>
      <c r="CU169" s="248"/>
      <c r="CV169" s="248"/>
      <c r="CW169" s="248"/>
      <c r="CX169" s="248"/>
      <c r="CY169" s="248"/>
      <c r="CZ169" s="248"/>
      <c r="DA169" s="248"/>
      <c r="DB169" s="248"/>
      <c r="DC169" s="248"/>
      <c r="DD169" s="248"/>
      <c r="DE169" s="248"/>
      <c r="DF169" s="248"/>
      <c r="DG169" s="248"/>
      <c r="DH169" s="248"/>
      <c r="DI169" s="248"/>
      <c r="DJ169" s="248"/>
      <c r="DK169" s="248"/>
      <c r="DL169" s="248"/>
      <c r="DM169" s="248"/>
      <c r="DN169" s="248"/>
      <c r="DO169" s="248"/>
      <c r="DP169" s="248"/>
      <c r="DQ169" s="248"/>
      <c r="DR169" s="248"/>
      <c r="DS169" s="248"/>
      <c r="DT169" s="248"/>
      <c r="DU169" s="248"/>
      <c r="DV169" s="248"/>
      <c r="DW169" s="248"/>
      <c r="DX169" s="248"/>
      <c r="DY169" s="248"/>
      <c r="DZ169" s="248"/>
      <c r="EA169" s="248"/>
      <c r="EB169" s="248"/>
      <c r="EC169" s="248"/>
      <c r="ED169" s="248"/>
      <c r="EE169" s="248"/>
      <c r="EF169" s="248"/>
      <c r="EG169" s="248"/>
      <c r="EH169" s="248"/>
      <c r="EI169" s="248"/>
      <c r="EJ169" s="248"/>
      <c r="EK169" s="248"/>
      <c r="EL169" s="248"/>
      <c r="EM169" s="248"/>
      <c r="EN169" s="248"/>
      <c r="EO169" s="248"/>
      <c r="EP169" s="248"/>
      <c r="EQ169" s="248"/>
      <c r="ER169" s="248"/>
      <c r="ES169" s="248"/>
      <c r="ET169" s="248"/>
      <c r="EU169" s="248"/>
      <c r="EV169" s="248"/>
      <c r="EW169" s="248"/>
      <c r="EX169" s="248"/>
      <c r="EY169" s="248"/>
      <c r="EZ169" s="248"/>
      <c r="FA169" s="248"/>
      <c r="FB169" s="248"/>
      <c r="FC169" s="248"/>
      <c r="FD169" s="248"/>
      <c r="FE169" s="248"/>
      <c r="FF169" s="248"/>
      <c r="FG169" s="248"/>
      <c r="FH169" s="248"/>
      <c r="FI169" s="248"/>
      <c r="FJ169" s="248"/>
      <c r="FK169" s="248"/>
      <c r="FL169" s="248"/>
      <c r="FM169" s="248"/>
      <c r="FN169" s="248"/>
      <c r="FO169" s="248"/>
      <c r="FP169" s="248"/>
      <c r="FQ169" s="248"/>
      <c r="FR169" s="248"/>
      <c r="FS169" s="248"/>
      <c r="FT169" s="248"/>
      <c r="FU169" s="248"/>
      <c r="FV169" s="248"/>
      <c r="FW169" s="248"/>
      <c r="FX169" s="248"/>
      <c r="FY169" s="248"/>
      <c r="FZ169" s="248"/>
      <c r="GA169" s="248"/>
      <c r="GB169" s="248"/>
      <c r="GC169" s="248"/>
      <c r="GD169" s="248"/>
      <c r="GE169" s="248"/>
      <c r="GF169" s="248"/>
      <c r="GG169" s="248"/>
      <c r="GH169" s="248"/>
      <c r="GI169" s="248"/>
      <c r="GJ169" s="248"/>
      <c r="GK169" s="248"/>
      <c r="GL169" s="248"/>
      <c r="GM169" s="248"/>
      <c r="GN169" s="248"/>
      <c r="GO169" s="248"/>
      <c r="GP169" s="248"/>
      <c r="GQ169" s="248"/>
      <c r="GR169" s="248"/>
      <c r="GS169" s="248"/>
      <c r="GT169" s="248"/>
      <c r="GU169" s="248"/>
      <c r="GV169" s="248"/>
      <c r="GW169" s="248"/>
      <c r="GX169" s="248"/>
      <c r="GY169" s="248"/>
      <c r="GZ169" s="248"/>
      <c r="HA169" s="248"/>
      <c r="HB169" s="248"/>
      <c r="HC169" s="248"/>
      <c r="HD169" s="248"/>
      <c r="HE169" s="248"/>
      <c r="HF169" s="248"/>
      <c r="HG169" s="248"/>
      <c r="HH169" s="248"/>
      <c r="HI169" s="248"/>
      <c r="HJ169" s="248"/>
      <c r="HK169" s="248"/>
      <c r="HL169" s="248"/>
      <c r="HM169" s="248"/>
      <c r="HN169" s="248"/>
      <c r="HO169" s="248"/>
      <c r="HP169" s="248"/>
      <c r="HQ169" s="248"/>
      <c r="HR169" s="248"/>
      <c r="HS169" s="248"/>
      <c r="HT169" s="248"/>
      <c r="HU169" s="248"/>
      <c r="HV169" s="248"/>
      <c r="HW169" s="248"/>
      <c r="HX169" s="248"/>
      <c r="HY169" s="248"/>
      <c r="HZ169" s="248"/>
      <c r="IA169" s="248"/>
      <c r="IB169" s="248"/>
      <c r="IC169" s="248"/>
      <c r="ID169" s="248"/>
      <c r="IE169" s="248"/>
      <c r="IF169" s="248"/>
      <c r="IG169" s="248"/>
      <c r="IH169" s="248"/>
      <c r="II169" s="248"/>
      <c r="IJ169" s="248"/>
      <c r="IK169" s="248"/>
      <c r="IL169" s="248"/>
      <c r="IM169" s="248"/>
      <c r="IN169" s="248"/>
      <c r="IO169" s="248"/>
      <c r="IP169" s="248"/>
      <c r="IQ169" s="248"/>
      <c r="IR169" s="248"/>
    </row>
    <row r="170" spans="1:252" s="416" customFormat="1" x14ac:dyDescent="0.3">
      <c r="A170" s="365"/>
      <c r="B170" s="358" t="s">
        <v>141</v>
      </c>
      <c r="C170" s="358"/>
      <c r="D170" s="358"/>
      <c r="E170" s="358"/>
      <c r="F170" s="358"/>
      <c r="G170" s="358"/>
      <c r="H170" s="358"/>
      <c r="I170" s="358"/>
      <c r="J170" s="358"/>
      <c r="K170" s="358"/>
      <c r="L170" s="358"/>
      <c r="M170" s="358"/>
      <c r="N170" s="358"/>
      <c r="O170" s="358"/>
      <c r="P170" s="358"/>
      <c r="Q170" s="358"/>
      <c r="R170" s="404">
        <f>+'Nov 17'!R173</f>
        <v>1252</v>
      </c>
      <c r="S170" s="361"/>
      <c r="T170" s="348"/>
      <c r="U170" s="349"/>
      <c r="V170" s="349"/>
      <c r="W170" s="349"/>
      <c r="X170" s="349"/>
      <c r="Y170" s="349"/>
      <c r="Z170" s="349"/>
      <c r="AA170" s="349"/>
      <c r="AB170" s="349"/>
      <c r="AC170" s="349"/>
      <c r="AD170" s="349"/>
      <c r="AE170" s="349"/>
      <c r="AF170" s="349"/>
      <c r="AG170" s="349"/>
      <c r="AH170" s="349"/>
      <c r="AI170" s="349"/>
      <c r="AJ170" s="349"/>
      <c r="AK170" s="349"/>
      <c r="AL170" s="349"/>
      <c r="AM170" s="349"/>
      <c r="AN170" s="349"/>
      <c r="AO170" s="349"/>
      <c r="AP170" s="349"/>
      <c r="AQ170" s="349"/>
      <c r="AR170" s="349"/>
      <c r="AS170" s="349"/>
      <c r="AT170" s="349"/>
      <c r="AU170" s="349"/>
      <c r="AV170" s="349"/>
      <c r="AW170" s="349"/>
      <c r="AX170" s="349"/>
      <c r="AY170" s="349"/>
      <c r="AZ170" s="349"/>
      <c r="BA170" s="349"/>
      <c r="BB170" s="349"/>
      <c r="BC170" s="349"/>
      <c r="BD170" s="349"/>
      <c r="BE170" s="349"/>
      <c r="BF170" s="349"/>
      <c r="BG170" s="349"/>
      <c r="BH170" s="349"/>
      <c r="BI170" s="349"/>
      <c r="BJ170" s="349"/>
      <c r="BK170" s="349"/>
      <c r="BL170" s="349"/>
      <c r="BM170" s="349"/>
      <c r="BN170" s="349"/>
      <c r="BO170" s="349"/>
      <c r="BP170" s="349"/>
      <c r="BQ170" s="349"/>
      <c r="BR170" s="349"/>
      <c r="BS170" s="349"/>
      <c r="BT170" s="349"/>
      <c r="BU170" s="349"/>
      <c r="BV170" s="349"/>
      <c r="BW170" s="349"/>
      <c r="BX170" s="349"/>
      <c r="BY170" s="349"/>
      <c r="BZ170" s="349"/>
      <c r="CA170" s="349"/>
      <c r="CB170" s="349"/>
      <c r="CC170" s="349"/>
      <c r="CD170" s="349"/>
      <c r="CE170" s="349"/>
      <c r="CF170" s="349"/>
      <c r="CG170" s="349"/>
      <c r="CH170" s="349"/>
      <c r="CI170" s="349"/>
      <c r="CJ170" s="349"/>
      <c r="CK170" s="349"/>
      <c r="CL170" s="349"/>
      <c r="CM170" s="349"/>
      <c r="CN170" s="349"/>
      <c r="CO170" s="349"/>
      <c r="CP170" s="349"/>
      <c r="CQ170" s="349"/>
      <c r="CR170" s="349"/>
      <c r="CS170" s="349"/>
      <c r="CT170" s="349"/>
      <c r="CU170" s="349"/>
      <c r="CV170" s="349"/>
      <c r="CW170" s="349"/>
      <c r="CX170" s="349"/>
      <c r="CY170" s="349"/>
      <c r="CZ170" s="349"/>
      <c r="DA170" s="349"/>
      <c r="DB170" s="349"/>
      <c r="DC170" s="349"/>
      <c r="DD170" s="349"/>
      <c r="DE170" s="349"/>
      <c r="DF170" s="349"/>
      <c r="DG170" s="349"/>
      <c r="DH170" s="349"/>
      <c r="DI170" s="349"/>
      <c r="DJ170" s="349"/>
      <c r="DK170" s="349"/>
      <c r="DL170" s="349"/>
      <c r="DM170" s="349"/>
      <c r="DN170" s="349"/>
      <c r="DO170" s="349"/>
      <c r="DP170" s="349"/>
      <c r="DQ170" s="349"/>
      <c r="DR170" s="349"/>
      <c r="DS170" s="349"/>
      <c r="DT170" s="349"/>
      <c r="DU170" s="349"/>
      <c r="DV170" s="349"/>
      <c r="DW170" s="349"/>
      <c r="DX170" s="349"/>
      <c r="DY170" s="349"/>
      <c r="DZ170" s="349"/>
      <c r="EA170" s="349"/>
      <c r="EB170" s="349"/>
      <c r="EC170" s="349"/>
      <c r="ED170" s="349"/>
      <c r="EE170" s="349"/>
      <c r="EF170" s="349"/>
      <c r="EG170" s="349"/>
      <c r="EH170" s="349"/>
      <c r="EI170" s="349"/>
      <c r="EJ170" s="349"/>
      <c r="EK170" s="349"/>
      <c r="EL170" s="349"/>
      <c r="EM170" s="349"/>
      <c r="EN170" s="349"/>
      <c r="EO170" s="349"/>
      <c r="EP170" s="349"/>
      <c r="EQ170" s="349"/>
      <c r="ER170" s="349"/>
      <c r="ES170" s="349"/>
      <c r="ET170" s="349"/>
      <c r="EU170" s="349"/>
      <c r="EV170" s="349"/>
      <c r="EW170" s="349"/>
      <c r="EX170" s="349"/>
      <c r="EY170" s="349"/>
      <c r="EZ170" s="349"/>
      <c r="FA170" s="349"/>
      <c r="FB170" s="349"/>
      <c r="FC170" s="349"/>
      <c r="FD170" s="349"/>
      <c r="FE170" s="349"/>
      <c r="FF170" s="349"/>
      <c r="FG170" s="349"/>
      <c r="FH170" s="349"/>
      <c r="FI170" s="349"/>
      <c r="FJ170" s="349"/>
      <c r="FK170" s="349"/>
      <c r="FL170" s="349"/>
      <c r="FM170" s="349"/>
      <c r="FN170" s="349"/>
      <c r="FO170" s="349"/>
      <c r="FP170" s="349"/>
      <c r="FQ170" s="349"/>
      <c r="FR170" s="349"/>
      <c r="FS170" s="349"/>
      <c r="FT170" s="349"/>
      <c r="FU170" s="349"/>
      <c r="FV170" s="349"/>
      <c r="FW170" s="349"/>
      <c r="FX170" s="349"/>
      <c r="FY170" s="349"/>
      <c r="FZ170" s="349"/>
      <c r="GA170" s="349"/>
      <c r="GB170" s="349"/>
      <c r="GC170" s="349"/>
      <c r="GD170" s="349"/>
      <c r="GE170" s="349"/>
      <c r="GF170" s="349"/>
      <c r="GG170" s="349"/>
      <c r="GH170" s="349"/>
      <c r="GI170" s="349"/>
      <c r="GJ170" s="349"/>
      <c r="GK170" s="349"/>
      <c r="GL170" s="349"/>
      <c r="GM170" s="349"/>
      <c r="GN170" s="349"/>
      <c r="GO170" s="349"/>
      <c r="GP170" s="349"/>
      <c r="GQ170" s="349"/>
      <c r="GR170" s="349"/>
      <c r="GS170" s="349"/>
      <c r="GT170" s="349"/>
      <c r="GU170" s="349"/>
      <c r="GV170" s="349"/>
      <c r="GW170" s="349"/>
      <c r="GX170" s="349"/>
      <c r="GY170" s="349"/>
      <c r="GZ170" s="349"/>
      <c r="HA170" s="349"/>
      <c r="HB170" s="349"/>
      <c r="HC170" s="349"/>
      <c r="HD170" s="349"/>
      <c r="HE170" s="349"/>
      <c r="HF170" s="349"/>
      <c r="HG170" s="349"/>
      <c r="HH170" s="349"/>
      <c r="HI170" s="349"/>
      <c r="HJ170" s="349"/>
      <c r="HK170" s="349"/>
      <c r="HL170" s="349"/>
      <c r="HM170" s="349"/>
      <c r="HN170" s="349"/>
      <c r="HO170" s="349"/>
      <c r="HP170" s="349"/>
      <c r="HQ170" s="349"/>
      <c r="HR170" s="349"/>
      <c r="HS170" s="349"/>
      <c r="HT170" s="349"/>
      <c r="HU170" s="349"/>
      <c r="HV170" s="349"/>
      <c r="HW170" s="349"/>
      <c r="HX170" s="349"/>
      <c r="HY170" s="349"/>
      <c r="HZ170" s="349"/>
      <c r="IA170" s="349"/>
      <c r="IB170" s="349"/>
      <c r="IC170" s="349"/>
      <c r="ID170" s="349"/>
      <c r="IE170" s="349"/>
      <c r="IF170" s="349"/>
      <c r="IG170" s="349"/>
      <c r="IH170" s="349"/>
      <c r="II170" s="349"/>
      <c r="IJ170" s="349"/>
      <c r="IK170" s="349"/>
      <c r="IL170" s="349"/>
      <c r="IM170" s="349"/>
      <c r="IN170" s="349"/>
      <c r="IO170" s="349"/>
      <c r="IP170" s="349"/>
      <c r="IQ170" s="349"/>
      <c r="IR170" s="349"/>
    </row>
    <row r="171" spans="1:252" s="416" customFormat="1" x14ac:dyDescent="0.3">
      <c r="A171" s="365"/>
      <c r="B171" s="358" t="s">
        <v>288</v>
      </c>
      <c r="C171" s="358"/>
      <c r="D171" s="358"/>
      <c r="E171" s="358"/>
      <c r="F171" s="358"/>
      <c r="G171" s="358"/>
      <c r="H171" s="358"/>
      <c r="I171" s="358"/>
      <c r="J171" s="358"/>
      <c r="K171" s="358"/>
      <c r="L171" s="358"/>
      <c r="M171" s="358"/>
      <c r="N171" s="358"/>
      <c r="O171" s="358"/>
      <c r="P171" s="358"/>
      <c r="Q171" s="358"/>
      <c r="R171" s="404">
        <v>0</v>
      </c>
      <c r="S171" s="361"/>
      <c r="T171" s="348"/>
      <c r="U171" s="349"/>
      <c r="V171" s="349"/>
      <c r="W171" s="349"/>
      <c r="X171" s="349"/>
      <c r="Y171" s="349"/>
      <c r="Z171" s="349"/>
      <c r="AA171" s="349"/>
      <c r="AB171" s="349"/>
      <c r="AC171" s="349"/>
      <c r="AD171" s="349"/>
      <c r="AE171" s="349"/>
      <c r="AF171" s="349"/>
      <c r="AG171" s="349"/>
      <c r="AH171" s="349"/>
      <c r="AI171" s="349"/>
      <c r="AJ171" s="349"/>
      <c r="AK171" s="349"/>
      <c r="AL171" s="349"/>
      <c r="AM171" s="349"/>
      <c r="AN171" s="349"/>
      <c r="AO171" s="349"/>
      <c r="AP171" s="349"/>
      <c r="AQ171" s="349"/>
      <c r="AR171" s="349"/>
      <c r="AS171" s="349"/>
      <c r="AT171" s="349"/>
      <c r="AU171" s="349"/>
      <c r="AV171" s="349"/>
      <c r="AW171" s="349"/>
      <c r="AX171" s="349"/>
      <c r="AY171" s="349"/>
      <c r="AZ171" s="349"/>
      <c r="BA171" s="349"/>
      <c r="BB171" s="349"/>
      <c r="BC171" s="349"/>
      <c r="BD171" s="349"/>
      <c r="BE171" s="349"/>
      <c r="BF171" s="349"/>
      <c r="BG171" s="349"/>
      <c r="BH171" s="349"/>
      <c r="BI171" s="349"/>
      <c r="BJ171" s="349"/>
      <c r="BK171" s="349"/>
      <c r="BL171" s="349"/>
      <c r="BM171" s="349"/>
      <c r="BN171" s="349"/>
      <c r="BO171" s="349"/>
      <c r="BP171" s="349"/>
      <c r="BQ171" s="349"/>
      <c r="BR171" s="349"/>
      <c r="BS171" s="349"/>
      <c r="BT171" s="349"/>
      <c r="BU171" s="349"/>
      <c r="BV171" s="349"/>
      <c r="BW171" s="349"/>
      <c r="BX171" s="349"/>
      <c r="BY171" s="349"/>
      <c r="BZ171" s="349"/>
      <c r="CA171" s="349"/>
      <c r="CB171" s="349"/>
      <c r="CC171" s="349"/>
      <c r="CD171" s="349"/>
      <c r="CE171" s="349"/>
      <c r="CF171" s="349"/>
      <c r="CG171" s="349"/>
      <c r="CH171" s="349"/>
      <c r="CI171" s="349"/>
      <c r="CJ171" s="349"/>
      <c r="CK171" s="349"/>
      <c r="CL171" s="349"/>
      <c r="CM171" s="349"/>
      <c r="CN171" s="349"/>
      <c r="CO171" s="349"/>
      <c r="CP171" s="349"/>
      <c r="CQ171" s="349"/>
      <c r="CR171" s="349"/>
      <c r="CS171" s="349"/>
      <c r="CT171" s="349"/>
      <c r="CU171" s="349"/>
      <c r="CV171" s="349"/>
      <c r="CW171" s="349"/>
      <c r="CX171" s="349"/>
      <c r="CY171" s="349"/>
      <c r="CZ171" s="349"/>
      <c r="DA171" s="349"/>
      <c r="DB171" s="349"/>
      <c r="DC171" s="349"/>
      <c r="DD171" s="349"/>
      <c r="DE171" s="349"/>
      <c r="DF171" s="349"/>
      <c r="DG171" s="349"/>
      <c r="DH171" s="349"/>
      <c r="DI171" s="349"/>
      <c r="DJ171" s="349"/>
      <c r="DK171" s="349"/>
      <c r="DL171" s="349"/>
      <c r="DM171" s="349"/>
      <c r="DN171" s="349"/>
      <c r="DO171" s="349"/>
      <c r="DP171" s="349"/>
      <c r="DQ171" s="349"/>
      <c r="DR171" s="349"/>
      <c r="DS171" s="349"/>
      <c r="DT171" s="349"/>
      <c r="DU171" s="349"/>
      <c r="DV171" s="349"/>
      <c r="DW171" s="349"/>
      <c r="DX171" s="349"/>
      <c r="DY171" s="349"/>
      <c r="DZ171" s="349"/>
      <c r="EA171" s="349"/>
      <c r="EB171" s="349"/>
      <c r="EC171" s="349"/>
      <c r="ED171" s="349"/>
      <c r="EE171" s="349"/>
      <c r="EF171" s="349"/>
      <c r="EG171" s="349"/>
      <c r="EH171" s="349"/>
      <c r="EI171" s="349"/>
      <c r="EJ171" s="349"/>
      <c r="EK171" s="349"/>
      <c r="EL171" s="349"/>
      <c r="EM171" s="349"/>
      <c r="EN171" s="349"/>
      <c r="EO171" s="349"/>
      <c r="EP171" s="349"/>
      <c r="EQ171" s="349"/>
      <c r="ER171" s="349"/>
      <c r="ES171" s="349"/>
      <c r="ET171" s="349"/>
      <c r="EU171" s="349"/>
      <c r="EV171" s="349"/>
      <c r="EW171" s="349"/>
      <c r="EX171" s="349"/>
      <c r="EY171" s="349"/>
      <c r="EZ171" s="349"/>
      <c r="FA171" s="349"/>
      <c r="FB171" s="349"/>
      <c r="FC171" s="349"/>
      <c r="FD171" s="349"/>
      <c r="FE171" s="349"/>
      <c r="FF171" s="349"/>
      <c r="FG171" s="349"/>
      <c r="FH171" s="349"/>
      <c r="FI171" s="349"/>
      <c r="FJ171" s="349"/>
      <c r="FK171" s="349"/>
      <c r="FL171" s="349"/>
      <c r="FM171" s="349"/>
      <c r="FN171" s="349"/>
      <c r="FO171" s="349"/>
      <c r="FP171" s="349"/>
      <c r="FQ171" s="349"/>
      <c r="FR171" s="349"/>
      <c r="FS171" s="349"/>
      <c r="FT171" s="349"/>
      <c r="FU171" s="349"/>
      <c r="FV171" s="349"/>
      <c r="FW171" s="349"/>
      <c r="FX171" s="349"/>
      <c r="FY171" s="349"/>
      <c r="FZ171" s="349"/>
      <c r="GA171" s="349"/>
      <c r="GB171" s="349"/>
      <c r="GC171" s="349"/>
      <c r="GD171" s="349"/>
      <c r="GE171" s="349"/>
      <c r="GF171" s="349"/>
      <c r="GG171" s="349"/>
      <c r="GH171" s="349"/>
      <c r="GI171" s="349"/>
      <c r="GJ171" s="349"/>
      <c r="GK171" s="349"/>
      <c r="GL171" s="349"/>
      <c r="GM171" s="349"/>
      <c r="GN171" s="349"/>
      <c r="GO171" s="349"/>
      <c r="GP171" s="349"/>
      <c r="GQ171" s="349"/>
      <c r="GR171" s="349"/>
      <c r="GS171" s="349"/>
      <c r="GT171" s="349"/>
      <c r="GU171" s="349"/>
      <c r="GV171" s="349"/>
      <c r="GW171" s="349"/>
      <c r="GX171" s="349"/>
      <c r="GY171" s="349"/>
      <c r="GZ171" s="349"/>
      <c r="HA171" s="349"/>
      <c r="HB171" s="349"/>
      <c r="HC171" s="349"/>
      <c r="HD171" s="349"/>
      <c r="HE171" s="349"/>
      <c r="HF171" s="349"/>
      <c r="HG171" s="349"/>
      <c r="HH171" s="349"/>
      <c r="HI171" s="349"/>
      <c r="HJ171" s="349"/>
      <c r="HK171" s="349"/>
      <c r="HL171" s="349"/>
      <c r="HM171" s="349"/>
      <c r="HN171" s="349"/>
      <c r="HO171" s="349"/>
      <c r="HP171" s="349"/>
      <c r="HQ171" s="349"/>
      <c r="HR171" s="349"/>
      <c r="HS171" s="349"/>
      <c r="HT171" s="349"/>
      <c r="HU171" s="349"/>
      <c r="HV171" s="349"/>
      <c r="HW171" s="349"/>
      <c r="HX171" s="349"/>
      <c r="HY171" s="349"/>
      <c r="HZ171" s="349"/>
      <c r="IA171" s="349"/>
      <c r="IB171" s="349"/>
      <c r="IC171" s="349"/>
      <c r="ID171" s="349"/>
      <c r="IE171" s="349"/>
      <c r="IF171" s="349"/>
      <c r="IG171" s="349"/>
      <c r="IH171" s="349"/>
      <c r="II171" s="349"/>
      <c r="IJ171" s="349"/>
      <c r="IK171" s="349"/>
      <c r="IL171" s="349"/>
      <c r="IM171" s="349"/>
      <c r="IN171" s="349"/>
      <c r="IO171" s="349"/>
      <c r="IP171" s="349"/>
      <c r="IQ171" s="349"/>
      <c r="IR171" s="349"/>
    </row>
    <row r="172" spans="1:252" s="416" customFormat="1" x14ac:dyDescent="0.3">
      <c r="A172" s="365"/>
      <c r="B172" s="358" t="s">
        <v>144</v>
      </c>
      <c r="C172" s="358"/>
      <c r="D172" s="358"/>
      <c r="E172" s="358"/>
      <c r="F172" s="358"/>
      <c r="G172" s="358"/>
      <c r="H172" s="358"/>
      <c r="I172" s="358"/>
      <c r="J172" s="358"/>
      <c r="K172" s="358"/>
      <c r="L172" s="358"/>
      <c r="M172" s="358"/>
      <c r="N172" s="358"/>
      <c r="O172" s="358"/>
      <c r="P172" s="358"/>
      <c r="Q172" s="358"/>
      <c r="R172" s="404">
        <f>+R92</f>
        <v>124</v>
      </c>
      <c r="S172" s="361"/>
      <c r="T172" s="348"/>
      <c r="U172" s="349"/>
      <c r="V172" s="349"/>
      <c r="W172" s="349"/>
      <c r="X172" s="349"/>
      <c r="Y172" s="349"/>
      <c r="Z172" s="349"/>
      <c r="AA172" s="349"/>
      <c r="AB172" s="349"/>
      <c r="AC172" s="349"/>
      <c r="AD172" s="349"/>
      <c r="AE172" s="349"/>
      <c r="AF172" s="349"/>
      <c r="AG172" s="349"/>
      <c r="AH172" s="349"/>
      <c r="AI172" s="349"/>
      <c r="AJ172" s="349"/>
      <c r="AK172" s="349"/>
      <c r="AL172" s="349"/>
      <c r="AM172" s="349"/>
      <c r="AN172" s="349"/>
      <c r="AO172" s="349"/>
      <c r="AP172" s="349"/>
      <c r="AQ172" s="349"/>
      <c r="AR172" s="349"/>
      <c r="AS172" s="349"/>
      <c r="AT172" s="349"/>
      <c r="AU172" s="349"/>
      <c r="AV172" s="349"/>
      <c r="AW172" s="349"/>
      <c r="AX172" s="349"/>
      <c r="AY172" s="349"/>
      <c r="AZ172" s="349"/>
      <c r="BA172" s="349"/>
      <c r="BB172" s="349"/>
      <c r="BC172" s="349"/>
      <c r="BD172" s="349"/>
      <c r="BE172" s="349"/>
      <c r="BF172" s="349"/>
      <c r="BG172" s="349"/>
      <c r="BH172" s="349"/>
      <c r="BI172" s="349"/>
      <c r="BJ172" s="349"/>
      <c r="BK172" s="349"/>
      <c r="BL172" s="349"/>
      <c r="BM172" s="349"/>
      <c r="BN172" s="349"/>
      <c r="BO172" s="349"/>
      <c r="BP172" s="349"/>
      <c r="BQ172" s="349"/>
      <c r="BR172" s="349"/>
      <c r="BS172" s="349"/>
      <c r="BT172" s="349"/>
      <c r="BU172" s="349"/>
      <c r="BV172" s="349"/>
      <c r="BW172" s="349"/>
      <c r="BX172" s="349"/>
      <c r="BY172" s="349"/>
      <c r="BZ172" s="349"/>
      <c r="CA172" s="349"/>
      <c r="CB172" s="349"/>
      <c r="CC172" s="349"/>
      <c r="CD172" s="349"/>
      <c r="CE172" s="349"/>
      <c r="CF172" s="349"/>
      <c r="CG172" s="349"/>
      <c r="CH172" s="349"/>
      <c r="CI172" s="349"/>
      <c r="CJ172" s="349"/>
      <c r="CK172" s="349"/>
      <c r="CL172" s="349"/>
      <c r="CM172" s="349"/>
      <c r="CN172" s="349"/>
      <c r="CO172" s="349"/>
      <c r="CP172" s="349"/>
      <c r="CQ172" s="349"/>
      <c r="CR172" s="349"/>
      <c r="CS172" s="349"/>
      <c r="CT172" s="349"/>
      <c r="CU172" s="349"/>
      <c r="CV172" s="349"/>
      <c r="CW172" s="349"/>
      <c r="CX172" s="349"/>
      <c r="CY172" s="349"/>
      <c r="CZ172" s="349"/>
      <c r="DA172" s="349"/>
      <c r="DB172" s="349"/>
      <c r="DC172" s="349"/>
      <c r="DD172" s="349"/>
      <c r="DE172" s="349"/>
      <c r="DF172" s="349"/>
      <c r="DG172" s="349"/>
      <c r="DH172" s="349"/>
      <c r="DI172" s="349"/>
      <c r="DJ172" s="349"/>
      <c r="DK172" s="349"/>
      <c r="DL172" s="349"/>
      <c r="DM172" s="349"/>
      <c r="DN172" s="349"/>
      <c r="DO172" s="349"/>
      <c r="DP172" s="349"/>
      <c r="DQ172" s="349"/>
      <c r="DR172" s="349"/>
      <c r="DS172" s="349"/>
      <c r="DT172" s="349"/>
      <c r="DU172" s="349"/>
      <c r="DV172" s="349"/>
      <c r="DW172" s="349"/>
      <c r="DX172" s="349"/>
      <c r="DY172" s="349"/>
      <c r="DZ172" s="349"/>
      <c r="EA172" s="349"/>
      <c r="EB172" s="349"/>
      <c r="EC172" s="349"/>
      <c r="ED172" s="349"/>
      <c r="EE172" s="349"/>
      <c r="EF172" s="349"/>
      <c r="EG172" s="349"/>
      <c r="EH172" s="349"/>
      <c r="EI172" s="349"/>
      <c r="EJ172" s="349"/>
      <c r="EK172" s="349"/>
      <c r="EL172" s="349"/>
      <c r="EM172" s="349"/>
      <c r="EN172" s="349"/>
      <c r="EO172" s="349"/>
      <c r="EP172" s="349"/>
      <c r="EQ172" s="349"/>
      <c r="ER172" s="349"/>
      <c r="ES172" s="349"/>
      <c r="ET172" s="349"/>
      <c r="EU172" s="349"/>
      <c r="EV172" s="349"/>
      <c r="EW172" s="349"/>
      <c r="EX172" s="349"/>
      <c r="EY172" s="349"/>
      <c r="EZ172" s="349"/>
      <c r="FA172" s="349"/>
      <c r="FB172" s="349"/>
      <c r="FC172" s="349"/>
      <c r="FD172" s="349"/>
      <c r="FE172" s="349"/>
      <c r="FF172" s="349"/>
      <c r="FG172" s="349"/>
      <c r="FH172" s="349"/>
      <c r="FI172" s="349"/>
      <c r="FJ172" s="349"/>
      <c r="FK172" s="349"/>
      <c r="FL172" s="349"/>
      <c r="FM172" s="349"/>
      <c r="FN172" s="349"/>
      <c r="FO172" s="349"/>
      <c r="FP172" s="349"/>
      <c r="FQ172" s="349"/>
      <c r="FR172" s="349"/>
      <c r="FS172" s="349"/>
      <c r="FT172" s="349"/>
      <c r="FU172" s="349"/>
      <c r="FV172" s="349"/>
      <c r="FW172" s="349"/>
      <c r="FX172" s="349"/>
      <c r="FY172" s="349"/>
      <c r="FZ172" s="349"/>
      <c r="GA172" s="349"/>
      <c r="GB172" s="349"/>
      <c r="GC172" s="349"/>
      <c r="GD172" s="349"/>
      <c r="GE172" s="349"/>
      <c r="GF172" s="349"/>
      <c r="GG172" s="349"/>
      <c r="GH172" s="349"/>
      <c r="GI172" s="349"/>
      <c r="GJ172" s="349"/>
      <c r="GK172" s="349"/>
      <c r="GL172" s="349"/>
      <c r="GM172" s="349"/>
      <c r="GN172" s="349"/>
      <c r="GO172" s="349"/>
      <c r="GP172" s="349"/>
      <c r="GQ172" s="349"/>
      <c r="GR172" s="349"/>
      <c r="GS172" s="349"/>
      <c r="GT172" s="349"/>
      <c r="GU172" s="349"/>
      <c r="GV172" s="349"/>
      <c r="GW172" s="349"/>
      <c r="GX172" s="349"/>
      <c r="GY172" s="349"/>
      <c r="GZ172" s="349"/>
      <c r="HA172" s="349"/>
      <c r="HB172" s="349"/>
      <c r="HC172" s="349"/>
      <c r="HD172" s="349"/>
      <c r="HE172" s="349"/>
      <c r="HF172" s="349"/>
      <c r="HG172" s="349"/>
      <c r="HH172" s="349"/>
      <c r="HI172" s="349"/>
      <c r="HJ172" s="349"/>
      <c r="HK172" s="349"/>
      <c r="HL172" s="349"/>
      <c r="HM172" s="349"/>
      <c r="HN172" s="349"/>
      <c r="HO172" s="349"/>
      <c r="HP172" s="349"/>
      <c r="HQ172" s="349"/>
      <c r="HR172" s="349"/>
      <c r="HS172" s="349"/>
      <c r="HT172" s="349"/>
      <c r="HU172" s="349"/>
      <c r="HV172" s="349"/>
      <c r="HW172" s="349"/>
      <c r="HX172" s="349"/>
      <c r="HY172" s="349"/>
      <c r="HZ172" s="349"/>
      <c r="IA172" s="349"/>
      <c r="IB172" s="349"/>
      <c r="IC172" s="349"/>
      <c r="ID172" s="349"/>
      <c r="IE172" s="349"/>
      <c r="IF172" s="349"/>
      <c r="IG172" s="349"/>
      <c r="IH172" s="349"/>
      <c r="II172" s="349"/>
      <c r="IJ172" s="349"/>
      <c r="IK172" s="349"/>
      <c r="IL172" s="349"/>
      <c r="IM172" s="349"/>
      <c r="IN172" s="349"/>
      <c r="IO172" s="349"/>
      <c r="IP172" s="349"/>
      <c r="IQ172" s="349"/>
      <c r="IR172" s="349"/>
    </row>
    <row r="173" spans="1:252" s="416" customFormat="1" x14ac:dyDescent="0.3">
      <c r="A173" s="365"/>
      <c r="B173" s="358" t="s">
        <v>142</v>
      </c>
      <c r="C173" s="358"/>
      <c r="D173" s="358"/>
      <c r="E173" s="358"/>
      <c r="F173" s="358"/>
      <c r="G173" s="358"/>
      <c r="H173" s="358"/>
      <c r="I173" s="358"/>
      <c r="J173" s="358"/>
      <c r="K173" s="358"/>
      <c r="L173" s="358"/>
      <c r="M173" s="358"/>
      <c r="N173" s="358"/>
      <c r="O173" s="358"/>
      <c r="P173" s="358"/>
      <c r="Q173" s="358"/>
      <c r="R173" s="404">
        <f>R170+R171-R172</f>
        <v>1128</v>
      </c>
      <c r="S173" s="361"/>
      <c r="T173" s="348"/>
      <c r="U173" s="349"/>
      <c r="V173" s="349"/>
      <c r="W173" s="349"/>
      <c r="X173" s="349"/>
      <c r="Y173" s="349"/>
      <c r="Z173" s="349"/>
      <c r="AA173" s="349"/>
      <c r="AB173" s="349"/>
      <c r="AC173" s="349"/>
      <c r="AD173" s="349"/>
      <c r="AE173" s="349"/>
      <c r="AF173" s="349"/>
      <c r="AG173" s="349"/>
      <c r="AH173" s="349"/>
      <c r="AI173" s="349"/>
      <c r="AJ173" s="349"/>
      <c r="AK173" s="349"/>
      <c r="AL173" s="349"/>
      <c r="AM173" s="349"/>
      <c r="AN173" s="349"/>
      <c r="AO173" s="349"/>
      <c r="AP173" s="349"/>
      <c r="AQ173" s="349"/>
      <c r="AR173" s="349"/>
      <c r="AS173" s="349"/>
      <c r="AT173" s="349"/>
      <c r="AU173" s="349"/>
      <c r="AV173" s="349"/>
      <c r="AW173" s="349"/>
      <c r="AX173" s="349"/>
      <c r="AY173" s="349"/>
      <c r="AZ173" s="349"/>
      <c r="BA173" s="349"/>
      <c r="BB173" s="349"/>
      <c r="BC173" s="349"/>
      <c r="BD173" s="349"/>
      <c r="BE173" s="349"/>
      <c r="BF173" s="349"/>
      <c r="BG173" s="349"/>
      <c r="BH173" s="349"/>
      <c r="BI173" s="349"/>
      <c r="BJ173" s="349"/>
      <c r="BK173" s="349"/>
      <c r="BL173" s="349"/>
      <c r="BM173" s="349"/>
      <c r="BN173" s="349"/>
      <c r="BO173" s="349"/>
      <c r="BP173" s="349"/>
      <c r="BQ173" s="349"/>
      <c r="BR173" s="349"/>
      <c r="BS173" s="349"/>
      <c r="BT173" s="349"/>
      <c r="BU173" s="349"/>
      <c r="BV173" s="349"/>
      <c r="BW173" s="349"/>
      <c r="BX173" s="349"/>
      <c r="BY173" s="349"/>
      <c r="BZ173" s="349"/>
      <c r="CA173" s="349"/>
      <c r="CB173" s="349"/>
      <c r="CC173" s="349"/>
      <c r="CD173" s="349"/>
      <c r="CE173" s="349"/>
      <c r="CF173" s="349"/>
      <c r="CG173" s="349"/>
      <c r="CH173" s="349"/>
      <c r="CI173" s="349"/>
      <c r="CJ173" s="349"/>
      <c r="CK173" s="349"/>
      <c r="CL173" s="349"/>
      <c r="CM173" s="349"/>
      <c r="CN173" s="349"/>
      <c r="CO173" s="349"/>
      <c r="CP173" s="349"/>
      <c r="CQ173" s="349"/>
      <c r="CR173" s="349"/>
      <c r="CS173" s="349"/>
      <c r="CT173" s="349"/>
      <c r="CU173" s="349"/>
      <c r="CV173" s="349"/>
      <c r="CW173" s="349"/>
      <c r="CX173" s="349"/>
      <c r="CY173" s="349"/>
      <c r="CZ173" s="349"/>
      <c r="DA173" s="349"/>
      <c r="DB173" s="349"/>
      <c r="DC173" s="349"/>
      <c r="DD173" s="349"/>
      <c r="DE173" s="349"/>
      <c r="DF173" s="349"/>
      <c r="DG173" s="349"/>
      <c r="DH173" s="349"/>
      <c r="DI173" s="349"/>
      <c r="DJ173" s="349"/>
      <c r="DK173" s="349"/>
      <c r="DL173" s="349"/>
      <c r="DM173" s="349"/>
      <c r="DN173" s="349"/>
      <c r="DO173" s="349"/>
      <c r="DP173" s="349"/>
      <c r="DQ173" s="349"/>
      <c r="DR173" s="349"/>
      <c r="DS173" s="349"/>
      <c r="DT173" s="349"/>
      <c r="DU173" s="349"/>
      <c r="DV173" s="349"/>
      <c r="DW173" s="349"/>
      <c r="DX173" s="349"/>
      <c r="DY173" s="349"/>
      <c r="DZ173" s="349"/>
      <c r="EA173" s="349"/>
      <c r="EB173" s="349"/>
      <c r="EC173" s="349"/>
      <c r="ED173" s="349"/>
      <c r="EE173" s="349"/>
      <c r="EF173" s="349"/>
      <c r="EG173" s="349"/>
      <c r="EH173" s="349"/>
      <c r="EI173" s="349"/>
      <c r="EJ173" s="349"/>
      <c r="EK173" s="349"/>
      <c r="EL173" s="349"/>
      <c r="EM173" s="349"/>
      <c r="EN173" s="349"/>
      <c r="EO173" s="349"/>
      <c r="EP173" s="349"/>
      <c r="EQ173" s="349"/>
      <c r="ER173" s="349"/>
      <c r="ES173" s="349"/>
      <c r="ET173" s="349"/>
      <c r="EU173" s="349"/>
      <c r="EV173" s="349"/>
      <c r="EW173" s="349"/>
      <c r="EX173" s="349"/>
      <c r="EY173" s="349"/>
      <c r="EZ173" s="349"/>
      <c r="FA173" s="349"/>
      <c r="FB173" s="349"/>
      <c r="FC173" s="349"/>
      <c r="FD173" s="349"/>
      <c r="FE173" s="349"/>
      <c r="FF173" s="349"/>
      <c r="FG173" s="349"/>
      <c r="FH173" s="349"/>
      <c r="FI173" s="349"/>
      <c r="FJ173" s="349"/>
      <c r="FK173" s="349"/>
      <c r="FL173" s="349"/>
      <c r="FM173" s="349"/>
      <c r="FN173" s="349"/>
      <c r="FO173" s="349"/>
      <c r="FP173" s="349"/>
      <c r="FQ173" s="349"/>
      <c r="FR173" s="349"/>
      <c r="FS173" s="349"/>
      <c r="FT173" s="349"/>
      <c r="FU173" s="349"/>
      <c r="FV173" s="349"/>
      <c r="FW173" s="349"/>
      <c r="FX173" s="349"/>
      <c r="FY173" s="349"/>
      <c r="FZ173" s="349"/>
      <c r="GA173" s="349"/>
      <c r="GB173" s="349"/>
      <c r="GC173" s="349"/>
      <c r="GD173" s="349"/>
      <c r="GE173" s="349"/>
      <c r="GF173" s="349"/>
      <c r="GG173" s="349"/>
      <c r="GH173" s="349"/>
      <c r="GI173" s="349"/>
      <c r="GJ173" s="349"/>
      <c r="GK173" s="349"/>
      <c r="GL173" s="349"/>
      <c r="GM173" s="349"/>
      <c r="GN173" s="349"/>
      <c r="GO173" s="349"/>
      <c r="GP173" s="349"/>
      <c r="GQ173" s="349"/>
      <c r="GR173" s="349"/>
      <c r="GS173" s="349"/>
      <c r="GT173" s="349"/>
      <c r="GU173" s="349"/>
      <c r="GV173" s="349"/>
      <c r="GW173" s="349"/>
      <c r="GX173" s="349"/>
      <c r="GY173" s="349"/>
      <c r="GZ173" s="349"/>
      <c r="HA173" s="349"/>
      <c r="HB173" s="349"/>
      <c r="HC173" s="349"/>
      <c r="HD173" s="349"/>
      <c r="HE173" s="349"/>
      <c r="HF173" s="349"/>
      <c r="HG173" s="349"/>
      <c r="HH173" s="349"/>
      <c r="HI173" s="349"/>
      <c r="HJ173" s="349"/>
      <c r="HK173" s="349"/>
      <c r="HL173" s="349"/>
      <c r="HM173" s="349"/>
      <c r="HN173" s="349"/>
      <c r="HO173" s="349"/>
      <c r="HP173" s="349"/>
      <c r="HQ173" s="349"/>
      <c r="HR173" s="349"/>
      <c r="HS173" s="349"/>
      <c r="HT173" s="349"/>
      <c r="HU173" s="349"/>
      <c r="HV173" s="349"/>
      <c r="HW173" s="349"/>
      <c r="HX173" s="349"/>
      <c r="HY173" s="349"/>
      <c r="HZ173" s="349"/>
      <c r="IA173" s="349"/>
      <c r="IB173" s="349"/>
      <c r="IC173" s="349"/>
      <c r="ID173" s="349"/>
      <c r="IE173" s="349"/>
      <c r="IF173" s="349"/>
      <c r="IG173" s="349"/>
      <c r="IH173" s="349"/>
      <c r="II173" s="349"/>
      <c r="IJ173" s="349"/>
      <c r="IK173" s="349"/>
      <c r="IL173" s="349"/>
      <c r="IM173" s="349"/>
      <c r="IN173" s="349"/>
      <c r="IO173" s="349"/>
      <c r="IP173" s="349"/>
      <c r="IQ173" s="349"/>
      <c r="IR173" s="349"/>
    </row>
    <row r="174" spans="1:252" s="304" customFormat="1" ht="16.2" thickBot="1" x14ac:dyDescent="0.35">
      <c r="A174" s="278"/>
      <c r="B174" s="277"/>
      <c r="C174" s="277"/>
      <c r="D174" s="277"/>
      <c r="E174" s="277"/>
      <c r="F174" s="277"/>
      <c r="G174" s="277"/>
      <c r="H174" s="277"/>
      <c r="I174" s="277"/>
      <c r="J174" s="277"/>
      <c r="K174" s="277"/>
      <c r="L174" s="277"/>
      <c r="M174" s="277"/>
      <c r="N174" s="277"/>
      <c r="O174" s="277"/>
      <c r="P174" s="277"/>
      <c r="Q174" s="277"/>
      <c r="R174" s="297"/>
      <c r="S174" s="252"/>
      <c r="T174" s="247"/>
      <c r="U174" s="248"/>
      <c r="V174" s="248"/>
      <c r="W174" s="248"/>
      <c r="X174" s="248"/>
      <c r="Y174" s="248"/>
      <c r="Z174" s="248"/>
      <c r="AA174" s="248"/>
      <c r="AB174" s="248"/>
      <c r="AC174" s="248"/>
      <c r="AD174" s="248"/>
      <c r="AE174" s="248"/>
      <c r="AF174" s="248"/>
      <c r="AG174" s="248"/>
      <c r="AH174" s="248"/>
      <c r="AI174" s="248"/>
      <c r="AJ174" s="248"/>
      <c r="AK174" s="248"/>
      <c r="AL174" s="248"/>
      <c r="AM174" s="248"/>
      <c r="AN174" s="248"/>
      <c r="AO174" s="248"/>
      <c r="AP174" s="248"/>
      <c r="AQ174" s="248"/>
      <c r="AR174" s="248"/>
      <c r="AS174" s="248"/>
      <c r="AT174" s="248"/>
      <c r="AU174" s="248"/>
      <c r="AV174" s="248"/>
      <c r="AW174" s="248"/>
      <c r="AX174" s="248"/>
      <c r="AY174" s="248"/>
      <c r="AZ174" s="248"/>
      <c r="BA174" s="248"/>
      <c r="BB174" s="248"/>
      <c r="BC174" s="248"/>
      <c r="BD174" s="248"/>
      <c r="BE174" s="248"/>
      <c r="BF174" s="248"/>
      <c r="BG174" s="248"/>
      <c r="BH174" s="248"/>
      <c r="BI174" s="248"/>
      <c r="BJ174" s="248"/>
      <c r="BK174" s="248"/>
      <c r="BL174" s="248"/>
      <c r="BM174" s="248"/>
      <c r="BN174" s="248"/>
      <c r="BO174" s="248"/>
      <c r="BP174" s="248"/>
      <c r="BQ174" s="248"/>
      <c r="BR174" s="248"/>
      <c r="BS174" s="248"/>
      <c r="BT174" s="248"/>
      <c r="BU174" s="248"/>
      <c r="BV174" s="248"/>
      <c r="BW174" s="248"/>
      <c r="BX174" s="248"/>
      <c r="BY174" s="248"/>
      <c r="BZ174" s="248"/>
      <c r="CA174" s="248"/>
      <c r="CB174" s="248"/>
      <c r="CC174" s="248"/>
      <c r="CD174" s="248"/>
      <c r="CE174" s="248"/>
      <c r="CF174" s="248"/>
      <c r="CG174" s="248"/>
      <c r="CH174" s="248"/>
      <c r="CI174" s="248"/>
      <c r="CJ174" s="248"/>
      <c r="CK174" s="248"/>
      <c r="CL174" s="248"/>
      <c r="CM174" s="248"/>
      <c r="CN174" s="248"/>
      <c r="CO174" s="248"/>
      <c r="CP174" s="248"/>
      <c r="CQ174" s="248"/>
      <c r="CR174" s="248"/>
      <c r="CS174" s="248"/>
      <c r="CT174" s="248"/>
      <c r="CU174" s="248"/>
      <c r="CV174" s="248"/>
      <c r="CW174" s="248"/>
      <c r="CX174" s="248"/>
      <c r="CY174" s="248"/>
      <c r="CZ174" s="248"/>
      <c r="DA174" s="248"/>
      <c r="DB174" s="248"/>
      <c r="DC174" s="248"/>
      <c r="DD174" s="248"/>
      <c r="DE174" s="248"/>
      <c r="DF174" s="248"/>
      <c r="DG174" s="248"/>
      <c r="DH174" s="248"/>
      <c r="DI174" s="248"/>
      <c r="DJ174" s="248"/>
      <c r="DK174" s="248"/>
      <c r="DL174" s="248"/>
      <c r="DM174" s="248"/>
      <c r="DN174" s="248"/>
      <c r="DO174" s="248"/>
      <c r="DP174" s="248"/>
      <c r="DQ174" s="248"/>
      <c r="DR174" s="248"/>
      <c r="DS174" s="248"/>
      <c r="DT174" s="248"/>
      <c r="DU174" s="248"/>
      <c r="DV174" s="248"/>
      <c r="DW174" s="248"/>
      <c r="DX174" s="248"/>
      <c r="DY174" s="248"/>
      <c r="DZ174" s="248"/>
      <c r="EA174" s="248"/>
      <c r="EB174" s="248"/>
      <c r="EC174" s="248"/>
      <c r="ED174" s="248"/>
      <c r="EE174" s="248"/>
      <c r="EF174" s="248"/>
      <c r="EG174" s="248"/>
      <c r="EH174" s="248"/>
      <c r="EI174" s="248"/>
      <c r="EJ174" s="248"/>
      <c r="EK174" s="248"/>
      <c r="EL174" s="248"/>
      <c r="EM174" s="248"/>
      <c r="EN174" s="248"/>
      <c r="EO174" s="248"/>
      <c r="EP174" s="248"/>
      <c r="EQ174" s="248"/>
      <c r="ER174" s="248"/>
      <c r="ES174" s="248"/>
      <c r="ET174" s="248"/>
      <c r="EU174" s="248"/>
      <c r="EV174" s="248"/>
      <c r="EW174" s="248"/>
      <c r="EX174" s="248"/>
      <c r="EY174" s="248"/>
      <c r="EZ174" s="248"/>
      <c r="FA174" s="248"/>
      <c r="FB174" s="248"/>
      <c r="FC174" s="248"/>
      <c r="FD174" s="248"/>
      <c r="FE174" s="248"/>
      <c r="FF174" s="248"/>
      <c r="FG174" s="248"/>
      <c r="FH174" s="248"/>
      <c r="FI174" s="248"/>
      <c r="FJ174" s="248"/>
      <c r="FK174" s="248"/>
      <c r="FL174" s="248"/>
      <c r="FM174" s="248"/>
      <c r="FN174" s="248"/>
      <c r="FO174" s="248"/>
      <c r="FP174" s="248"/>
      <c r="FQ174" s="248"/>
      <c r="FR174" s="248"/>
      <c r="FS174" s="248"/>
      <c r="FT174" s="248"/>
      <c r="FU174" s="248"/>
      <c r="FV174" s="248"/>
      <c r="FW174" s="248"/>
      <c r="FX174" s="248"/>
      <c r="FY174" s="248"/>
      <c r="FZ174" s="248"/>
      <c r="GA174" s="248"/>
      <c r="GB174" s="248"/>
      <c r="GC174" s="248"/>
      <c r="GD174" s="248"/>
      <c r="GE174" s="248"/>
      <c r="GF174" s="248"/>
      <c r="GG174" s="248"/>
      <c r="GH174" s="248"/>
      <c r="GI174" s="248"/>
      <c r="GJ174" s="248"/>
      <c r="GK174" s="248"/>
      <c r="GL174" s="248"/>
      <c r="GM174" s="248"/>
      <c r="GN174" s="248"/>
      <c r="GO174" s="248"/>
      <c r="GP174" s="248"/>
      <c r="GQ174" s="248"/>
      <c r="GR174" s="248"/>
      <c r="GS174" s="248"/>
      <c r="GT174" s="248"/>
      <c r="GU174" s="248"/>
      <c r="GV174" s="248"/>
      <c r="GW174" s="248"/>
      <c r="GX174" s="248"/>
      <c r="GY174" s="248"/>
      <c r="GZ174" s="248"/>
      <c r="HA174" s="248"/>
      <c r="HB174" s="248"/>
      <c r="HC174" s="248"/>
      <c r="HD174" s="248"/>
      <c r="HE174" s="248"/>
      <c r="HF174" s="248"/>
      <c r="HG174" s="248"/>
      <c r="HH174" s="248"/>
      <c r="HI174" s="248"/>
      <c r="HJ174" s="248"/>
      <c r="HK174" s="248"/>
      <c r="HL174" s="248"/>
      <c r="HM174" s="248"/>
      <c r="HN174" s="248"/>
      <c r="HO174" s="248"/>
      <c r="HP174" s="248"/>
      <c r="HQ174" s="248"/>
      <c r="HR174" s="248"/>
      <c r="HS174" s="248"/>
      <c r="HT174" s="248"/>
      <c r="HU174" s="248"/>
      <c r="HV174" s="248"/>
      <c r="HW174" s="248"/>
      <c r="HX174" s="248"/>
      <c r="HY174" s="248"/>
      <c r="HZ174" s="248"/>
      <c r="IA174" s="248"/>
      <c r="IB174" s="248"/>
      <c r="IC174" s="248"/>
      <c r="ID174" s="248"/>
      <c r="IE174" s="248"/>
      <c r="IF174" s="248"/>
      <c r="IG174" s="248"/>
      <c r="IH174" s="248"/>
      <c r="II174" s="248"/>
      <c r="IJ174" s="248"/>
      <c r="IK174" s="248"/>
      <c r="IL174" s="248"/>
      <c r="IM174" s="248"/>
      <c r="IN174" s="248"/>
      <c r="IO174" s="248"/>
      <c r="IP174" s="248"/>
      <c r="IQ174" s="248"/>
      <c r="IR174" s="248"/>
    </row>
    <row r="175" spans="1:252" s="305" customFormat="1" x14ac:dyDescent="0.3">
      <c r="A175" s="244"/>
      <c r="B175" s="245"/>
      <c r="C175" s="245"/>
      <c r="D175" s="245"/>
      <c r="E175" s="245"/>
      <c r="F175" s="245"/>
      <c r="G175" s="245"/>
      <c r="H175" s="245"/>
      <c r="I175" s="245"/>
      <c r="J175" s="245"/>
      <c r="K175" s="245"/>
      <c r="L175" s="245"/>
      <c r="M175" s="245"/>
      <c r="N175" s="245"/>
      <c r="O175" s="245"/>
      <c r="P175" s="245"/>
      <c r="Q175" s="245"/>
      <c r="R175" s="301"/>
      <c r="S175" s="246"/>
      <c r="T175" s="247"/>
      <c r="U175" s="248"/>
      <c r="V175" s="248"/>
      <c r="W175" s="248"/>
      <c r="X175" s="248"/>
      <c r="Y175" s="248"/>
      <c r="Z175" s="248"/>
      <c r="AA175" s="248"/>
      <c r="AB175" s="248"/>
      <c r="AC175" s="248"/>
      <c r="AD175" s="248"/>
      <c r="AE175" s="248"/>
      <c r="AF175" s="248"/>
      <c r="AG175" s="248"/>
      <c r="AH175" s="248"/>
      <c r="AI175" s="248"/>
      <c r="AJ175" s="248"/>
      <c r="AK175" s="248"/>
      <c r="AL175" s="248"/>
      <c r="AM175" s="248"/>
      <c r="AN175" s="248"/>
      <c r="AO175" s="248"/>
      <c r="AP175" s="248"/>
      <c r="AQ175" s="248"/>
      <c r="AR175" s="248"/>
      <c r="AS175" s="248"/>
      <c r="AT175" s="248"/>
      <c r="AU175" s="248"/>
      <c r="AV175" s="248"/>
      <c r="AW175" s="248"/>
      <c r="AX175" s="248"/>
      <c r="AY175" s="248"/>
      <c r="AZ175" s="248"/>
      <c r="BA175" s="248"/>
      <c r="BB175" s="248"/>
      <c r="BC175" s="248"/>
      <c r="BD175" s="248"/>
      <c r="BE175" s="248"/>
      <c r="BF175" s="248"/>
      <c r="BG175" s="248"/>
      <c r="BH175" s="248"/>
      <c r="BI175" s="248"/>
      <c r="BJ175" s="248"/>
      <c r="BK175" s="248"/>
      <c r="BL175" s="248"/>
      <c r="BM175" s="248"/>
      <c r="BN175" s="248"/>
      <c r="BO175" s="248"/>
      <c r="BP175" s="248"/>
      <c r="BQ175" s="248"/>
      <c r="BR175" s="248"/>
      <c r="BS175" s="248"/>
      <c r="BT175" s="248"/>
      <c r="BU175" s="248"/>
      <c r="BV175" s="248"/>
      <c r="BW175" s="248"/>
      <c r="BX175" s="248"/>
      <c r="BY175" s="248"/>
      <c r="BZ175" s="248"/>
      <c r="CA175" s="248"/>
      <c r="CB175" s="248"/>
      <c r="CC175" s="248"/>
      <c r="CD175" s="248"/>
      <c r="CE175" s="248"/>
      <c r="CF175" s="248"/>
      <c r="CG175" s="248"/>
      <c r="CH175" s="248"/>
      <c r="CI175" s="248"/>
      <c r="CJ175" s="248"/>
      <c r="CK175" s="248"/>
      <c r="CL175" s="248"/>
      <c r="CM175" s="248"/>
      <c r="CN175" s="248"/>
      <c r="CO175" s="248"/>
      <c r="CP175" s="248"/>
      <c r="CQ175" s="248"/>
      <c r="CR175" s="248"/>
      <c r="CS175" s="248"/>
      <c r="CT175" s="248"/>
      <c r="CU175" s="248"/>
      <c r="CV175" s="248"/>
      <c r="CW175" s="248"/>
      <c r="CX175" s="248"/>
      <c r="CY175" s="248"/>
      <c r="CZ175" s="248"/>
      <c r="DA175" s="248"/>
      <c r="DB175" s="248"/>
      <c r="DC175" s="248"/>
      <c r="DD175" s="248"/>
      <c r="DE175" s="248"/>
      <c r="DF175" s="248"/>
      <c r="DG175" s="248"/>
      <c r="DH175" s="248"/>
      <c r="DI175" s="248"/>
      <c r="DJ175" s="248"/>
      <c r="DK175" s="248"/>
      <c r="DL175" s="248"/>
      <c r="DM175" s="248"/>
      <c r="DN175" s="248"/>
      <c r="DO175" s="248"/>
      <c r="DP175" s="248"/>
      <c r="DQ175" s="248"/>
      <c r="DR175" s="248"/>
      <c r="DS175" s="248"/>
      <c r="DT175" s="248"/>
      <c r="DU175" s="248"/>
      <c r="DV175" s="248"/>
      <c r="DW175" s="248"/>
      <c r="DX175" s="248"/>
      <c r="DY175" s="248"/>
      <c r="DZ175" s="248"/>
      <c r="EA175" s="248"/>
      <c r="EB175" s="248"/>
      <c r="EC175" s="248"/>
      <c r="ED175" s="248"/>
      <c r="EE175" s="248"/>
      <c r="EF175" s="248"/>
      <c r="EG175" s="248"/>
      <c r="EH175" s="248"/>
      <c r="EI175" s="248"/>
      <c r="EJ175" s="248"/>
      <c r="EK175" s="248"/>
      <c r="EL175" s="248"/>
      <c r="EM175" s="248"/>
      <c r="EN175" s="248"/>
      <c r="EO175" s="248"/>
      <c r="EP175" s="248"/>
      <c r="EQ175" s="248"/>
      <c r="ER175" s="248"/>
      <c r="ES175" s="248"/>
      <c r="ET175" s="248"/>
      <c r="EU175" s="248"/>
      <c r="EV175" s="248"/>
      <c r="EW175" s="248"/>
      <c r="EX175" s="248"/>
      <c r="EY175" s="248"/>
      <c r="EZ175" s="248"/>
      <c r="FA175" s="248"/>
      <c r="FB175" s="248"/>
      <c r="FC175" s="248"/>
      <c r="FD175" s="248"/>
      <c r="FE175" s="248"/>
      <c r="FF175" s="248"/>
      <c r="FG175" s="248"/>
      <c r="FH175" s="248"/>
      <c r="FI175" s="248"/>
      <c r="FJ175" s="248"/>
      <c r="FK175" s="248"/>
      <c r="FL175" s="248"/>
      <c r="FM175" s="248"/>
      <c r="FN175" s="248"/>
      <c r="FO175" s="248"/>
      <c r="FP175" s="248"/>
      <c r="FQ175" s="248"/>
      <c r="FR175" s="248"/>
      <c r="FS175" s="248"/>
      <c r="FT175" s="248"/>
      <c r="FU175" s="248"/>
      <c r="FV175" s="248"/>
      <c r="FW175" s="248"/>
      <c r="FX175" s="248"/>
      <c r="FY175" s="248"/>
      <c r="FZ175" s="248"/>
      <c r="GA175" s="248"/>
      <c r="GB175" s="248"/>
      <c r="GC175" s="248"/>
      <c r="GD175" s="248"/>
      <c r="GE175" s="248"/>
      <c r="GF175" s="248"/>
      <c r="GG175" s="248"/>
      <c r="GH175" s="248"/>
      <c r="GI175" s="248"/>
      <c r="GJ175" s="248"/>
      <c r="GK175" s="248"/>
      <c r="GL175" s="248"/>
      <c r="GM175" s="248"/>
      <c r="GN175" s="248"/>
      <c r="GO175" s="248"/>
      <c r="GP175" s="248"/>
      <c r="GQ175" s="248"/>
      <c r="GR175" s="248"/>
      <c r="GS175" s="248"/>
      <c r="GT175" s="248"/>
      <c r="GU175" s="248"/>
      <c r="GV175" s="248"/>
      <c r="GW175" s="248"/>
      <c r="GX175" s="248"/>
      <c r="GY175" s="248"/>
      <c r="GZ175" s="248"/>
      <c r="HA175" s="248"/>
      <c r="HB175" s="248"/>
      <c r="HC175" s="248"/>
      <c r="HD175" s="248"/>
      <c r="HE175" s="248"/>
      <c r="HF175" s="248"/>
      <c r="HG175" s="248"/>
      <c r="HH175" s="248"/>
      <c r="HI175" s="248"/>
      <c r="HJ175" s="248"/>
      <c r="HK175" s="248"/>
      <c r="HL175" s="248"/>
      <c r="HM175" s="248"/>
      <c r="HN175" s="248"/>
      <c r="HO175" s="248"/>
      <c r="HP175" s="248"/>
      <c r="HQ175" s="248"/>
      <c r="HR175" s="248"/>
      <c r="HS175" s="248"/>
      <c r="HT175" s="248"/>
      <c r="HU175" s="248"/>
      <c r="HV175" s="248"/>
      <c r="HW175" s="248"/>
      <c r="HX175" s="248"/>
      <c r="HY175" s="248"/>
      <c r="HZ175" s="248"/>
      <c r="IA175" s="248"/>
      <c r="IB175" s="248"/>
      <c r="IC175" s="248"/>
      <c r="ID175" s="248"/>
      <c r="IE175" s="248"/>
      <c r="IF175" s="248"/>
      <c r="IG175" s="248"/>
      <c r="IH175" s="248"/>
      <c r="II175" s="248"/>
      <c r="IJ175" s="248"/>
      <c r="IK175" s="248"/>
      <c r="IL175" s="248"/>
      <c r="IM175" s="248"/>
      <c r="IN175" s="248"/>
      <c r="IO175" s="248"/>
      <c r="IP175" s="248"/>
      <c r="IQ175" s="248"/>
      <c r="IR175" s="248"/>
    </row>
    <row r="176" spans="1:252" x14ac:dyDescent="0.3">
      <c r="A176" s="249"/>
      <c r="B176" s="296" t="s">
        <v>44</v>
      </c>
      <c r="C176" s="251"/>
      <c r="D176" s="251"/>
      <c r="E176" s="251"/>
      <c r="F176" s="251"/>
      <c r="G176" s="251"/>
      <c r="H176" s="251"/>
      <c r="I176" s="251"/>
      <c r="J176" s="251"/>
      <c r="K176" s="251"/>
      <c r="L176" s="251"/>
      <c r="M176" s="251"/>
      <c r="N176" s="251"/>
      <c r="O176" s="251"/>
      <c r="P176" s="251"/>
      <c r="Q176" s="251"/>
      <c r="R176" s="279"/>
      <c r="S176" s="252"/>
      <c r="T176" s="247"/>
    </row>
    <row r="177" spans="1:20" x14ac:dyDescent="0.3">
      <c r="A177" s="249"/>
      <c r="B177" s="295"/>
      <c r="C177" s="251"/>
      <c r="D177" s="251"/>
      <c r="E177" s="251"/>
      <c r="F177" s="251"/>
      <c r="G177" s="251"/>
      <c r="H177" s="251"/>
      <c r="I177" s="251"/>
      <c r="J177" s="251"/>
      <c r="K177" s="251"/>
      <c r="L177" s="251"/>
      <c r="M177" s="251"/>
      <c r="N177" s="251"/>
      <c r="O177" s="251"/>
      <c r="P177" s="251"/>
      <c r="Q177" s="251"/>
      <c r="R177" s="279"/>
      <c r="S177" s="252"/>
      <c r="T177" s="247"/>
    </row>
    <row r="178" spans="1:20" s="349" customFormat="1" x14ac:dyDescent="0.3">
      <c r="A178" s="365"/>
      <c r="B178" s="358" t="s">
        <v>172</v>
      </c>
      <c r="C178" s="358"/>
      <c r="D178" s="358"/>
      <c r="E178" s="358"/>
      <c r="F178" s="358"/>
      <c r="G178" s="358"/>
      <c r="H178" s="358"/>
      <c r="I178" s="358"/>
      <c r="J178" s="358"/>
      <c r="K178" s="358"/>
      <c r="L178" s="358"/>
      <c r="M178" s="358"/>
      <c r="N178" s="358"/>
      <c r="O178" s="358"/>
      <c r="P178" s="358"/>
      <c r="Q178" s="358"/>
      <c r="R178" s="404">
        <f>+R67</f>
        <v>91943</v>
      </c>
      <c r="S178" s="361"/>
      <c r="T178" s="348"/>
    </row>
    <row r="179" spans="1:20" s="349" customFormat="1" x14ac:dyDescent="0.3">
      <c r="A179" s="365"/>
      <c r="B179" s="358" t="s">
        <v>173</v>
      </c>
      <c r="C179" s="358"/>
      <c r="D179" s="358"/>
      <c r="E179" s="358"/>
      <c r="F179" s="358"/>
      <c r="G179" s="358"/>
      <c r="H179" s="358"/>
      <c r="I179" s="358"/>
      <c r="J179" s="358"/>
      <c r="K179" s="358"/>
      <c r="L179" s="358"/>
      <c r="M179" s="358"/>
      <c r="N179" s="358"/>
      <c r="O179" s="358"/>
      <c r="P179" s="358"/>
      <c r="Q179" s="358"/>
      <c r="R179" s="404">
        <f>+R77</f>
        <v>0</v>
      </c>
      <c r="S179" s="361"/>
      <c r="T179" s="348"/>
    </row>
    <row r="180" spans="1:20" s="349" customFormat="1" x14ac:dyDescent="0.3">
      <c r="A180" s="365"/>
      <c r="B180" s="358" t="s">
        <v>216</v>
      </c>
      <c r="C180" s="358"/>
      <c r="D180" s="358"/>
      <c r="E180" s="358"/>
      <c r="F180" s="358"/>
      <c r="G180" s="358"/>
      <c r="H180" s="358"/>
      <c r="I180" s="358"/>
      <c r="J180" s="358"/>
      <c r="K180" s="358"/>
      <c r="L180" s="358"/>
      <c r="M180" s="358"/>
      <c r="N180" s="358"/>
      <c r="O180" s="358"/>
      <c r="P180" s="358"/>
      <c r="Q180" s="358"/>
      <c r="R180" s="404">
        <f>+R78</f>
        <v>0</v>
      </c>
      <c r="S180" s="361"/>
      <c r="T180" s="348"/>
    </row>
    <row r="181" spans="1:20" s="349" customFormat="1" x14ac:dyDescent="0.3">
      <c r="A181" s="365"/>
      <c r="B181" s="358" t="s">
        <v>126</v>
      </c>
      <c r="C181" s="358"/>
      <c r="D181" s="358"/>
      <c r="E181" s="358"/>
      <c r="F181" s="358"/>
      <c r="G181" s="358"/>
      <c r="H181" s="358"/>
      <c r="I181" s="358"/>
      <c r="J181" s="358"/>
      <c r="K181" s="358"/>
      <c r="L181" s="358"/>
      <c r="M181" s="358"/>
      <c r="N181" s="358"/>
      <c r="O181" s="358"/>
      <c r="P181" s="358"/>
      <c r="Q181" s="358"/>
      <c r="R181" s="404">
        <f>+R178+R179+R180</f>
        <v>91943</v>
      </c>
      <c r="S181" s="361"/>
      <c r="T181" s="348"/>
    </row>
    <row r="182" spans="1:20" s="349" customFormat="1" x14ac:dyDescent="0.3">
      <c r="A182" s="365"/>
      <c r="B182" s="358" t="s">
        <v>45</v>
      </c>
      <c r="C182" s="358"/>
      <c r="D182" s="358"/>
      <c r="E182" s="358"/>
      <c r="F182" s="358"/>
      <c r="G182" s="358"/>
      <c r="H182" s="358"/>
      <c r="I182" s="358"/>
      <c r="J182" s="358"/>
      <c r="K182" s="358"/>
      <c r="L182" s="358"/>
      <c r="M182" s="358"/>
      <c r="N182" s="358"/>
      <c r="O182" s="358"/>
      <c r="P182" s="358"/>
      <c r="Q182" s="358"/>
      <c r="R182" s="404">
        <f>R80</f>
        <v>91943</v>
      </c>
      <c r="S182" s="361"/>
      <c r="T182" s="348"/>
    </row>
    <row r="183" spans="1:20" ht="16.2" thickBot="1" x14ac:dyDescent="0.35">
      <c r="A183" s="249"/>
      <c r="B183" s="277"/>
      <c r="C183" s="277"/>
      <c r="D183" s="277"/>
      <c r="E183" s="277"/>
      <c r="F183" s="277"/>
      <c r="G183" s="277"/>
      <c r="H183" s="277"/>
      <c r="I183" s="277"/>
      <c r="J183" s="277"/>
      <c r="K183" s="277"/>
      <c r="L183" s="277"/>
      <c r="M183" s="277"/>
      <c r="N183" s="277"/>
      <c r="O183" s="277"/>
      <c r="P183" s="277"/>
      <c r="Q183" s="277"/>
      <c r="R183" s="297"/>
      <c r="S183" s="252"/>
      <c r="T183" s="247"/>
    </row>
    <row r="184" spans="1:20" x14ac:dyDescent="0.3">
      <c r="A184" s="244"/>
      <c r="B184" s="245"/>
      <c r="C184" s="245"/>
      <c r="D184" s="245"/>
      <c r="E184" s="245"/>
      <c r="F184" s="245"/>
      <c r="G184" s="245"/>
      <c r="H184" s="245"/>
      <c r="I184" s="245"/>
      <c r="J184" s="245"/>
      <c r="K184" s="245"/>
      <c r="L184" s="245"/>
      <c r="M184" s="245"/>
      <c r="N184" s="245"/>
      <c r="O184" s="245"/>
      <c r="P184" s="245"/>
      <c r="Q184" s="245"/>
      <c r="R184" s="301"/>
      <c r="S184" s="246"/>
      <c r="T184" s="247"/>
    </row>
    <row r="185" spans="1:20" s="273" customFormat="1" x14ac:dyDescent="0.3">
      <c r="A185" s="280"/>
      <c r="B185" s="296" t="s">
        <v>46</v>
      </c>
      <c r="C185" s="306"/>
      <c r="D185" s="307"/>
      <c r="E185" s="307"/>
      <c r="F185" s="307"/>
      <c r="G185" s="307"/>
      <c r="H185" s="307"/>
      <c r="I185" s="307"/>
      <c r="J185" s="307"/>
      <c r="K185" s="307"/>
      <c r="L185" s="307"/>
      <c r="M185" s="307"/>
      <c r="N185" s="307"/>
      <c r="O185" s="307" t="s">
        <v>82</v>
      </c>
      <c r="P185" s="307" t="s">
        <v>170</v>
      </c>
      <c r="Q185" s="254"/>
      <c r="R185" s="308" t="s">
        <v>94</v>
      </c>
      <c r="S185" s="309"/>
      <c r="T185" s="272"/>
    </row>
    <row r="186" spans="1:20" s="349" customFormat="1" x14ac:dyDescent="0.3">
      <c r="A186" s="365"/>
      <c r="B186" s="358" t="s">
        <v>47</v>
      </c>
      <c r="C186" s="358"/>
      <c r="D186" s="358"/>
      <c r="E186" s="358"/>
      <c r="F186" s="358"/>
      <c r="G186" s="358"/>
      <c r="H186" s="358"/>
      <c r="I186" s="358"/>
      <c r="J186" s="358"/>
      <c r="K186" s="358"/>
      <c r="L186" s="358"/>
      <c r="M186" s="358"/>
      <c r="N186" s="358"/>
      <c r="O186" s="404">
        <f>+R31*0.08</f>
        <v>24000.720000000001</v>
      </c>
      <c r="P186" s="383"/>
      <c r="Q186" s="358"/>
      <c r="R186" s="404"/>
      <c r="S186" s="361"/>
      <c r="T186" s="348"/>
    </row>
    <row r="187" spans="1:20" s="349" customFormat="1" x14ac:dyDescent="0.3">
      <c r="A187" s="365"/>
      <c r="B187" s="358" t="s">
        <v>48</v>
      </c>
      <c r="C187" s="358"/>
      <c r="D187" s="358"/>
      <c r="E187" s="358"/>
      <c r="F187" s="358"/>
      <c r="G187" s="358"/>
      <c r="H187" s="358"/>
      <c r="I187" s="358"/>
      <c r="J187" s="358"/>
      <c r="K187" s="358"/>
      <c r="L187" s="358"/>
      <c r="M187" s="358"/>
      <c r="N187" s="358"/>
      <c r="O187" s="404">
        <f>+'Nov 17'!O189</f>
        <v>512</v>
      </c>
      <c r="P187" s="404">
        <f>+'Nov 17'!P189</f>
        <v>694</v>
      </c>
      <c r="Q187" s="358"/>
      <c r="R187" s="404">
        <f>O187+P187</f>
        <v>1206</v>
      </c>
      <c r="S187" s="361"/>
      <c r="T187" s="348"/>
    </row>
    <row r="188" spans="1:20" s="349" customFormat="1" x14ac:dyDescent="0.3">
      <c r="A188" s="365"/>
      <c r="B188" s="358" t="s">
        <v>49</v>
      </c>
      <c r="C188" s="358"/>
      <c r="D188" s="358"/>
      <c r="E188" s="358"/>
      <c r="F188" s="358"/>
      <c r="G188" s="358"/>
      <c r="H188" s="358"/>
      <c r="I188" s="358"/>
      <c r="J188" s="358"/>
      <c r="K188" s="358"/>
      <c r="L188" s="358"/>
      <c r="M188" s="358"/>
      <c r="N188" s="358"/>
      <c r="O188" s="403">
        <v>32</v>
      </c>
      <c r="P188" s="403">
        <v>0</v>
      </c>
      <c r="Q188" s="358"/>
      <c r="R188" s="404">
        <f>O188+P188</f>
        <v>32</v>
      </c>
      <c r="S188" s="361"/>
      <c r="T188" s="348"/>
    </row>
    <row r="189" spans="1:20" s="349" customFormat="1" x14ac:dyDescent="0.3">
      <c r="A189" s="365"/>
      <c r="B189" s="358" t="s">
        <v>50</v>
      </c>
      <c r="C189" s="358"/>
      <c r="D189" s="358"/>
      <c r="E189" s="358"/>
      <c r="F189" s="358"/>
      <c r="G189" s="358"/>
      <c r="H189" s="358"/>
      <c r="I189" s="358"/>
      <c r="J189" s="358"/>
      <c r="K189" s="358"/>
      <c r="L189" s="358"/>
      <c r="M189" s="358"/>
      <c r="N189" s="358"/>
      <c r="O189" s="404">
        <f>O187+O188</f>
        <v>544</v>
      </c>
      <c r="P189" s="404">
        <f>P188+P187</f>
        <v>694</v>
      </c>
      <c r="Q189" s="358"/>
      <c r="R189" s="404">
        <f>O189+P189</f>
        <v>1238</v>
      </c>
      <c r="S189" s="361"/>
      <c r="T189" s="348"/>
    </row>
    <row r="190" spans="1:20" s="349" customFormat="1" x14ac:dyDescent="0.3">
      <c r="A190" s="365"/>
      <c r="B190" s="358" t="s">
        <v>51</v>
      </c>
      <c r="C190" s="358"/>
      <c r="D190" s="358"/>
      <c r="E190" s="358"/>
      <c r="F190" s="358"/>
      <c r="G190" s="358"/>
      <c r="H190" s="358"/>
      <c r="I190" s="358"/>
      <c r="J190" s="358"/>
      <c r="K190" s="358"/>
      <c r="L190" s="358"/>
      <c r="M190" s="358"/>
      <c r="N190" s="358"/>
      <c r="O190" s="404">
        <f>O186-O189-P189</f>
        <v>22762.720000000001</v>
      </c>
      <c r="P190" s="383"/>
      <c r="Q190" s="358"/>
      <c r="R190" s="404"/>
      <c r="S190" s="361"/>
      <c r="T190" s="348"/>
    </row>
    <row r="191" spans="1:20" ht="16.2" thickBot="1" x14ac:dyDescent="0.35">
      <c r="A191" s="249"/>
      <c r="B191" s="277"/>
      <c r="C191" s="277"/>
      <c r="D191" s="277"/>
      <c r="E191" s="277"/>
      <c r="F191" s="277"/>
      <c r="G191" s="277"/>
      <c r="H191" s="277"/>
      <c r="I191" s="277"/>
      <c r="J191" s="277"/>
      <c r="K191" s="277"/>
      <c r="L191" s="277"/>
      <c r="M191" s="277"/>
      <c r="N191" s="277"/>
      <c r="O191" s="277"/>
      <c r="P191" s="277"/>
      <c r="Q191" s="277"/>
      <c r="R191" s="297"/>
      <c r="S191" s="252"/>
      <c r="T191" s="247"/>
    </row>
    <row r="192" spans="1:20" x14ac:dyDescent="0.3">
      <c r="A192" s="244"/>
      <c r="B192" s="245"/>
      <c r="C192" s="245"/>
      <c r="D192" s="245"/>
      <c r="E192" s="245"/>
      <c r="F192" s="245"/>
      <c r="G192" s="245"/>
      <c r="H192" s="245"/>
      <c r="I192" s="245"/>
      <c r="J192" s="245"/>
      <c r="K192" s="245"/>
      <c r="L192" s="245"/>
      <c r="M192" s="245"/>
      <c r="N192" s="245"/>
      <c r="O192" s="245"/>
      <c r="P192" s="245"/>
      <c r="Q192" s="245"/>
      <c r="R192" s="301"/>
      <c r="S192" s="246"/>
      <c r="T192" s="247"/>
    </row>
    <row r="193" spans="1:20" x14ac:dyDescent="0.3">
      <c r="A193" s="249"/>
      <c r="B193" s="296" t="s">
        <v>52</v>
      </c>
      <c r="C193" s="251"/>
      <c r="D193" s="251"/>
      <c r="E193" s="251"/>
      <c r="F193" s="251"/>
      <c r="G193" s="251"/>
      <c r="H193" s="251"/>
      <c r="I193" s="251"/>
      <c r="J193" s="251"/>
      <c r="K193" s="251"/>
      <c r="L193" s="251"/>
      <c r="M193" s="251"/>
      <c r="N193" s="251"/>
      <c r="O193" s="251"/>
      <c r="P193" s="251"/>
      <c r="Q193" s="251"/>
      <c r="R193" s="310"/>
      <c r="S193" s="252"/>
      <c r="T193" s="247"/>
    </row>
    <row r="194" spans="1:20" s="349" customFormat="1" x14ac:dyDescent="0.3">
      <c r="A194" s="365"/>
      <c r="B194" s="358" t="s">
        <v>53</v>
      </c>
      <c r="C194" s="358"/>
      <c r="D194" s="358"/>
      <c r="E194" s="358"/>
      <c r="F194" s="358"/>
      <c r="G194" s="358"/>
      <c r="H194" s="358"/>
      <c r="I194" s="358"/>
      <c r="J194" s="358"/>
      <c r="K194" s="358"/>
      <c r="L194" s="358"/>
      <c r="M194" s="358"/>
      <c r="N194" s="358"/>
      <c r="O194" s="358"/>
      <c r="P194" s="358"/>
      <c r="Q194" s="358"/>
      <c r="R194" s="417">
        <f>(R100+R102+R103+R104+R105)/-(R106+R107)</f>
        <v>4.8977272727272725</v>
      </c>
      <c r="S194" s="361" t="s">
        <v>95</v>
      </c>
      <c r="T194" s="348"/>
    </row>
    <row r="195" spans="1:20" s="349" customFormat="1" x14ac:dyDescent="0.3">
      <c r="A195" s="365"/>
      <c r="B195" s="358" t="s">
        <v>54</v>
      </c>
      <c r="C195" s="358"/>
      <c r="D195" s="358"/>
      <c r="E195" s="358"/>
      <c r="F195" s="358"/>
      <c r="G195" s="358"/>
      <c r="H195" s="358"/>
      <c r="I195" s="358"/>
      <c r="J195" s="358"/>
      <c r="K195" s="358"/>
      <c r="L195" s="358"/>
      <c r="M195" s="358"/>
      <c r="N195" s="358"/>
      <c r="O195" s="358"/>
      <c r="P195" s="358"/>
      <c r="Q195" s="358"/>
      <c r="R195" s="418">
        <v>3.48</v>
      </c>
      <c r="S195" s="361" t="s">
        <v>95</v>
      </c>
      <c r="T195" s="348"/>
    </row>
    <row r="196" spans="1:20" s="349" customFormat="1" x14ac:dyDescent="0.3">
      <c r="A196" s="365"/>
      <c r="B196" s="358" t="s">
        <v>183</v>
      </c>
      <c r="C196" s="358"/>
      <c r="D196" s="358"/>
      <c r="E196" s="358"/>
      <c r="F196" s="358"/>
      <c r="G196" s="358"/>
      <c r="H196" s="358"/>
      <c r="I196" s="358"/>
      <c r="J196" s="358"/>
      <c r="K196" s="358"/>
      <c r="L196" s="358"/>
      <c r="M196" s="358"/>
      <c r="N196" s="358"/>
      <c r="O196" s="358"/>
      <c r="P196" s="358"/>
      <c r="Q196" s="358"/>
      <c r="R196" s="417">
        <f>(R100+R102+R103+R104+R105+R106+R107)/-(R108)</f>
        <v>18.709090909090911</v>
      </c>
      <c r="S196" s="361" t="s">
        <v>95</v>
      </c>
      <c r="T196" s="348"/>
    </row>
    <row r="197" spans="1:20" s="349" customFormat="1" x14ac:dyDescent="0.3">
      <c r="A197" s="365"/>
      <c r="B197" s="358" t="s">
        <v>184</v>
      </c>
      <c r="C197" s="358"/>
      <c r="D197" s="358"/>
      <c r="E197" s="358"/>
      <c r="F197" s="358"/>
      <c r="G197" s="358"/>
      <c r="H197" s="358"/>
      <c r="I197" s="358"/>
      <c r="J197" s="358"/>
      <c r="K197" s="358"/>
      <c r="L197" s="358"/>
      <c r="M197" s="358"/>
      <c r="N197" s="358"/>
      <c r="O197" s="358"/>
      <c r="P197" s="358"/>
      <c r="Q197" s="358"/>
      <c r="R197" s="418">
        <v>33.82</v>
      </c>
      <c r="S197" s="361" t="s">
        <v>95</v>
      </c>
      <c r="T197" s="348"/>
    </row>
    <row r="198" spans="1:20" s="349" customFormat="1" x14ac:dyDescent="0.3">
      <c r="A198" s="365"/>
      <c r="B198" s="358" t="s">
        <v>185</v>
      </c>
      <c r="C198" s="358"/>
      <c r="D198" s="358"/>
      <c r="E198" s="358"/>
      <c r="F198" s="358"/>
      <c r="G198" s="358"/>
      <c r="H198" s="358"/>
      <c r="I198" s="358"/>
      <c r="J198" s="358"/>
      <c r="K198" s="358"/>
      <c r="L198" s="358"/>
      <c r="M198" s="358"/>
      <c r="N198" s="358"/>
      <c r="O198" s="358"/>
      <c r="P198" s="358"/>
      <c r="Q198" s="358"/>
      <c r="R198" s="417">
        <f>(R100+R102+R103+R104+R105+R106+R107+R108)/-(R109)</f>
        <v>15.21875</v>
      </c>
      <c r="S198" s="361" t="s">
        <v>95</v>
      </c>
      <c r="T198" s="348"/>
    </row>
    <row r="199" spans="1:20" s="349" customFormat="1" x14ac:dyDescent="0.3">
      <c r="A199" s="365"/>
      <c r="B199" s="358" t="s">
        <v>186</v>
      </c>
      <c r="C199" s="358"/>
      <c r="D199" s="358"/>
      <c r="E199" s="358"/>
      <c r="F199" s="358"/>
      <c r="G199" s="358"/>
      <c r="H199" s="358"/>
      <c r="I199" s="358"/>
      <c r="J199" s="358"/>
      <c r="K199" s="358"/>
      <c r="L199" s="358"/>
      <c r="M199" s="358"/>
      <c r="N199" s="358"/>
      <c r="O199" s="358"/>
      <c r="P199" s="358"/>
      <c r="Q199" s="358"/>
      <c r="R199" s="418">
        <v>28.14</v>
      </c>
      <c r="S199" s="361" t="s">
        <v>95</v>
      </c>
      <c r="T199" s="348"/>
    </row>
    <row r="200" spans="1:20" s="349" customFormat="1" x14ac:dyDescent="0.3">
      <c r="A200" s="365"/>
      <c r="B200" s="358" t="s">
        <v>257</v>
      </c>
      <c r="C200" s="358"/>
      <c r="D200" s="358"/>
      <c r="E200" s="358"/>
      <c r="F200" s="358"/>
      <c r="G200" s="358"/>
      <c r="H200" s="358"/>
      <c r="I200" s="358"/>
      <c r="J200" s="358"/>
      <c r="K200" s="358"/>
      <c r="L200" s="358"/>
      <c r="M200" s="358"/>
      <c r="N200" s="358"/>
      <c r="O200" s="358"/>
      <c r="P200" s="358"/>
      <c r="Q200" s="358"/>
      <c r="R200" s="417">
        <f>(R100+R102+R103+R104+R105+R106+R107+R108+R109+R110+R111+R112+R113+R114)/-(R115)</f>
        <v>19.347826086956523</v>
      </c>
      <c r="S200" s="361" t="s">
        <v>95</v>
      </c>
      <c r="T200" s="348"/>
    </row>
    <row r="201" spans="1:20" s="349" customFormat="1" x14ac:dyDescent="0.3">
      <c r="A201" s="365"/>
      <c r="B201" s="358" t="s">
        <v>258</v>
      </c>
      <c r="C201" s="358"/>
      <c r="D201" s="358"/>
      <c r="E201" s="358"/>
      <c r="F201" s="358"/>
      <c r="G201" s="358"/>
      <c r="H201" s="358"/>
      <c r="I201" s="358"/>
      <c r="J201" s="358"/>
      <c r="K201" s="358"/>
      <c r="L201" s="358"/>
      <c r="M201" s="358"/>
      <c r="N201" s="358"/>
      <c r="O201" s="358"/>
      <c r="P201" s="358"/>
      <c r="Q201" s="358"/>
      <c r="R201" s="418">
        <v>36.82</v>
      </c>
      <c r="S201" s="361" t="s">
        <v>95</v>
      </c>
      <c r="T201" s="348"/>
    </row>
    <row r="202" spans="1:20" s="349" customFormat="1" x14ac:dyDescent="0.3">
      <c r="A202" s="365"/>
      <c r="B202" s="358"/>
      <c r="C202" s="358"/>
      <c r="D202" s="358"/>
      <c r="E202" s="358"/>
      <c r="F202" s="358"/>
      <c r="G202" s="358"/>
      <c r="H202" s="358"/>
      <c r="I202" s="358"/>
      <c r="J202" s="358"/>
      <c r="K202" s="358"/>
      <c r="L202" s="358"/>
      <c r="M202" s="358"/>
      <c r="N202" s="358"/>
      <c r="O202" s="358"/>
      <c r="P202" s="358"/>
      <c r="Q202" s="358"/>
      <c r="R202" s="358"/>
      <c r="S202" s="361"/>
      <c r="T202" s="348"/>
    </row>
    <row r="203" spans="1:20" s="349" customFormat="1" x14ac:dyDescent="0.3">
      <c r="A203" s="344"/>
      <c r="B203" s="393"/>
      <c r="C203" s="393"/>
      <c r="D203" s="393"/>
      <c r="E203" s="393"/>
      <c r="F203" s="393"/>
      <c r="G203" s="393"/>
      <c r="H203" s="393"/>
      <c r="I203" s="393"/>
      <c r="J203" s="393"/>
      <c r="K203" s="393"/>
      <c r="L203" s="393"/>
      <c r="M203" s="393"/>
      <c r="N203" s="393"/>
      <c r="O203" s="393"/>
      <c r="P203" s="393"/>
      <c r="Q203" s="393"/>
      <c r="R203" s="393"/>
      <c r="S203" s="347"/>
      <c r="T203" s="348"/>
    </row>
    <row r="204" spans="1:20" s="349" customFormat="1" x14ac:dyDescent="0.3">
      <c r="A204" s="344"/>
      <c r="B204" s="346"/>
      <c r="C204" s="346"/>
      <c r="D204" s="346"/>
      <c r="E204" s="346"/>
      <c r="F204" s="346"/>
      <c r="G204" s="346"/>
      <c r="H204" s="346"/>
      <c r="I204" s="346"/>
      <c r="J204" s="346"/>
      <c r="K204" s="346"/>
      <c r="L204" s="346"/>
      <c r="M204" s="346"/>
      <c r="N204" s="346"/>
      <c r="O204" s="346"/>
      <c r="P204" s="346"/>
      <c r="Q204" s="346"/>
      <c r="R204" s="346"/>
      <c r="S204" s="347"/>
      <c r="T204" s="348"/>
    </row>
    <row r="205" spans="1:20" s="349" customFormat="1" ht="18.600000000000001" thickBot="1" x14ac:dyDescent="0.4">
      <c r="A205" s="398"/>
      <c r="B205" s="399" t="str">
        <f>B132</f>
        <v>PM22 INVESTOR REPORT QUARTER ENDING FEBRUARY 2018</v>
      </c>
      <c r="C205" s="400"/>
      <c r="D205" s="400"/>
      <c r="E205" s="400"/>
      <c r="F205" s="400"/>
      <c r="G205" s="400"/>
      <c r="H205" s="400"/>
      <c r="I205" s="400"/>
      <c r="J205" s="400"/>
      <c r="K205" s="400"/>
      <c r="L205" s="400"/>
      <c r="M205" s="400"/>
      <c r="N205" s="400"/>
      <c r="O205" s="400"/>
      <c r="P205" s="400"/>
      <c r="Q205" s="400"/>
      <c r="R205" s="400"/>
      <c r="S205" s="402"/>
      <c r="T205" s="348"/>
    </row>
    <row r="206" spans="1:20" x14ac:dyDescent="0.3">
      <c r="A206" s="456"/>
      <c r="B206" s="457" t="s">
        <v>55</v>
      </c>
      <c r="C206" s="461"/>
      <c r="D206" s="462"/>
      <c r="E206" s="462"/>
      <c r="F206" s="462"/>
      <c r="G206" s="462"/>
      <c r="H206" s="462"/>
      <c r="I206" s="462"/>
      <c r="J206" s="462"/>
      <c r="K206" s="462"/>
      <c r="L206" s="462"/>
      <c r="M206" s="462"/>
      <c r="N206" s="462"/>
      <c r="O206" s="462"/>
      <c r="P206" s="462">
        <v>43159</v>
      </c>
      <c r="Q206" s="458"/>
      <c r="R206" s="458"/>
      <c r="S206" s="460"/>
      <c r="T206" s="247"/>
    </row>
    <row r="207" spans="1:20" x14ac:dyDescent="0.3">
      <c r="A207" s="312"/>
      <c r="B207" s="313"/>
      <c r="C207" s="314"/>
      <c r="D207" s="315"/>
      <c r="E207" s="315"/>
      <c r="F207" s="315"/>
      <c r="G207" s="315"/>
      <c r="H207" s="315"/>
      <c r="I207" s="315"/>
      <c r="J207" s="315"/>
      <c r="K207" s="315"/>
      <c r="L207" s="315"/>
      <c r="M207" s="315"/>
      <c r="N207" s="315"/>
      <c r="O207" s="315"/>
      <c r="P207" s="315"/>
      <c r="Q207" s="251"/>
      <c r="R207" s="251"/>
      <c r="S207" s="252"/>
      <c r="T207" s="247"/>
    </row>
    <row r="208" spans="1:20" s="349" customFormat="1" x14ac:dyDescent="0.3">
      <c r="A208" s="365"/>
      <c r="B208" s="358" t="s">
        <v>56</v>
      </c>
      <c r="C208" s="419"/>
      <c r="D208" s="387"/>
      <c r="E208" s="387"/>
      <c r="F208" s="387"/>
      <c r="G208" s="387"/>
      <c r="H208" s="387"/>
      <c r="I208" s="387"/>
      <c r="J208" s="387"/>
      <c r="K208" s="387"/>
      <c r="L208" s="387"/>
      <c r="M208" s="387"/>
      <c r="N208" s="387"/>
      <c r="O208" s="387"/>
      <c r="P208" s="379">
        <v>4.079E-2</v>
      </c>
      <c r="Q208" s="358"/>
      <c r="R208" s="358"/>
      <c r="S208" s="361"/>
      <c r="T208" s="348"/>
    </row>
    <row r="209" spans="1:20" s="349" customFormat="1" x14ac:dyDescent="0.3">
      <c r="A209" s="365"/>
      <c r="B209" s="358" t="s">
        <v>158</v>
      </c>
      <c r="C209" s="419"/>
      <c r="D209" s="387"/>
      <c r="E209" s="387"/>
      <c r="F209" s="387"/>
      <c r="G209" s="387"/>
      <c r="H209" s="387"/>
      <c r="I209" s="387"/>
      <c r="J209" s="387"/>
      <c r="K209" s="387"/>
      <c r="L209" s="387"/>
      <c r="M209" s="387"/>
      <c r="N209" s="387"/>
      <c r="O209" s="387"/>
      <c r="P209" s="379">
        <v>1.5340718167454973E-2</v>
      </c>
      <c r="Q209" s="358"/>
      <c r="R209" s="358"/>
      <c r="S209" s="361"/>
      <c r="T209" s="348"/>
    </row>
    <row r="210" spans="1:20" s="349" customFormat="1" x14ac:dyDescent="0.3">
      <c r="A210" s="365"/>
      <c r="B210" s="358" t="s">
        <v>57</v>
      </c>
      <c r="C210" s="419"/>
      <c r="D210" s="387"/>
      <c r="E210" s="387"/>
      <c r="F210" s="387"/>
      <c r="G210" s="387"/>
      <c r="H210" s="387"/>
      <c r="I210" s="387"/>
      <c r="J210" s="387"/>
      <c r="K210" s="387"/>
      <c r="L210" s="387"/>
      <c r="M210" s="387"/>
      <c r="N210" s="387"/>
      <c r="O210" s="387"/>
      <c r="P210" s="379">
        <f>P208-P209</f>
        <v>2.5449281832545027E-2</v>
      </c>
      <c r="Q210" s="358"/>
      <c r="R210" s="358"/>
      <c r="S210" s="361"/>
      <c r="T210" s="348"/>
    </row>
    <row r="211" spans="1:20" s="349" customFormat="1" x14ac:dyDescent="0.3">
      <c r="A211" s="365"/>
      <c r="B211" s="358" t="s">
        <v>161</v>
      </c>
      <c r="C211" s="419"/>
      <c r="D211" s="387"/>
      <c r="E211" s="387"/>
      <c r="F211" s="387"/>
      <c r="G211" s="387"/>
      <c r="H211" s="387"/>
      <c r="I211" s="387"/>
      <c r="J211" s="387"/>
      <c r="K211" s="387"/>
      <c r="L211" s="387"/>
      <c r="M211" s="387"/>
      <c r="N211" s="387"/>
      <c r="O211" s="387"/>
      <c r="P211" s="379">
        <v>4.5161899999999998E-2</v>
      </c>
      <c r="Q211" s="358"/>
      <c r="R211" s="358"/>
      <c r="S211" s="361"/>
      <c r="T211" s="348"/>
    </row>
    <row r="212" spans="1:20" s="349" customFormat="1" x14ac:dyDescent="0.3">
      <c r="A212" s="365"/>
      <c r="B212" s="358" t="s">
        <v>58</v>
      </c>
      <c r="C212" s="419"/>
      <c r="D212" s="387"/>
      <c r="E212" s="387"/>
      <c r="F212" s="387"/>
      <c r="G212" s="387"/>
      <c r="H212" s="387"/>
      <c r="I212" s="387"/>
      <c r="J212" s="387"/>
      <c r="K212" s="387"/>
      <c r="L212" s="387"/>
      <c r="M212" s="387"/>
      <c r="N212" s="387"/>
      <c r="O212" s="387"/>
      <c r="P212" s="379">
        <v>4.8039999999999999E-2</v>
      </c>
      <c r="Q212" s="358"/>
      <c r="R212" s="358"/>
      <c r="S212" s="361"/>
      <c r="T212" s="348"/>
    </row>
    <row r="213" spans="1:20" s="349" customFormat="1" x14ac:dyDescent="0.3">
      <c r="A213" s="365"/>
      <c r="B213" s="358" t="s">
        <v>159</v>
      </c>
      <c r="C213" s="419"/>
      <c r="D213" s="387"/>
      <c r="E213" s="387"/>
      <c r="F213" s="387"/>
      <c r="G213" s="387"/>
      <c r="H213" s="387"/>
      <c r="I213" s="387"/>
      <c r="J213" s="387"/>
      <c r="K213" s="387"/>
      <c r="L213" s="387"/>
      <c r="M213" s="387"/>
      <c r="N213" s="387"/>
      <c r="O213" s="387"/>
      <c r="P213" s="379">
        <f>R40</f>
        <v>1.6312831560162468E-2</v>
      </c>
      <c r="Q213" s="358"/>
      <c r="R213" s="358"/>
      <c r="S213" s="361"/>
      <c r="T213" s="348"/>
    </row>
    <row r="214" spans="1:20" s="349" customFormat="1" x14ac:dyDescent="0.3">
      <c r="A214" s="365"/>
      <c r="B214" s="358" t="s">
        <v>59</v>
      </c>
      <c r="C214" s="419"/>
      <c r="D214" s="387"/>
      <c r="E214" s="387"/>
      <c r="F214" s="387"/>
      <c r="G214" s="387"/>
      <c r="H214" s="387"/>
      <c r="I214" s="387"/>
      <c r="J214" s="387"/>
      <c r="K214" s="387"/>
      <c r="L214" s="387"/>
      <c r="M214" s="387"/>
      <c r="N214" s="387"/>
      <c r="O214" s="387"/>
      <c r="P214" s="379">
        <f>P212-P213</f>
        <v>3.1727168439837528E-2</v>
      </c>
      <c r="Q214" s="358"/>
      <c r="R214" s="358"/>
      <c r="S214" s="361"/>
      <c r="T214" s="348"/>
    </row>
    <row r="215" spans="1:20" s="349" customFormat="1" x14ac:dyDescent="0.3">
      <c r="A215" s="365"/>
      <c r="B215" s="358" t="s">
        <v>139</v>
      </c>
      <c r="C215" s="419"/>
      <c r="D215" s="387"/>
      <c r="E215" s="387"/>
      <c r="F215" s="387"/>
      <c r="G215" s="387"/>
      <c r="H215" s="387"/>
      <c r="I215" s="387"/>
      <c r="J215" s="387"/>
      <c r="K215" s="387"/>
      <c r="L215" s="387"/>
      <c r="M215" s="387"/>
      <c r="N215" s="387"/>
      <c r="O215" s="387"/>
      <c r="P215" s="379">
        <f>(+R100+R102)/H80</f>
        <v>1.2915664454781135E-2</v>
      </c>
      <c r="Q215" s="358"/>
      <c r="R215" s="358"/>
      <c r="S215" s="361"/>
      <c r="T215" s="348"/>
    </row>
    <row r="216" spans="1:20" s="349" customFormat="1" x14ac:dyDescent="0.3">
      <c r="A216" s="365"/>
      <c r="B216" s="358" t="s">
        <v>132</v>
      </c>
      <c r="C216" s="419"/>
      <c r="D216" s="387"/>
      <c r="E216" s="387"/>
      <c r="F216" s="387"/>
      <c r="G216" s="387"/>
      <c r="H216" s="387"/>
      <c r="I216" s="387"/>
      <c r="J216" s="387"/>
      <c r="K216" s="387"/>
      <c r="L216" s="387"/>
      <c r="M216" s="387"/>
      <c r="N216" s="387"/>
      <c r="O216" s="387"/>
      <c r="P216" s="420">
        <v>52124</v>
      </c>
      <c r="Q216" s="358"/>
      <c r="R216" s="358"/>
      <c r="S216" s="361"/>
      <c r="T216" s="348"/>
    </row>
    <row r="217" spans="1:20" s="349" customFormat="1" x14ac:dyDescent="0.3">
      <c r="A217" s="365"/>
      <c r="B217" s="358" t="s">
        <v>187</v>
      </c>
      <c r="C217" s="419"/>
      <c r="D217" s="387"/>
      <c r="E217" s="387"/>
      <c r="F217" s="387"/>
      <c r="G217" s="387"/>
      <c r="H217" s="387"/>
      <c r="I217" s="387"/>
      <c r="J217" s="387"/>
      <c r="K217" s="387"/>
      <c r="L217" s="387"/>
      <c r="M217" s="387"/>
      <c r="N217" s="387"/>
      <c r="O217" s="387"/>
      <c r="P217" s="420">
        <v>15599</v>
      </c>
      <c r="Q217" s="358"/>
      <c r="R217" s="358"/>
      <c r="S217" s="361"/>
      <c r="T217" s="348"/>
    </row>
    <row r="218" spans="1:20" s="349" customFormat="1" x14ac:dyDescent="0.3">
      <c r="A218" s="365"/>
      <c r="B218" s="358" t="s">
        <v>188</v>
      </c>
      <c r="C218" s="419"/>
      <c r="D218" s="387"/>
      <c r="E218" s="387"/>
      <c r="F218" s="387"/>
      <c r="G218" s="387"/>
      <c r="H218" s="387"/>
      <c r="I218" s="387"/>
      <c r="J218" s="387"/>
      <c r="K218" s="387"/>
      <c r="L218" s="387"/>
      <c r="M218" s="387"/>
      <c r="N218" s="387"/>
      <c r="O218" s="387"/>
      <c r="P218" s="420">
        <v>15599</v>
      </c>
      <c r="Q218" s="358"/>
      <c r="R218" s="358"/>
      <c r="S218" s="361"/>
      <c r="T218" s="348"/>
    </row>
    <row r="219" spans="1:20" s="349" customFormat="1" x14ac:dyDescent="0.3">
      <c r="A219" s="365"/>
      <c r="B219" s="358" t="s">
        <v>259</v>
      </c>
      <c r="C219" s="419"/>
      <c r="D219" s="387"/>
      <c r="E219" s="387"/>
      <c r="F219" s="387"/>
      <c r="G219" s="387"/>
      <c r="H219" s="387"/>
      <c r="I219" s="387"/>
      <c r="J219" s="387"/>
      <c r="K219" s="387"/>
      <c r="L219" s="387"/>
      <c r="M219" s="387"/>
      <c r="N219" s="387"/>
      <c r="O219" s="387"/>
      <c r="P219" s="420">
        <v>15599</v>
      </c>
      <c r="Q219" s="358"/>
      <c r="R219" s="358"/>
      <c r="S219" s="361"/>
      <c r="T219" s="348"/>
    </row>
    <row r="220" spans="1:20" s="349" customFormat="1" x14ac:dyDescent="0.3">
      <c r="A220" s="365"/>
      <c r="B220" s="358" t="s">
        <v>60</v>
      </c>
      <c r="C220" s="419"/>
      <c r="D220" s="387"/>
      <c r="E220" s="387"/>
      <c r="F220" s="387"/>
      <c r="G220" s="387"/>
      <c r="H220" s="387"/>
      <c r="I220" s="387"/>
      <c r="J220" s="387"/>
      <c r="K220" s="387"/>
      <c r="L220" s="387"/>
      <c r="M220" s="387"/>
      <c r="N220" s="387"/>
      <c r="O220" s="387"/>
      <c r="P220" s="385">
        <v>20.55</v>
      </c>
      <c r="Q220" s="358" t="s">
        <v>90</v>
      </c>
      <c r="R220" s="358"/>
      <c r="S220" s="361"/>
      <c r="T220" s="348"/>
    </row>
    <row r="221" spans="1:20" s="349" customFormat="1" x14ac:dyDescent="0.3">
      <c r="A221" s="365"/>
      <c r="B221" s="358" t="s">
        <v>61</v>
      </c>
      <c r="C221" s="419"/>
      <c r="D221" s="387"/>
      <c r="E221" s="387"/>
      <c r="F221" s="387"/>
      <c r="G221" s="387"/>
      <c r="H221" s="387"/>
      <c r="I221" s="387"/>
      <c r="J221" s="387"/>
      <c r="K221" s="387"/>
      <c r="L221" s="387"/>
      <c r="M221" s="387"/>
      <c r="N221" s="387"/>
      <c r="O221" s="387"/>
      <c r="P221" s="385">
        <v>17.690000000000001</v>
      </c>
      <c r="Q221" s="358" t="s">
        <v>90</v>
      </c>
      <c r="R221" s="358"/>
      <c r="S221" s="361"/>
      <c r="T221" s="348"/>
    </row>
    <row r="222" spans="1:20" s="349" customFormat="1" x14ac:dyDescent="0.3">
      <c r="A222" s="365"/>
      <c r="B222" s="358" t="s">
        <v>62</v>
      </c>
      <c r="C222" s="419"/>
      <c r="D222" s="387"/>
      <c r="E222" s="387"/>
      <c r="F222" s="387"/>
      <c r="G222" s="387"/>
      <c r="H222" s="387"/>
      <c r="I222" s="387"/>
      <c r="J222" s="387"/>
      <c r="K222" s="387"/>
      <c r="L222" s="387"/>
      <c r="M222" s="387"/>
      <c r="N222" s="387"/>
      <c r="O222" s="387"/>
      <c r="P222" s="379">
        <f>(+J64+L64+P64)/H64</f>
        <v>0.13978866978015292</v>
      </c>
      <c r="Q222" s="358"/>
      <c r="R222" s="358"/>
      <c r="S222" s="361"/>
      <c r="T222" s="348"/>
    </row>
    <row r="223" spans="1:20" s="349" customFormat="1" x14ac:dyDescent="0.3">
      <c r="A223" s="365"/>
      <c r="B223" s="358" t="s">
        <v>63</v>
      </c>
      <c r="C223" s="419"/>
      <c r="D223" s="387"/>
      <c r="E223" s="387"/>
      <c r="F223" s="387"/>
      <c r="G223" s="387"/>
      <c r="H223" s="387"/>
      <c r="I223" s="387"/>
      <c r="J223" s="387"/>
      <c r="K223" s="387"/>
      <c r="L223" s="387"/>
      <c r="M223" s="387"/>
      <c r="N223" s="387"/>
      <c r="O223" s="387"/>
      <c r="P223" s="379">
        <v>0.3271</v>
      </c>
      <c r="Q223" s="358"/>
      <c r="R223" s="358"/>
      <c r="S223" s="361"/>
      <c r="T223" s="348"/>
    </row>
    <row r="224" spans="1:20" x14ac:dyDescent="0.3">
      <c r="A224" s="312"/>
      <c r="B224" s="316"/>
      <c r="C224" s="316"/>
      <c r="D224" s="277"/>
      <c r="E224" s="277"/>
      <c r="F224" s="277"/>
      <c r="G224" s="277"/>
      <c r="H224" s="277"/>
      <c r="I224" s="277"/>
      <c r="J224" s="277"/>
      <c r="K224" s="277"/>
      <c r="L224" s="277"/>
      <c r="M224" s="277"/>
      <c r="N224" s="277"/>
      <c r="O224" s="277"/>
      <c r="P224" s="297"/>
      <c r="Q224" s="277"/>
      <c r="R224" s="317"/>
      <c r="S224" s="252"/>
      <c r="T224" s="247"/>
    </row>
    <row r="225" spans="1:20" x14ac:dyDescent="0.3">
      <c r="A225" s="463"/>
      <c r="B225" s="452" t="s">
        <v>64</v>
      </c>
      <c r="C225" s="453"/>
      <c r="D225" s="453"/>
      <c r="E225" s="453"/>
      <c r="F225" s="453"/>
      <c r="G225" s="453"/>
      <c r="H225" s="453"/>
      <c r="I225" s="453"/>
      <c r="J225" s="453"/>
      <c r="K225" s="453"/>
      <c r="L225" s="453"/>
      <c r="M225" s="453"/>
      <c r="N225" s="453"/>
      <c r="O225" s="453" t="s">
        <v>83</v>
      </c>
      <c r="P225" s="469" t="s">
        <v>88</v>
      </c>
      <c r="Q225" s="447"/>
      <c r="R225" s="447"/>
      <c r="S225" s="445"/>
      <c r="T225" s="247"/>
    </row>
    <row r="226" spans="1:20" s="349" customFormat="1" x14ac:dyDescent="0.3">
      <c r="A226" s="464"/>
      <c r="B226" s="393" t="s">
        <v>65</v>
      </c>
      <c r="C226" s="408"/>
      <c r="D226" s="465"/>
      <c r="E226" s="465"/>
      <c r="F226" s="465"/>
      <c r="G226" s="465"/>
      <c r="H226" s="465"/>
      <c r="I226" s="465"/>
      <c r="J226" s="465"/>
      <c r="K226" s="465"/>
      <c r="L226" s="465"/>
      <c r="M226" s="465"/>
      <c r="N226" s="465"/>
      <c r="O226" s="465">
        <v>0</v>
      </c>
      <c r="P226" s="466">
        <v>0</v>
      </c>
      <c r="Q226" s="393"/>
      <c r="R226" s="467"/>
      <c r="S226" s="468"/>
      <c r="T226" s="348"/>
    </row>
    <row r="227" spans="1:20" s="349" customFormat="1" x14ac:dyDescent="0.3">
      <c r="A227" s="421"/>
      <c r="B227" s="358" t="s">
        <v>113</v>
      </c>
      <c r="C227" s="403"/>
      <c r="D227" s="366"/>
      <c r="E227" s="366"/>
      <c r="F227" s="366"/>
      <c r="G227" s="366"/>
      <c r="H227" s="366"/>
      <c r="I227" s="366"/>
      <c r="J227" s="366"/>
      <c r="K227" s="366"/>
      <c r="L227" s="366"/>
      <c r="M227" s="366"/>
      <c r="N227" s="366"/>
      <c r="O227" s="422">
        <f>+N279</f>
        <v>1</v>
      </c>
      <c r="P227" s="423">
        <f>+P279</f>
        <v>385</v>
      </c>
      <c r="Q227" s="358"/>
      <c r="R227" s="424"/>
      <c r="S227" s="425"/>
      <c r="T227" s="348"/>
    </row>
    <row r="228" spans="1:20" s="349" customFormat="1" x14ac:dyDescent="0.3">
      <c r="A228" s="421"/>
      <c r="B228" s="358" t="s">
        <v>66</v>
      </c>
      <c r="C228" s="403"/>
      <c r="D228" s="366"/>
      <c r="E228" s="366"/>
      <c r="F228" s="366"/>
      <c r="G228" s="366"/>
      <c r="H228" s="366"/>
      <c r="I228" s="366"/>
      <c r="J228" s="366"/>
      <c r="K228" s="366"/>
      <c r="L228" s="366"/>
      <c r="M228" s="366"/>
      <c r="N228" s="366"/>
      <c r="O228" s="422">
        <f>+N291</f>
        <v>0</v>
      </c>
      <c r="P228" s="423">
        <f>+P291</f>
        <v>0</v>
      </c>
      <c r="Q228" s="358"/>
      <c r="R228" s="424"/>
      <c r="S228" s="425"/>
      <c r="T228" s="348"/>
    </row>
    <row r="229" spans="1:20" x14ac:dyDescent="0.3">
      <c r="A229" s="318"/>
      <c r="B229" s="266" t="s">
        <v>284</v>
      </c>
      <c r="C229" s="321"/>
      <c r="D229" s="291"/>
      <c r="E229" s="291"/>
      <c r="F229" s="291"/>
      <c r="G229" s="291"/>
      <c r="H229" s="291"/>
      <c r="I229" s="291"/>
      <c r="J229" s="291"/>
      <c r="K229" s="291"/>
      <c r="L229" s="291"/>
      <c r="M229" s="291"/>
      <c r="N229" s="291"/>
      <c r="O229" s="263"/>
      <c r="P229" s="423">
        <f>+P64</f>
        <v>9526</v>
      </c>
      <c r="Q229" s="291"/>
      <c r="R229" s="322"/>
      <c r="S229" s="320"/>
      <c r="T229" s="247"/>
    </row>
    <row r="230" spans="1:20" x14ac:dyDescent="0.3">
      <c r="A230" s="318"/>
      <c r="B230" s="266" t="s">
        <v>140</v>
      </c>
      <c r="C230" s="321"/>
      <c r="D230" s="291"/>
      <c r="E230" s="291"/>
      <c r="F230" s="291"/>
      <c r="G230" s="291"/>
      <c r="H230" s="291"/>
      <c r="I230" s="291"/>
      <c r="J230" s="291"/>
      <c r="K230" s="291"/>
      <c r="L230" s="291"/>
      <c r="M230" s="291"/>
      <c r="N230" s="291"/>
      <c r="O230" s="263"/>
      <c r="P230" s="423">
        <f>-J77</f>
        <v>0</v>
      </c>
      <c r="Q230" s="291"/>
      <c r="R230" s="322"/>
      <c r="S230" s="320"/>
      <c r="T230" s="247"/>
    </row>
    <row r="231" spans="1:20" x14ac:dyDescent="0.3">
      <c r="A231" s="323"/>
      <c r="B231" s="266" t="s">
        <v>67</v>
      </c>
      <c r="C231" s="324"/>
      <c r="D231" s="291"/>
      <c r="E231" s="291"/>
      <c r="F231" s="291"/>
      <c r="G231" s="291"/>
      <c r="H231" s="291"/>
      <c r="I231" s="291"/>
      <c r="J231" s="291"/>
      <c r="K231" s="291"/>
      <c r="L231" s="291"/>
      <c r="M231" s="291"/>
      <c r="N231" s="291"/>
      <c r="O231" s="263"/>
      <c r="P231" s="319"/>
      <c r="Q231" s="291"/>
      <c r="R231" s="322"/>
      <c r="S231" s="325"/>
      <c r="T231" s="247"/>
    </row>
    <row r="232" spans="1:20" s="349" customFormat="1" x14ac:dyDescent="0.3">
      <c r="A232" s="426"/>
      <c r="B232" s="358" t="s">
        <v>68</v>
      </c>
      <c r="C232" s="358"/>
      <c r="D232" s="358"/>
      <c r="E232" s="358"/>
      <c r="F232" s="358"/>
      <c r="G232" s="358"/>
      <c r="H232" s="358"/>
      <c r="I232" s="358"/>
      <c r="J232" s="358"/>
      <c r="K232" s="358"/>
      <c r="L232" s="358"/>
      <c r="M232" s="358"/>
      <c r="N232" s="358"/>
      <c r="O232" s="366"/>
      <c r="P232" s="423">
        <f>R162</f>
        <v>0</v>
      </c>
      <c r="Q232" s="358"/>
      <c r="R232" s="424"/>
      <c r="S232" s="427"/>
      <c r="T232" s="348"/>
    </row>
    <row r="233" spans="1:20" s="349" customFormat="1" x14ac:dyDescent="0.3">
      <c r="A233" s="421"/>
      <c r="B233" s="358" t="s">
        <v>69</v>
      </c>
      <c r="C233" s="403"/>
      <c r="D233" s="358"/>
      <c r="E233" s="358"/>
      <c r="F233" s="358"/>
      <c r="G233" s="358"/>
      <c r="H233" s="358"/>
      <c r="I233" s="358"/>
      <c r="J233" s="358"/>
      <c r="K233" s="358"/>
      <c r="L233" s="358"/>
      <c r="M233" s="358"/>
      <c r="N233" s="358"/>
      <c r="O233" s="366"/>
      <c r="P233" s="423">
        <f>'Nov 17'!P233+P232</f>
        <v>0</v>
      </c>
      <c r="Q233" s="358"/>
      <c r="R233" s="424"/>
      <c r="S233" s="427"/>
      <c r="T233" s="348"/>
    </row>
    <row r="234" spans="1:20" x14ac:dyDescent="0.3">
      <c r="A234" s="323"/>
      <c r="B234" s="266" t="s">
        <v>151</v>
      </c>
      <c r="C234" s="324"/>
      <c r="D234" s="291"/>
      <c r="E234" s="291"/>
      <c r="F234" s="291"/>
      <c r="G234" s="291"/>
      <c r="H234" s="291"/>
      <c r="I234" s="291"/>
      <c r="J234" s="291"/>
      <c r="K234" s="291"/>
      <c r="L234" s="291"/>
      <c r="M234" s="291"/>
      <c r="N234" s="291"/>
      <c r="O234" s="264"/>
      <c r="P234" s="319"/>
      <c r="Q234" s="291"/>
      <c r="R234" s="322"/>
      <c r="S234" s="325"/>
      <c r="T234" s="247"/>
    </row>
    <row r="235" spans="1:20" s="349" customFormat="1" x14ac:dyDescent="0.3">
      <c r="A235" s="426"/>
      <c r="B235" s="358" t="s">
        <v>160</v>
      </c>
      <c r="C235" s="358"/>
      <c r="D235" s="358"/>
      <c r="E235" s="358"/>
      <c r="F235" s="358"/>
      <c r="G235" s="358"/>
      <c r="H235" s="358"/>
      <c r="I235" s="358"/>
      <c r="J235" s="358"/>
      <c r="K235" s="358"/>
      <c r="L235" s="358"/>
      <c r="M235" s="358"/>
      <c r="N235" s="358"/>
      <c r="O235" s="366">
        <v>0</v>
      </c>
      <c r="P235" s="423">
        <v>0</v>
      </c>
      <c r="Q235" s="358"/>
      <c r="R235" s="424"/>
      <c r="S235" s="427"/>
      <c r="T235" s="348"/>
    </row>
    <row r="236" spans="1:20" s="349" customFormat="1" x14ac:dyDescent="0.3">
      <c r="A236" s="421"/>
      <c r="B236" s="358" t="s">
        <v>70</v>
      </c>
      <c r="C236" s="383"/>
      <c r="D236" s="358"/>
      <c r="E236" s="358"/>
      <c r="F236" s="358"/>
      <c r="G236" s="358"/>
      <c r="H236" s="358"/>
      <c r="I236" s="358"/>
      <c r="J236" s="358"/>
      <c r="K236" s="358"/>
      <c r="L236" s="358"/>
      <c r="M236" s="358"/>
      <c r="N236" s="358"/>
      <c r="O236" s="358"/>
      <c r="P236" s="428">
        <v>0</v>
      </c>
      <c r="Q236" s="358"/>
      <c r="R236" s="424"/>
      <c r="S236" s="427"/>
      <c r="T236" s="348"/>
    </row>
    <row r="237" spans="1:20" s="349" customFormat="1" x14ac:dyDescent="0.3">
      <c r="A237" s="421"/>
      <c r="B237" s="358" t="s">
        <v>71</v>
      </c>
      <c r="C237" s="383"/>
      <c r="D237" s="358"/>
      <c r="E237" s="358"/>
      <c r="F237" s="358"/>
      <c r="G237" s="358"/>
      <c r="H237" s="358"/>
      <c r="I237" s="358"/>
      <c r="J237" s="358"/>
      <c r="K237" s="358"/>
      <c r="L237" s="358"/>
      <c r="M237" s="358"/>
      <c r="N237" s="358"/>
      <c r="O237" s="358"/>
      <c r="P237" s="428">
        <v>0</v>
      </c>
      <c r="Q237" s="358"/>
      <c r="R237" s="424"/>
      <c r="S237" s="427"/>
      <c r="T237" s="348"/>
    </row>
    <row r="238" spans="1:20" x14ac:dyDescent="0.3">
      <c r="A238" s="318"/>
      <c r="B238" s="266" t="s">
        <v>136</v>
      </c>
      <c r="C238" s="326"/>
      <c r="D238" s="291"/>
      <c r="E238" s="291"/>
      <c r="F238" s="291"/>
      <c r="G238" s="291"/>
      <c r="H238" s="291"/>
      <c r="I238" s="291"/>
      <c r="J238" s="291"/>
      <c r="K238" s="291"/>
      <c r="L238" s="291"/>
      <c r="M238" s="291"/>
      <c r="N238" s="291"/>
      <c r="O238" s="263"/>
      <c r="P238" s="327"/>
      <c r="Q238" s="291"/>
      <c r="R238" s="322"/>
      <c r="S238" s="325"/>
      <c r="T238" s="247"/>
    </row>
    <row r="239" spans="1:20" s="349" customFormat="1" x14ac:dyDescent="0.3">
      <c r="A239" s="421"/>
      <c r="B239" s="358" t="s">
        <v>160</v>
      </c>
      <c r="C239" s="383"/>
      <c r="D239" s="358"/>
      <c r="E239" s="358"/>
      <c r="F239" s="358"/>
      <c r="G239" s="358"/>
      <c r="H239" s="358"/>
      <c r="I239" s="358"/>
      <c r="J239" s="358"/>
      <c r="K239" s="358"/>
      <c r="L239" s="358"/>
      <c r="M239" s="358"/>
      <c r="N239" s="358"/>
      <c r="O239" s="366">
        <v>0</v>
      </c>
      <c r="P239" s="423">
        <v>0</v>
      </c>
      <c r="Q239" s="358"/>
      <c r="R239" s="424"/>
      <c r="S239" s="427"/>
      <c r="T239" s="348"/>
    </row>
    <row r="240" spans="1:20" s="349" customFormat="1" x14ac:dyDescent="0.3">
      <c r="A240" s="421"/>
      <c r="B240" s="358" t="s">
        <v>137</v>
      </c>
      <c r="C240" s="383"/>
      <c r="D240" s="358"/>
      <c r="E240" s="358"/>
      <c r="F240" s="358"/>
      <c r="G240" s="358"/>
      <c r="H240" s="358"/>
      <c r="I240" s="358"/>
      <c r="J240" s="358"/>
      <c r="K240" s="358"/>
      <c r="L240" s="358"/>
      <c r="M240" s="358"/>
      <c r="N240" s="358"/>
      <c r="O240" s="358"/>
      <c r="P240" s="428">
        <v>0</v>
      </c>
      <c r="Q240" s="358"/>
      <c r="R240" s="424"/>
      <c r="S240" s="427"/>
      <c r="T240" s="348"/>
    </row>
    <row r="241" spans="1:20" x14ac:dyDescent="0.3">
      <c r="A241" s="318"/>
      <c r="B241" s="324"/>
      <c r="C241" s="326"/>
      <c r="D241" s="291"/>
      <c r="E241" s="291"/>
      <c r="F241" s="291"/>
      <c r="G241" s="291"/>
      <c r="H241" s="291"/>
      <c r="I241" s="291"/>
      <c r="J241" s="291"/>
      <c r="K241" s="291"/>
      <c r="L241" s="291"/>
      <c r="M241" s="291"/>
      <c r="N241" s="291"/>
      <c r="O241" s="263"/>
      <c r="P241" s="327"/>
      <c r="Q241" s="291"/>
      <c r="R241" s="322"/>
      <c r="S241" s="325"/>
      <c r="T241" s="247"/>
    </row>
    <row r="242" spans="1:20" x14ac:dyDescent="0.3">
      <c r="A242" s="318"/>
      <c r="B242" s="324"/>
      <c r="C242" s="326"/>
      <c r="D242" s="291"/>
      <c r="E242" s="291"/>
      <c r="F242" s="291"/>
      <c r="G242" s="291"/>
      <c r="H242" s="291"/>
      <c r="I242" s="291"/>
      <c r="J242" s="291"/>
      <c r="K242" s="291"/>
      <c r="L242" s="291"/>
      <c r="M242" s="291"/>
      <c r="N242" s="291"/>
      <c r="O242" s="291"/>
      <c r="P242" s="328"/>
      <c r="Q242" s="291"/>
      <c r="R242" s="322"/>
      <c r="S242" s="325"/>
      <c r="T242" s="247"/>
    </row>
    <row r="243" spans="1:20" ht="18" x14ac:dyDescent="0.35">
      <c r="A243" s="318"/>
      <c r="B243" s="329" t="s">
        <v>129</v>
      </c>
      <c r="C243" s="326"/>
      <c r="D243" s="291"/>
      <c r="E243" s="291"/>
      <c r="F243" s="291"/>
      <c r="G243" s="291"/>
      <c r="H243" s="291"/>
      <c r="I243" s="291"/>
      <c r="J243" s="291"/>
      <c r="K243" s="291"/>
      <c r="L243" s="330"/>
      <c r="M243" s="291"/>
      <c r="N243" s="342" t="s">
        <v>291</v>
      </c>
      <c r="O243" s="330"/>
      <c r="P243" s="328"/>
      <c r="Q243" s="291"/>
      <c r="R243" s="322"/>
      <c r="S243" s="325"/>
      <c r="T243" s="247"/>
    </row>
    <row r="244" spans="1:20" ht="18" x14ac:dyDescent="0.35">
      <c r="A244" s="331"/>
      <c r="B244" s="332"/>
      <c r="C244" s="333"/>
      <c r="D244" s="277"/>
      <c r="E244" s="277"/>
      <c r="F244" s="277"/>
      <c r="G244" s="277"/>
      <c r="H244" s="277"/>
      <c r="I244" s="277"/>
      <c r="J244" s="277"/>
      <c r="K244" s="277"/>
      <c r="L244" s="334"/>
      <c r="M244" s="277"/>
      <c r="N244" s="277"/>
      <c r="O244" s="277"/>
      <c r="P244" s="335"/>
      <c r="Q244" s="277"/>
      <c r="R244" s="317"/>
      <c r="S244" s="336"/>
      <c r="T244" s="247"/>
    </row>
    <row r="245" spans="1:20" x14ac:dyDescent="0.3">
      <c r="A245" s="443"/>
      <c r="B245" s="452" t="s">
        <v>152</v>
      </c>
      <c r="C245" s="453"/>
      <c r="D245" s="453"/>
      <c r="E245" s="453"/>
      <c r="F245" s="453"/>
      <c r="G245" s="453"/>
      <c r="H245" s="453"/>
      <c r="I245" s="453"/>
      <c r="J245" s="453"/>
      <c r="K245" s="453"/>
      <c r="L245" s="453"/>
      <c r="M245" s="453"/>
      <c r="N245" s="469" t="s">
        <v>83</v>
      </c>
      <c r="O245" s="453" t="s">
        <v>84</v>
      </c>
      <c r="P245" s="469" t="s">
        <v>89</v>
      </c>
      <c r="Q245" s="453" t="s">
        <v>84</v>
      </c>
      <c r="R245" s="447"/>
      <c r="S245" s="470"/>
      <c r="T245" s="247"/>
    </row>
    <row r="246" spans="1:20" s="349" customFormat="1" x14ac:dyDescent="0.3">
      <c r="A246" s="344"/>
      <c r="B246" s="408" t="s">
        <v>72</v>
      </c>
      <c r="C246" s="471"/>
      <c r="D246" s="471"/>
      <c r="E246" s="471"/>
      <c r="F246" s="471"/>
      <c r="G246" s="471"/>
      <c r="H246" s="471"/>
      <c r="I246" s="471"/>
      <c r="J246" s="471"/>
      <c r="K246" s="471"/>
      <c r="L246" s="471"/>
      <c r="M246" s="471"/>
      <c r="N246" s="408">
        <f>+N258+N270+N282</f>
        <v>588</v>
      </c>
      <c r="O246" s="472">
        <f>N246/$N$255</f>
        <v>0.99830220713073003</v>
      </c>
      <c r="P246" s="411">
        <f t="shared" ref="P246:P253" si="5">+P258+P270+P282</f>
        <v>91558</v>
      </c>
      <c r="Q246" s="472">
        <f t="shared" ref="Q246:Q253" si="6">P246/$P$255</f>
        <v>0.99581262303818674</v>
      </c>
      <c r="R246" s="467"/>
      <c r="S246" s="473"/>
      <c r="T246" s="348"/>
    </row>
    <row r="247" spans="1:20" s="349" customFormat="1" x14ac:dyDescent="0.3">
      <c r="A247" s="365"/>
      <c r="B247" s="403" t="s">
        <v>73</v>
      </c>
      <c r="C247" s="429"/>
      <c r="D247" s="429"/>
      <c r="E247" s="429"/>
      <c r="F247" s="429"/>
      <c r="G247" s="429"/>
      <c r="H247" s="429"/>
      <c r="I247" s="429"/>
      <c r="J247" s="429"/>
      <c r="K247" s="429"/>
      <c r="L247" s="429"/>
      <c r="M247" s="429"/>
      <c r="N247" s="403">
        <f t="shared" ref="N247:N253" si="7">+N259+N271+N283</f>
        <v>1</v>
      </c>
      <c r="O247" s="430">
        <f t="shared" ref="O247:O253" si="8">N247/$N$255</f>
        <v>1.697792869269949E-3</v>
      </c>
      <c r="P247" s="404">
        <f t="shared" si="5"/>
        <v>385</v>
      </c>
      <c r="Q247" s="430">
        <f t="shared" si="6"/>
        <v>4.187376961813297E-3</v>
      </c>
      <c r="R247" s="424"/>
      <c r="S247" s="427"/>
      <c r="T247" s="348"/>
    </row>
    <row r="248" spans="1:20" s="349" customFormat="1" x14ac:dyDescent="0.3">
      <c r="A248" s="365"/>
      <c r="B248" s="403" t="s">
        <v>74</v>
      </c>
      <c r="C248" s="429"/>
      <c r="D248" s="429"/>
      <c r="E248" s="429"/>
      <c r="F248" s="429"/>
      <c r="G248" s="429"/>
      <c r="H248" s="429"/>
      <c r="I248" s="429"/>
      <c r="J248" s="429"/>
      <c r="K248" s="429"/>
      <c r="L248" s="429"/>
      <c r="M248" s="429"/>
      <c r="N248" s="403">
        <f t="shared" si="7"/>
        <v>0</v>
      </c>
      <c r="O248" s="430">
        <f t="shared" si="8"/>
        <v>0</v>
      </c>
      <c r="P248" s="404">
        <f t="shared" si="5"/>
        <v>0</v>
      </c>
      <c r="Q248" s="430">
        <f t="shared" si="6"/>
        <v>0</v>
      </c>
      <c r="R248" s="424"/>
      <c r="S248" s="427"/>
      <c r="T248" s="348"/>
    </row>
    <row r="249" spans="1:20" s="349" customFormat="1" x14ac:dyDescent="0.3">
      <c r="A249" s="365"/>
      <c r="B249" s="403" t="s">
        <v>119</v>
      </c>
      <c r="C249" s="429"/>
      <c r="D249" s="429"/>
      <c r="E249" s="429"/>
      <c r="F249" s="429"/>
      <c r="G249" s="429"/>
      <c r="H249" s="429"/>
      <c r="I249" s="429"/>
      <c r="J249" s="429"/>
      <c r="K249" s="429"/>
      <c r="L249" s="429"/>
      <c r="M249" s="429"/>
      <c r="N249" s="403">
        <f t="shared" si="7"/>
        <v>0</v>
      </c>
      <c r="O249" s="430">
        <f t="shared" si="8"/>
        <v>0</v>
      </c>
      <c r="P249" s="404">
        <f t="shared" si="5"/>
        <v>0</v>
      </c>
      <c r="Q249" s="430">
        <f t="shared" si="6"/>
        <v>0</v>
      </c>
      <c r="R249" s="424"/>
      <c r="S249" s="427"/>
      <c r="T249" s="348"/>
    </row>
    <row r="250" spans="1:20" s="349" customFormat="1" x14ac:dyDescent="0.3">
      <c r="A250" s="365"/>
      <c r="B250" s="403" t="s">
        <v>120</v>
      </c>
      <c r="C250" s="429"/>
      <c r="D250" s="429"/>
      <c r="E250" s="429"/>
      <c r="F250" s="429"/>
      <c r="G250" s="429"/>
      <c r="H250" s="429"/>
      <c r="I250" s="429"/>
      <c r="J250" s="429"/>
      <c r="K250" s="429"/>
      <c r="L250" s="429"/>
      <c r="M250" s="429"/>
      <c r="N250" s="403">
        <f t="shared" si="7"/>
        <v>0</v>
      </c>
      <c r="O250" s="430">
        <f t="shared" si="8"/>
        <v>0</v>
      </c>
      <c r="P250" s="404">
        <f t="shared" si="5"/>
        <v>0</v>
      </c>
      <c r="Q250" s="430">
        <f t="shared" si="6"/>
        <v>0</v>
      </c>
      <c r="R250" s="424"/>
      <c r="S250" s="427"/>
      <c r="T250" s="348"/>
    </row>
    <row r="251" spans="1:20" s="349" customFormat="1" x14ac:dyDescent="0.3">
      <c r="A251" s="365"/>
      <c r="B251" s="403" t="s">
        <v>121</v>
      </c>
      <c r="C251" s="429"/>
      <c r="D251" s="429"/>
      <c r="E251" s="429"/>
      <c r="F251" s="429"/>
      <c r="G251" s="429"/>
      <c r="H251" s="429"/>
      <c r="I251" s="429"/>
      <c r="J251" s="429"/>
      <c r="K251" s="429"/>
      <c r="L251" s="429"/>
      <c r="M251" s="429"/>
      <c r="N251" s="403">
        <f t="shared" si="7"/>
        <v>0</v>
      </c>
      <c r="O251" s="430">
        <f t="shared" si="8"/>
        <v>0</v>
      </c>
      <c r="P251" s="404">
        <f t="shared" si="5"/>
        <v>0</v>
      </c>
      <c r="Q251" s="430">
        <f t="shared" si="6"/>
        <v>0</v>
      </c>
      <c r="R251" s="424"/>
      <c r="S251" s="427"/>
      <c r="T251" s="348"/>
    </row>
    <row r="252" spans="1:20" s="349" customFormat="1" x14ac:dyDescent="0.3">
      <c r="A252" s="365"/>
      <c r="B252" s="403" t="s">
        <v>122</v>
      </c>
      <c r="C252" s="429"/>
      <c r="D252" s="429"/>
      <c r="E252" s="429"/>
      <c r="F252" s="429"/>
      <c r="G252" s="429"/>
      <c r="H252" s="429"/>
      <c r="I252" s="429"/>
      <c r="J252" s="429"/>
      <c r="K252" s="429"/>
      <c r="L252" s="429"/>
      <c r="M252" s="429"/>
      <c r="N252" s="403">
        <f t="shared" si="7"/>
        <v>0</v>
      </c>
      <c r="O252" s="430">
        <f t="shared" si="8"/>
        <v>0</v>
      </c>
      <c r="P252" s="404">
        <f t="shared" si="5"/>
        <v>0</v>
      </c>
      <c r="Q252" s="430">
        <f t="shared" si="6"/>
        <v>0</v>
      </c>
      <c r="R252" s="424"/>
      <c r="S252" s="427"/>
      <c r="T252" s="348"/>
    </row>
    <row r="253" spans="1:20" s="349" customFormat="1" x14ac:dyDescent="0.3">
      <c r="A253" s="365"/>
      <c r="B253" s="403" t="s">
        <v>123</v>
      </c>
      <c r="C253" s="429"/>
      <c r="D253" s="429"/>
      <c r="E253" s="429"/>
      <c r="F253" s="429"/>
      <c r="G253" s="429"/>
      <c r="H253" s="429"/>
      <c r="I253" s="429"/>
      <c r="J253" s="429"/>
      <c r="K253" s="429"/>
      <c r="L253" s="429"/>
      <c r="M253" s="429"/>
      <c r="N253" s="403">
        <f t="shared" si="7"/>
        <v>0</v>
      </c>
      <c r="O253" s="430">
        <f t="shared" si="8"/>
        <v>0</v>
      </c>
      <c r="P253" s="404">
        <f t="shared" si="5"/>
        <v>0</v>
      </c>
      <c r="Q253" s="430">
        <f t="shared" si="6"/>
        <v>0</v>
      </c>
      <c r="R253" s="424"/>
      <c r="S253" s="427"/>
      <c r="T253" s="348"/>
    </row>
    <row r="254" spans="1:20" s="349" customFormat="1" x14ac:dyDescent="0.3">
      <c r="A254" s="365"/>
      <c r="B254" s="403"/>
      <c r="C254" s="429"/>
      <c r="D254" s="429"/>
      <c r="E254" s="429"/>
      <c r="F254" s="429"/>
      <c r="G254" s="429"/>
      <c r="H254" s="429"/>
      <c r="I254" s="429"/>
      <c r="J254" s="429"/>
      <c r="K254" s="429"/>
      <c r="L254" s="429"/>
      <c r="M254" s="429"/>
      <c r="N254" s="403"/>
      <c r="O254" s="430"/>
      <c r="P254" s="404"/>
      <c r="Q254" s="430"/>
      <c r="R254" s="424"/>
      <c r="S254" s="427"/>
      <c r="T254" s="348"/>
    </row>
    <row r="255" spans="1:20" s="349" customFormat="1" x14ac:dyDescent="0.3">
      <c r="A255" s="365"/>
      <c r="B255" s="358" t="s">
        <v>94</v>
      </c>
      <c r="C255" s="358"/>
      <c r="D255" s="431"/>
      <c r="E255" s="431"/>
      <c r="F255" s="431"/>
      <c r="G255" s="431"/>
      <c r="H255" s="431"/>
      <c r="I255" s="431"/>
      <c r="J255" s="431"/>
      <c r="K255" s="431"/>
      <c r="L255" s="431"/>
      <c r="M255" s="431"/>
      <c r="N255" s="403">
        <f>SUM(N246:N254)</f>
        <v>589</v>
      </c>
      <c r="O255" s="430">
        <f>SUM(O246:O254)</f>
        <v>1</v>
      </c>
      <c r="P255" s="404">
        <f>SUM(P246:P254)</f>
        <v>91943</v>
      </c>
      <c r="Q255" s="430">
        <f>SUM(Q246:Q254)</f>
        <v>1</v>
      </c>
      <c r="R255" s="358"/>
      <c r="S255" s="361"/>
      <c r="T255" s="348"/>
    </row>
    <row r="256" spans="1:20" x14ac:dyDescent="0.3">
      <c r="A256" s="249"/>
      <c r="B256" s="316"/>
      <c r="C256" s="333"/>
      <c r="D256" s="277"/>
      <c r="E256" s="277"/>
      <c r="F256" s="277"/>
      <c r="G256" s="277"/>
      <c r="H256" s="277"/>
      <c r="I256" s="277"/>
      <c r="J256" s="277"/>
      <c r="K256" s="277"/>
      <c r="L256" s="277"/>
      <c r="M256" s="277"/>
      <c r="N256" s="277"/>
      <c r="O256" s="277"/>
      <c r="P256" s="335"/>
      <c r="Q256" s="277"/>
      <c r="R256" s="277"/>
      <c r="S256" s="252"/>
      <c r="T256" s="247"/>
    </row>
    <row r="257" spans="1:21" x14ac:dyDescent="0.3">
      <c r="A257" s="443"/>
      <c r="B257" s="452" t="s">
        <v>124</v>
      </c>
      <c r="C257" s="453"/>
      <c r="D257" s="453"/>
      <c r="E257" s="453"/>
      <c r="F257" s="453"/>
      <c r="G257" s="453"/>
      <c r="H257" s="453"/>
      <c r="I257" s="453"/>
      <c r="J257" s="453"/>
      <c r="K257" s="453"/>
      <c r="L257" s="453"/>
      <c r="M257" s="453"/>
      <c r="N257" s="469" t="s">
        <v>83</v>
      </c>
      <c r="O257" s="453" t="s">
        <v>84</v>
      </c>
      <c r="P257" s="469" t="s">
        <v>89</v>
      </c>
      <c r="Q257" s="453" t="s">
        <v>84</v>
      </c>
      <c r="R257" s="447"/>
      <c r="S257" s="470"/>
      <c r="T257" s="247"/>
    </row>
    <row r="258" spans="1:21" s="349" customFormat="1" x14ac:dyDescent="0.3">
      <c r="A258" s="344"/>
      <c r="B258" s="408" t="s">
        <v>72</v>
      </c>
      <c r="C258" s="471"/>
      <c r="D258" s="471"/>
      <c r="E258" s="471"/>
      <c r="F258" s="471"/>
      <c r="G258" s="471"/>
      <c r="H258" s="471"/>
      <c r="I258" s="471"/>
      <c r="J258" s="471"/>
      <c r="K258" s="471"/>
      <c r="L258" s="471"/>
      <c r="M258" s="471"/>
      <c r="N258" s="408">
        <v>588</v>
      </c>
      <c r="O258" s="472">
        <f>N258/$N$267</f>
        <v>1</v>
      </c>
      <c r="P258" s="411">
        <v>91558</v>
      </c>
      <c r="Q258" s="472">
        <f>P258/$P$267</f>
        <v>1</v>
      </c>
      <c r="R258" s="467"/>
      <c r="S258" s="473"/>
      <c r="T258" s="348"/>
    </row>
    <row r="259" spans="1:21" s="349" customFormat="1" x14ac:dyDescent="0.3">
      <c r="A259" s="365"/>
      <c r="B259" s="403" t="s">
        <v>73</v>
      </c>
      <c r="C259" s="429"/>
      <c r="D259" s="429"/>
      <c r="E259" s="429"/>
      <c r="F259" s="429"/>
      <c r="G259" s="429"/>
      <c r="H259" s="429"/>
      <c r="I259" s="429"/>
      <c r="J259" s="429"/>
      <c r="K259" s="429"/>
      <c r="L259" s="429"/>
      <c r="M259" s="429"/>
      <c r="N259" s="403">
        <v>0</v>
      </c>
      <c r="O259" s="430">
        <f t="shared" ref="O259:O265" si="9">N259/$N$267</f>
        <v>0</v>
      </c>
      <c r="P259" s="404">
        <v>0</v>
      </c>
      <c r="Q259" s="430">
        <f t="shared" ref="Q259:Q265" si="10">P259/$P$267</f>
        <v>0</v>
      </c>
      <c r="R259" s="424"/>
      <c r="S259" s="427"/>
      <c r="T259" s="348"/>
      <c r="U259" s="407"/>
    </row>
    <row r="260" spans="1:21" s="349" customFormat="1" x14ac:dyDescent="0.3">
      <c r="A260" s="365"/>
      <c r="B260" s="403" t="s">
        <v>74</v>
      </c>
      <c r="C260" s="429"/>
      <c r="D260" s="429"/>
      <c r="E260" s="429"/>
      <c r="F260" s="429"/>
      <c r="G260" s="429"/>
      <c r="H260" s="429"/>
      <c r="I260" s="429"/>
      <c r="J260" s="429"/>
      <c r="K260" s="429"/>
      <c r="L260" s="429"/>
      <c r="M260" s="429"/>
      <c r="N260" s="403">
        <v>0</v>
      </c>
      <c r="O260" s="430">
        <f t="shared" si="9"/>
        <v>0</v>
      </c>
      <c r="P260" s="404">
        <v>0</v>
      </c>
      <c r="Q260" s="430">
        <f t="shared" si="10"/>
        <v>0</v>
      </c>
      <c r="R260" s="424"/>
      <c r="S260" s="427"/>
      <c r="T260" s="348"/>
    </row>
    <row r="261" spans="1:21" s="349" customFormat="1" x14ac:dyDescent="0.3">
      <c r="A261" s="365"/>
      <c r="B261" s="403" t="s">
        <v>119</v>
      </c>
      <c r="C261" s="429"/>
      <c r="D261" s="429"/>
      <c r="E261" s="429"/>
      <c r="F261" s="429"/>
      <c r="G261" s="429"/>
      <c r="H261" s="429"/>
      <c r="I261" s="429"/>
      <c r="J261" s="429"/>
      <c r="K261" s="429"/>
      <c r="L261" s="429"/>
      <c r="M261" s="429"/>
      <c r="N261" s="403">
        <v>0</v>
      </c>
      <c r="O261" s="430">
        <f t="shared" si="9"/>
        <v>0</v>
      </c>
      <c r="P261" s="404">
        <v>0</v>
      </c>
      <c r="Q261" s="430">
        <f t="shared" si="10"/>
        <v>0</v>
      </c>
      <c r="R261" s="424"/>
      <c r="S261" s="427"/>
      <c r="T261" s="348"/>
      <c r="U261" s="407"/>
    </row>
    <row r="262" spans="1:21" s="349" customFormat="1" x14ac:dyDescent="0.3">
      <c r="A262" s="365"/>
      <c r="B262" s="403" t="s">
        <v>120</v>
      </c>
      <c r="C262" s="429"/>
      <c r="D262" s="429"/>
      <c r="E262" s="429"/>
      <c r="F262" s="429"/>
      <c r="G262" s="429"/>
      <c r="H262" s="429"/>
      <c r="I262" s="429"/>
      <c r="J262" s="429"/>
      <c r="K262" s="429"/>
      <c r="L262" s="429"/>
      <c r="M262" s="429"/>
      <c r="N262" s="403">
        <v>0</v>
      </c>
      <c r="O262" s="430">
        <f t="shared" si="9"/>
        <v>0</v>
      </c>
      <c r="P262" s="404">
        <v>0</v>
      </c>
      <c r="Q262" s="430">
        <f t="shared" si="10"/>
        <v>0</v>
      </c>
      <c r="R262" s="424"/>
      <c r="S262" s="427"/>
      <c r="T262" s="348"/>
    </row>
    <row r="263" spans="1:21" s="349" customFormat="1" x14ac:dyDescent="0.3">
      <c r="A263" s="365"/>
      <c r="B263" s="403" t="s">
        <v>121</v>
      </c>
      <c r="C263" s="429"/>
      <c r="D263" s="429"/>
      <c r="E263" s="429"/>
      <c r="F263" s="429"/>
      <c r="G263" s="429"/>
      <c r="H263" s="429"/>
      <c r="I263" s="429"/>
      <c r="J263" s="429"/>
      <c r="K263" s="429"/>
      <c r="L263" s="429"/>
      <c r="M263" s="429"/>
      <c r="N263" s="403">
        <v>0</v>
      </c>
      <c r="O263" s="430">
        <f t="shared" si="9"/>
        <v>0</v>
      </c>
      <c r="P263" s="404">
        <v>0</v>
      </c>
      <c r="Q263" s="430">
        <f t="shared" si="10"/>
        <v>0</v>
      </c>
      <c r="R263" s="424"/>
      <c r="S263" s="427"/>
      <c r="T263" s="348"/>
      <c r="U263" s="407"/>
    </row>
    <row r="264" spans="1:21" s="349" customFormat="1" x14ac:dyDescent="0.3">
      <c r="A264" s="365"/>
      <c r="B264" s="403" t="s">
        <v>122</v>
      </c>
      <c r="C264" s="429"/>
      <c r="D264" s="429"/>
      <c r="E264" s="429"/>
      <c r="F264" s="429"/>
      <c r="G264" s="429"/>
      <c r="H264" s="429"/>
      <c r="I264" s="429"/>
      <c r="J264" s="429"/>
      <c r="K264" s="429"/>
      <c r="L264" s="429"/>
      <c r="M264" s="429"/>
      <c r="N264" s="403">
        <v>0</v>
      </c>
      <c r="O264" s="430">
        <f t="shared" si="9"/>
        <v>0</v>
      </c>
      <c r="P264" s="404">
        <v>0</v>
      </c>
      <c r="Q264" s="430">
        <f t="shared" si="10"/>
        <v>0</v>
      </c>
      <c r="R264" s="424"/>
      <c r="S264" s="427"/>
      <c r="T264" s="348"/>
    </row>
    <row r="265" spans="1:21" s="349" customFormat="1" x14ac:dyDescent="0.3">
      <c r="A265" s="365"/>
      <c r="B265" s="403" t="s">
        <v>123</v>
      </c>
      <c r="C265" s="429"/>
      <c r="D265" s="429"/>
      <c r="E265" s="429"/>
      <c r="F265" s="429"/>
      <c r="G265" s="429"/>
      <c r="H265" s="429"/>
      <c r="I265" s="429"/>
      <c r="J265" s="429"/>
      <c r="K265" s="429"/>
      <c r="L265" s="429"/>
      <c r="M265" s="429"/>
      <c r="N265" s="403">
        <v>0</v>
      </c>
      <c r="O265" s="430">
        <f t="shared" si="9"/>
        <v>0</v>
      </c>
      <c r="P265" s="404">
        <v>0</v>
      </c>
      <c r="Q265" s="430">
        <f t="shared" si="10"/>
        <v>0</v>
      </c>
      <c r="R265" s="424"/>
      <c r="S265" s="427"/>
      <c r="T265" s="348"/>
      <c r="U265" s="407"/>
    </row>
    <row r="266" spans="1:21" s="349" customFormat="1" x14ac:dyDescent="0.3">
      <c r="A266" s="365"/>
      <c r="B266" s="403"/>
      <c r="C266" s="429"/>
      <c r="D266" s="429"/>
      <c r="E266" s="429"/>
      <c r="F266" s="429"/>
      <c r="G266" s="429"/>
      <c r="H266" s="429"/>
      <c r="I266" s="429"/>
      <c r="J266" s="429"/>
      <c r="K266" s="429"/>
      <c r="L266" s="429"/>
      <c r="M266" s="429"/>
      <c r="N266" s="403"/>
      <c r="O266" s="430"/>
      <c r="P266" s="404"/>
      <c r="Q266" s="430"/>
      <c r="R266" s="424"/>
      <c r="S266" s="427"/>
      <c r="T266" s="348"/>
    </row>
    <row r="267" spans="1:21" s="349" customFormat="1" x14ac:dyDescent="0.3">
      <c r="A267" s="365"/>
      <c r="B267" s="358" t="s">
        <v>94</v>
      </c>
      <c r="C267" s="358"/>
      <c r="D267" s="431"/>
      <c r="E267" s="431"/>
      <c r="F267" s="431"/>
      <c r="G267" s="431"/>
      <c r="H267" s="431"/>
      <c r="I267" s="431"/>
      <c r="J267" s="431"/>
      <c r="K267" s="431"/>
      <c r="L267" s="431"/>
      <c r="M267" s="431"/>
      <c r="N267" s="403">
        <f>SUM(N258:N266)</f>
        <v>588</v>
      </c>
      <c r="O267" s="430">
        <f>SUM(O258:O266)</f>
        <v>1</v>
      </c>
      <c r="P267" s="404">
        <f>SUM(P258:P266)</f>
        <v>91558</v>
      </c>
      <c r="Q267" s="430">
        <f>SUM(Q258:Q266)</f>
        <v>1</v>
      </c>
      <c r="R267" s="358"/>
      <c r="S267" s="361"/>
      <c r="T267" s="348"/>
    </row>
    <row r="268" spans="1:21" x14ac:dyDescent="0.3">
      <c r="A268" s="249"/>
      <c r="B268" s="277"/>
      <c r="C268" s="277"/>
      <c r="D268" s="337"/>
      <c r="E268" s="337"/>
      <c r="F268" s="337"/>
      <c r="G268" s="337"/>
      <c r="H268" s="337"/>
      <c r="I268" s="337"/>
      <c r="J268" s="337"/>
      <c r="K268" s="337"/>
      <c r="L268" s="337"/>
      <c r="M268" s="337"/>
      <c r="N268" s="287"/>
      <c r="O268" s="338"/>
      <c r="P268" s="339"/>
      <c r="Q268" s="338"/>
      <c r="R268" s="277"/>
      <c r="S268" s="252"/>
      <c r="T268" s="247"/>
    </row>
    <row r="269" spans="1:21" x14ac:dyDescent="0.3">
      <c r="A269" s="443"/>
      <c r="B269" s="452" t="s">
        <v>146</v>
      </c>
      <c r="C269" s="453"/>
      <c r="D269" s="453"/>
      <c r="E269" s="453"/>
      <c r="F269" s="453"/>
      <c r="G269" s="453"/>
      <c r="H269" s="453"/>
      <c r="I269" s="453"/>
      <c r="J269" s="453"/>
      <c r="K269" s="453"/>
      <c r="L269" s="453"/>
      <c r="M269" s="453"/>
      <c r="N269" s="469" t="s">
        <v>83</v>
      </c>
      <c r="O269" s="453" t="s">
        <v>84</v>
      </c>
      <c r="P269" s="469" t="s">
        <v>89</v>
      </c>
      <c r="Q269" s="453" t="s">
        <v>84</v>
      </c>
      <c r="R269" s="447"/>
      <c r="S269" s="445"/>
      <c r="T269" s="247"/>
    </row>
    <row r="270" spans="1:21" s="349" customFormat="1" x14ac:dyDescent="0.3">
      <c r="A270" s="344"/>
      <c r="B270" s="408" t="s">
        <v>72</v>
      </c>
      <c r="C270" s="471"/>
      <c r="D270" s="471"/>
      <c r="E270" s="471"/>
      <c r="F270" s="471"/>
      <c r="G270" s="471"/>
      <c r="H270" s="471"/>
      <c r="I270" s="471"/>
      <c r="J270" s="471"/>
      <c r="K270" s="471"/>
      <c r="L270" s="471"/>
      <c r="M270" s="471"/>
      <c r="N270" s="408">
        <v>0</v>
      </c>
      <c r="O270" s="472">
        <v>0</v>
      </c>
      <c r="P270" s="411">
        <v>0</v>
      </c>
      <c r="Q270" s="472">
        <v>0</v>
      </c>
      <c r="R270" s="393"/>
      <c r="S270" s="347"/>
      <c r="T270" s="348"/>
    </row>
    <row r="271" spans="1:21" s="349" customFormat="1" x14ac:dyDescent="0.3">
      <c r="A271" s="365"/>
      <c r="B271" s="403" t="s">
        <v>73</v>
      </c>
      <c r="C271" s="429"/>
      <c r="D271" s="429"/>
      <c r="E271" s="429"/>
      <c r="F271" s="429"/>
      <c r="G271" s="429"/>
      <c r="H271" s="429"/>
      <c r="I271" s="429"/>
      <c r="J271" s="429"/>
      <c r="K271" s="429"/>
      <c r="L271" s="429"/>
      <c r="M271" s="429"/>
      <c r="N271" s="403">
        <v>1</v>
      </c>
      <c r="O271" s="430">
        <v>1</v>
      </c>
      <c r="P271" s="404">
        <v>385</v>
      </c>
      <c r="Q271" s="430">
        <v>1</v>
      </c>
      <c r="R271" s="358"/>
      <c r="S271" s="361"/>
      <c r="T271" s="348"/>
    </row>
    <row r="272" spans="1:21" s="349" customFormat="1" x14ac:dyDescent="0.3">
      <c r="A272" s="365"/>
      <c r="B272" s="403" t="s">
        <v>74</v>
      </c>
      <c r="C272" s="429"/>
      <c r="D272" s="429"/>
      <c r="E272" s="429"/>
      <c r="F272" s="429"/>
      <c r="G272" s="429"/>
      <c r="H272" s="429"/>
      <c r="I272" s="429"/>
      <c r="J272" s="429"/>
      <c r="K272" s="429"/>
      <c r="L272" s="429"/>
      <c r="M272" s="429"/>
      <c r="N272" s="403">
        <v>0</v>
      </c>
      <c r="O272" s="430">
        <v>0</v>
      </c>
      <c r="P272" s="404">
        <v>0</v>
      </c>
      <c r="Q272" s="430">
        <v>0</v>
      </c>
      <c r="R272" s="358"/>
      <c r="S272" s="361"/>
      <c r="T272" s="348"/>
    </row>
    <row r="273" spans="1:20" s="349" customFormat="1" x14ac:dyDescent="0.3">
      <c r="A273" s="365"/>
      <c r="B273" s="403" t="s">
        <v>119</v>
      </c>
      <c r="C273" s="429"/>
      <c r="D273" s="429"/>
      <c r="E273" s="429"/>
      <c r="F273" s="429"/>
      <c r="G273" s="429"/>
      <c r="H273" s="429"/>
      <c r="I273" s="429"/>
      <c r="J273" s="429"/>
      <c r="K273" s="429"/>
      <c r="L273" s="429"/>
      <c r="M273" s="429"/>
      <c r="N273" s="403">
        <v>0</v>
      </c>
      <c r="O273" s="430">
        <v>0</v>
      </c>
      <c r="P273" s="404">
        <v>0</v>
      </c>
      <c r="Q273" s="430">
        <v>0</v>
      </c>
      <c r="R273" s="358"/>
      <c r="S273" s="361"/>
      <c r="T273" s="348"/>
    </row>
    <row r="274" spans="1:20" s="349" customFormat="1" x14ac:dyDescent="0.3">
      <c r="A274" s="365"/>
      <c r="B274" s="403" t="s">
        <v>120</v>
      </c>
      <c r="C274" s="429"/>
      <c r="D274" s="429"/>
      <c r="E274" s="429"/>
      <c r="F274" s="429"/>
      <c r="G274" s="429"/>
      <c r="H274" s="429"/>
      <c r="I274" s="429"/>
      <c r="J274" s="429"/>
      <c r="K274" s="429"/>
      <c r="L274" s="429"/>
      <c r="M274" s="429"/>
      <c r="N274" s="403">
        <v>0</v>
      </c>
      <c r="O274" s="430">
        <v>0</v>
      </c>
      <c r="P274" s="404">
        <v>0</v>
      </c>
      <c r="Q274" s="430">
        <v>0</v>
      </c>
      <c r="R274" s="358"/>
      <c r="S274" s="361"/>
      <c r="T274" s="348"/>
    </row>
    <row r="275" spans="1:20" s="349" customFormat="1" x14ac:dyDescent="0.3">
      <c r="A275" s="365"/>
      <c r="B275" s="403" t="s">
        <v>121</v>
      </c>
      <c r="C275" s="429"/>
      <c r="D275" s="429"/>
      <c r="E275" s="429"/>
      <c r="F275" s="429"/>
      <c r="G275" s="429"/>
      <c r="H275" s="429"/>
      <c r="I275" s="429"/>
      <c r="J275" s="429"/>
      <c r="K275" s="429"/>
      <c r="L275" s="429"/>
      <c r="M275" s="429"/>
      <c r="N275" s="403">
        <v>0</v>
      </c>
      <c r="O275" s="430">
        <v>0</v>
      </c>
      <c r="P275" s="404">
        <v>0</v>
      </c>
      <c r="Q275" s="430">
        <v>0</v>
      </c>
      <c r="R275" s="358"/>
      <c r="S275" s="361"/>
      <c r="T275" s="348"/>
    </row>
    <row r="276" spans="1:20" s="349" customFormat="1" x14ac:dyDescent="0.3">
      <c r="A276" s="365"/>
      <c r="B276" s="403" t="s">
        <v>122</v>
      </c>
      <c r="C276" s="429"/>
      <c r="D276" s="429"/>
      <c r="E276" s="429"/>
      <c r="F276" s="429"/>
      <c r="G276" s="429"/>
      <c r="H276" s="429"/>
      <c r="I276" s="429"/>
      <c r="J276" s="429"/>
      <c r="K276" s="429"/>
      <c r="L276" s="429"/>
      <c r="M276" s="429"/>
      <c r="N276" s="403">
        <v>0</v>
      </c>
      <c r="O276" s="430">
        <v>0</v>
      </c>
      <c r="P276" s="404">
        <v>0</v>
      </c>
      <c r="Q276" s="430">
        <v>0</v>
      </c>
      <c r="R276" s="358"/>
      <c r="S276" s="361"/>
      <c r="T276" s="348"/>
    </row>
    <row r="277" spans="1:20" s="349" customFormat="1" x14ac:dyDescent="0.3">
      <c r="A277" s="365"/>
      <c r="B277" s="403" t="s">
        <v>123</v>
      </c>
      <c r="C277" s="429"/>
      <c r="D277" s="429"/>
      <c r="E277" s="429"/>
      <c r="F277" s="429"/>
      <c r="G277" s="429"/>
      <c r="H277" s="429"/>
      <c r="I277" s="429"/>
      <c r="J277" s="429"/>
      <c r="K277" s="429"/>
      <c r="L277" s="429"/>
      <c r="M277" s="429"/>
      <c r="N277" s="403">
        <v>0</v>
      </c>
      <c r="O277" s="430">
        <v>0</v>
      </c>
      <c r="P277" s="404">
        <v>0</v>
      </c>
      <c r="Q277" s="430">
        <v>0</v>
      </c>
      <c r="R277" s="358"/>
      <c r="S277" s="361"/>
      <c r="T277" s="348"/>
    </row>
    <row r="278" spans="1:20" s="349" customFormat="1" x14ac:dyDescent="0.3">
      <c r="A278" s="365"/>
      <c r="B278" s="403"/>
      <c r="C278" s="429"/>
      <c r="D278" s="429"/>
      <c r="E278" s="429"/>
      <c r="F278" s="429"/>
      <c r="G278" s="429"/>
      <c r="H278" s="429"/>
      <c r="I278" s="429"/>
      <c r="J278" s="429"/>
      <c r="K278" s="429"/>
      <c r="L278" s="429"/>
      <c r="M278" s="429"/>
      <c r="N278" s="403"/>
      <c r="O278" s="430"/>
      <c r="P278" s="404"/>
      <c r="Q278" s="430"/>
      <c r="R278" s="358"/>
      <c r="S278" s="361"/>
      <c r="T278" s="348"/>
    </row>
    <row r="279" spans="1:20" s="349" customFormat="1" x14ac:dyDescent="0.3">
      <c r="A279" s="365"/>
      <c r="B279" s="358" t="s">
        <v>94</v>
      </c>
      <c r="C279" s="358"/>
      <c r="D279" s="431"/>
      <c r="E279" s="431"/>
      <c r="F279" s="431"/>
      <c r="G279" s="431"/>
      <c r="H279" s="431"/>
      <c r="I279" s="431"/>
      <c r="J279" s="431"/>
      <c r="K279" s="431"/>
      <c r="L279" s="431"/>
      <c r="M279" s="431"/>
      <c r="N279" s="403">
        <f>SUM(N270:N278)</f>
        <v>1</v>
      </c>
      <c r="O279" s="430">
        <f>SUM(O270:O278)</f>
        <v>1</v>
      </c>
      <c r="P279" s="404">
        <f>SUM(P270:P278)</f>
        <v>385</v>
      </c>
      <c r="Q279" s="430">
        <f>SUM(Q270:Q278)</f>
        <v>1</v>
      </c>
      <c r="R279" s="358"/>
      <c r="S279" s="361"/>
      <c r="T279" s="348"/>
    </row>
    <row r="280" spans="1:20" x14ac:dyDescent="0.3">
      <c r="A280" s="249"/>
      <c r="B280" s="277"/>
      <c r="C280" s="277"/>
      <c r="D280" s="337"/>
      <c r="E280" s="337"/>
      <c r="F280" s="337"/>
      <c r="G280" s="337"/>
      <c r="H280" s="337"/>
      <c r="I280" s="337"/>
      <c r="J280" s="337"/>
      <c r="K280" s="337"/>
      <c r="L280" s="337"/>
      <c r="M280" s="337"/>
      <c r="N280" s="287"/>
      <c r="O280" s="338"/>
      <c r="P280" s="339"/>
      <c r="Q280" s="338"/>
      <c r="R280" s="277"/>
      <c r="S280" s="252"/>
      <c r="T280" s="247"/>
    </row>
    <row r="281" spans="1:20" x14ac:dyDescent="0.3">
      <c r="A281" s="443"/>
      <c r="B281" s="452" t="s">
        <v>125</v>
      </c>
      <c r="C281" s="447"/>
      <c r="D281" s="475"/>
      <c r="E281" s="475"/>
      <c r="F281" s="475"/>
      <c r="G281" s="475"/>
      <c r="H281" s="475"/>
      <c r="I281" s="475"/>
      <c r="J281" s="475"/>
      <c r="K281" s="475"/>
      <c r="L281" s="475"/>
      <c r="M281" s="475"/>
      <c r="N281" s="469" t="s">
        <v>83</v>
      </c>
      <c r="O281" s="453" t="s">
        <v>84</v>
      </c>
      <c r="P281" s="469" t="s">
        <v>89</v>
      </c>
      <c r="Q281" s="453" t="s">
        <v>84</v>
      </c>
      <c r="R281" s="447"/>
      <c r="S281" s="445"/>
      <c r="T281" s="247"/>
    </row>
    <row r="282" spans="1:20" s="349" customFormat="1" x14ac:dyDescent="0.3">
      <c r="A282" s="344"/>
      <c r="B282" s="408" t="s">
        <v>72</v>
      </c>
      <c r="C282" s="393"/>
      <c r="D282" s="474"/>
      <c r="E282" s="474"/>
      <c r="F282" s="474"/>
      <c r="G282" s="474"/>
      <c r="H282" s="474"/>
      <c r="I282" s="474"/>
      <c r="J282" s="474"/>
      <c r="K282" s="474"/>
      <c r="L282" s="474"/>
      <c r="M282" s="474"/>
      <c r="N282" s="408">
        <v>0</v>
      </c>
      <c r="O282" s="472">
        <v>0</v>
      </c>
      <c r="P282" s="411">
        <v>0</v>
      </c>
      <c r="Q282" s="472">
        <v>0</v>
      </c>
      <c r="R282" s="393"/>
      <c r="S282" s="347"/>
      <c r="T282" s="348"/>
    </row>
    <row r="283" spans="1:20" s="349" customFormat="1" x14ac:dyDescent="0.3">
      <c r="A283" s="365"/>
      <c r="B283" s="403" t="s">
        <v>73</v>
      </c>
      <c r="C283" s="358"/>
      <c r="D283" s="431"/>
      <c r="E283" s="431"/>
      <c r="F283" s="431"/>
      <c r="G283" s="431"/>
      <c r="H283" s="431"/>
      <c r="I283" s="431"/>
      <c r="J283" s="431"/>
      <c r="K283" s="431"/>
      <c r="L283" s="431"/>
      <c r="M283" s="431"/>
      <c r="N283" s="403">
        <v>0</v>
      </c>
      <c r="O283" s="430">
        <v>0</v>
      </c>
      <c r="P283" s="404">
        <v>0</v>
      </c>
      <c r="Q283" s="430">
        <v>0</v>
      </c>
      <c r="R283" s="358"/>
      <c r="S283" s="361"/>
      <c r="T283" s="348"/>
    </row>
    <row r="284" spans="1:20" s="349" customFormat="1" x14ac:dyDescent="0.3">
      <c r="A284" s="365"/>
      <c r="B284" s="403" t="s">
        <v>74</v>
      </c>
      <c r="C284" s="358"/>
      <c r="D284" s="431"/>
      <c r="E284" s="431"/>
      <c r="F284" s="431"/>
      <c r="G284" s="431"/>
      <c r="H284" s="431"/>
      <c r="I284" s="431"/>
      <c r="J284" s="431"/>
      <c r="K284" s="431"/>
      <c r="L284" s="431"/>
      <c r="M284" s="431"/>
      <c r="N284" s="403">
        <v>0</v>
      </c>
      <c r="O284" s="430">
        <v>0</v>
      </c>
      <c r="P284" s="404">
        <v>0</v>
      </c>
      <c r="Q284" s="430">
        <v>0</v>
      </c>
      <c r="R284" s="358"/>
      <c r="S284" s="361"/>
      <c r="T284" s="348"/>
    </row>
    <row r="285" spans="1:20" s="349" customFormat="1" x14ac:dyDescent="0.3">
      <c r="A285" s="365"/>
      <c r="B285" s="403" t="s">
        <v>119</v>
      </c>
      <c r="C285" s="358"/>
      <c r="D285" s="431"/>
      <c r="E285" s="431"/>
      <c r="F285" s="431"/>
      <c r="G285" s="431"/>
      <c r="H285" s="431"/>
      <c r="I285" s="431"/>
      <c r="J285" s="431"/>
      <c r="K285" s="431"/>
      <c r="L285" s="431"/>
      <c r="M285" s="431"/>
      <c r="N285" s="403">
        <v>0</v>
      </c>
      <c r="O285" s="430">
        <v>0</v>
      </c>
      <c r="P285" s="404">
        <v>0</v>
      </c>
      <c r="Q285" s="430">
        <v>0</v>
      </c>
      <c r="R285" s="358"/>
      <c r="S285" s="361"/>
      <c r="T285" s="348"/>
    </row>
    <row r="286" spans="1:20" s="349" customFormat="1" x14ac:dyDescent="0.3">
      <c r="A286" s="365"/>
      <c r="B286" s="403" t="s">
        <v>120</v>
      </c>
      <c r="C286" s="358"/>
      <c r="D286" s="431"/>
      <c r="E286" s="431"/>
      <c r="F286" s="431"/>
      <c r="G286" s="431"/>
      <c r="H286" s="431"/>
      <c r="I286" s="431"/>
      <c r="J286" s="431"/>
      <c r="K286" s="431"/>
      <c r="L286" s="431"/>
      <c r="M286" s="431"/>
      <c r="N286" s="403">
        <v>0</v>
      </c>
      <c r="O286" s="430">
        <v>0</v>
      </c>
      <c r="P286" s="404">
        <v>0</v>
      </c>
      <c r="Q286" s="430">
        <v>0</v>
      </c>
      <c r="R286" s="358"/>
      <c r="S286" s="361"/>
      <c r="T286" s="348"/>
    </row>
    <row r="287" spans="1:20" s="349" customFormat="1" x14ac:dyDescent="0.3">
      <c r="A287" s="365"/>
      <c r="B287" s="403" t="s">
        <v>121</v>
      </c>
      <c r="C287" s="358"/>
      <c r="D287" s="431"/>
      <c r="E287" s="431"/>
      <c r="F287" s="431"/>
      <c r="G287" s="431"/>
      <c r="H287" s="431"/>
      <c r="I287" s="431"/>
      <c r="J287" s="431"/>
      <c r="K287" s="431"/>
      <c r="L287" s="431"/>
      <c r="M287" s="431"/>
      <c r="N287" s="403">
        <v>0</v>
      </c>
      <c r="O287" s="430">
        <v>0</v>
      </c>
      <c r="P287" s="404">
        <v>0</v>
      </c>
      <c r="Q287" s="430">
        <v>0</v>
      </c>
      <c r="R287" s="358"/>
      <c r="S287" s="361"/>
      <c r="T287" s="348"/>
    </row>
    <row r="288" spans="1:20" s="349" customFormat="1" x14ac:dyDescent="0.3">
      <c r="A288" s="365"/>
      <c r="B288" s="403" t="s">
        <v>122</v>
      </c>
      <c r="C288" s="358"/>
      <c r="D288" s="431"/>
      <c r="E288" s="431"/>
      <c r="F288" s="431"/>
      <c r="G288" s="431"/>
      <c r="H288" s="431"/>
      <c r="I288" s="431"/>
      <c r="J288" s="431"/>
      <c r="K288" s="431"/>
      <c r="L288" s="431"/>
      <c r="M288" s="431"/>
      <c r="N288" s="403">
        <v>0</v>
      </c>
      <c r="O288" s="430">
        <v>0</v>
      </c>
      <c r="P288" s="404">
        <v>0</v>
      </c>
      <c r="Q288" s="430">
        <v>0</v>
      </c>
      <c r="R288" s="358"/>
      <c r="S288" s="361"/>
      <c r="T288" s="348"/>
    </row>
    <row r="289" spans="1:20" s="349" customFormat="1" x14ac:dyDescent="0.3">
      <c r="A289" s="365"/>
      <c r="B289" s="403" t="s">
        <v>123</v>
      </c>
      <c r="C289" s="358"/>
      <c r="D289" s="431"/>
      <c r="E289" s="431"/>
      <c r="F289" s="431"/>
      <c r="G289" s="431"/>
      <c r="H289" s="431"/>
      <c r="I289" s="431"/>
      <c r="J289" s="431"/>
      <c r="K289" s="431"/>
      <c r="L289" s="431"/>
      <c r="M289" s="431"/>
      <c r="N289" s="403">
        <v>0</v>
      </c>
      <c r="O289" s="430">
        <v>0</v>
      </c>
      <c r="P289" s="404">
        <v>0</v>
      </c>
      <c r="Q289" s="430">
        <v>0</v>
      </c>
      <c r="R289" s="358"/>
      <c r="S289" s="361"/>
      <c r="T289" s="348"/>
    </row>
    <row r="290" spans="1:20" s="349" customFormat="1" x14ac:dyDescent="0.3">
      <c r="A290" s="365"/>
      <c r="B290" s="403"/>
      <c r="C290" s="358"/>
      <c r="D290" s="431"/>
      <c r="E290" s="431"/>
      <c r="F290" s="431"/>
      <c r="G290" s="431"/>
      <c r="H290" s="431"/>
      <c r="I290" s="431"/>
      <c r="J290" s="431"/>
      <c r="K290" s="431"/>
      <c r="L290" s="431"/>
      <c r="M290" s="431"/>
      <c r="N290" s="403"/>
      <c r="O290" s="430"/>
      <c r="P290" s="404"/>
      <c r="Q290" s="430"/>
      <c r="R290" s="358"/>
      <c r="S290" s="361"/>
      <c r="T290" s="348"/>
    </row>
    <row r="291" spans="1:20" s="349" customFormat="1" x14ac:dyDescent="0.3">
      <c r="A291" s="365"/>
      <c r="B291" s="358" t="s">
        <v>94</v>
      </c>
      <c r="C291" s="358"/>
      <c r="D291" s="431"/>
      <c r="E291" s="431"/>
      <c r="F291" s="431"/>
      <c r="G291" s="431"/>
      <c r="H291" s="431"/>
      <c r="I291" s="431"/>
      <c r="J291" s="431"/>
      <c r="K291" s="431"/>
      <c r="L291" s="431"/>
      <c r="M291" s="431"/>
      <c r="N291" s="403">
        <f>SUM(N282:N289)</f>
        <v>0</v>
      </c>
      <c r="O291" s="430">
        <f>SUM(O282:O289)</f>
        <v>0</v>
      </c>
      <c r="P291" s="404">
        <f>SUM(P282:P289)</f>
        <v>0</v>
      </c>
      <c r="Q291" s="430">
        <f>SUM(Q282:Q289)</f>
        <v>0</v>
      </c>
      <c r="R291" s="358"/>
      <c r="S291" s="361"/>
      <c r="T291" s="348"/>
    </row>
    <row r="292" spans="1:20" s="349" customFormat="1" x14ac:dyDescent="0.3">
      <c r="A292" s="365"/>
      <c r="B292" s="358"/>
      <c r="C292" s="358"/>
      <c r="D292" s="431"/>
      <c r="E292" s="431"/>
      <c r="F292" s="431"/>
      <c r="G292" s="431"/>
      <c r="H292" s="431"/>
      <c r="I292" s="431"/>
      <c r="J292" s="431"/>
      <c r="K292" s="431"/>
      <c r="L292" s="431"/>
      <c r="M292" s="431"/>
      <c r="N292" s="403"/>
      <c r="O292" s="430"/>
      <c r="P292" s="404"/>
      <c r="Q292" s="430"/>
      <c r="R292" s="358"/>
      <c r="S292" s="361"/>
      <c r="T292" s="348"/>
    </row>
    <row r="293" spans="1:20" s="349" customFormat="1" x14ac:dyDescent="0.3">
      <c r="A293" s="365"/>
      <c r="B293" s="362" t="s">
        <v>177</v>
      </c>
      <c r="C293" s="358"/>
      <c r="D293" s="431"/>
      <c r="E293" s="431"/>
      <c r="F293" s="431"/>
      <c r="G293" s="431"/>
      <c r="H293" s="431"/>
      <c r="I293" s="431"/>
      <c r="J293" s="431"/>
      <c r="K293" s="431"/>
      <c r="L293" s="431"/>
      <c r="M293" s="431"/>
      <c r="N293" s="432">
        <f>N291+N279+N267</f>
        <v>589</v>
      </c>
      <c r="O293" s="430"/>
      <c r="P293" s="433">
        <f>+P291+P279+P267</f>
        <v>91943</v>
      </c>
      <c r="Q293" s="430"/>
      <c r="R293" s="358"/>
      <c r="S293" s="361"/>
      <c r="T293" s="348"/>
    </row>
    <row r="294" spans="1:20" s="349" customFormat="1" x14ac:dyDescent="0.3">
      <c r="A294" s="365"/>
      <c r="B294" s="362" t="s">
        <v>217</v>
      </c>
      <c r="C294" s="362"/>
      <c r="D294" s="434"/>
      <c r="E294" s="434"/>
      <c r="F294" s="434"/>
      <c r="G294" s="434"/>
      <c r="H294" s="434"/>
      <c r="I294" s="434"/>
      <c r="J294" s="434"/>
      <c r="K294" s="434"/>
      <c r="L294" s="434"/>
      <c r="M294" s="434"/>
      <c r="N294" s="432"/>
      <c r="O294" s="435"/>
      <c r="P294" s="433">
        <f>+R180</f>
        <v>0</v>
      </c>
      <c r="Q294" s="430"/>
      <c r="R294" s="358"/>
      <c r="S294" s="361"/>
      <c r="T294" s="348"/>
    </row>
    <row r="295" spans="1:20" s="349" customFormat="1" x14ac:dyDescent="0.3">
      <c r="A295" s="365"/>
      <c r="B295" s="362" t="s">
        <v>126</v>
      </c>
      <c r="C295" s="362"/>
      <c r="D295" s="434"/>
      <c r="E295" s="434"/>
      <c r="F295" s="434"/>
      <c r="G295" s="434"/>
      <c r="H295" s="434"/>
      <c r="I295" s="434"/>
      <c r="J295" s="434"/>
      <c r="K295" s="434"/>
      <c r="L295" s="434"/>
      <c r="M295" s="434"/>
      <c r="N295" s="432"/>
      <c r="O295" s="435"/>
      <c r="P295" s="433">
        <f>+P293+P294</f>
        <v>91943</v>
      </c>
      <c r="Q295" s="430"/>
      <c r="R295" s="358"/>
      <c r="S295" s="361"/>
      <c r="T295" s="348"/>
    </row>
    <row r="296" spans="1:20" s="349" customFormat="1" x14ac:dyDescent="0.3">
      <c r="A296" s="365"/>
      <c r="B296" s="362" t="s">
        <v>176</v>
      </c>
      <c r="C296" s="358"/>
      <c r="D296" s="431"/>
      <c r="E296" s="431"/>
      <c r="F296" s="431"/>
      <c r="G296" s="431"/>
      <c r="H296" s="431"/>
      <c r="I296" s="431"/>
      <c r="J296" s="431"/>
      <c r="K296" s="431"/>
      <c r="L296" s="431"/>
      <c r="M296" s="431"/>
      <c r="N296" s="432"/>
      <c r="O296" s="430"/>
      <c r="P296" s="433">
        <f>+R80</f>
        <v>91943</v>
      </c>
      <c r="Q296" s="430"/>
      <c r="R296" s="358"/>
      <c r="S296" s="361"/>
      <c r="T296" s="348"/>
    </row>
    <row r="297" spans="1:20" s="349" customFormat="1" x14ac:dyDescent="0.3">
      <c r="A297" s="365"/>
      <c r="B297" s="362"/>
      <c r="C297" s="358"/>
      <c r="D297" s="431"/>
      <c r="E297" s="431"/>
      <c r="F297" s="431"/>
      <c r="G297" s="431"/>
      <c r="H297" s="431"/>
      <c r="I297" s="431"/>
      <c r="J297" s="431"/>
      <c r="K297" s="431"/>
      <c r="L297" s="431"/>
      <c r="M297" s="431"/>
      <c r="N297" s="432"/>
      <c r="O297" s="430"/>
      <c r="P297" s="433"/>
      <c r="Q297" s="430"/>
      <c r="R297" s="358"/>
      <c r="S297" s="361"/>
      <c r="T297" s="348"/>
    </row>
    <row r="298" spans="1:20" s="349" customFormat="1" x14ac:dyDescent="0.3">
      <c r="A298" s="365"/>
      <c r="B298" s="362" t="s">
        <v>202</v>
      </c>
      <c r="C298" s="358"/>
      <c r="D298" s="431"/>
      <c r="E298" s="431"/>
      <c r="F298" s="431"/>
      <c r="G298" s="431"/>
      <c r="H298" s="431"/>
      <c r="I298" s="431"/>
      <c r="J298" s="431"/>
      <c r="K298" s="431"/>
      <c r="L298" s="431"/>
      <c r="M298" s="431"/>
      <c r="N298" s="432"/>
      <c r="O298" s="430"/>
      <c r="P298" s="436">
        <f>(L33+R147)/R33</f>
        <v>0.16316638036427747</v>
      </c>
      <c r="Q298" s="430"/>
      <c r="R298" s="358"/>
      <c r="S298" s="361"/>
      <c r="T298" s="348"/>
    </row>
    <row r="299" spans="1:20" s="349" customFormat="1" x14ac:dyDescent="0.3">
      <c r="A299" s="344"/>
      <c r="B299" s="346"/>
      <c r="C299" s="346"/>
      <c r="D299" s="437"/>
      <c r="E299" s="437"/>
      <c r="F299" s="437"/>
      <c r="G299" s="437"/>
      <c r="H299" s="437"/>
      <c r="I299" s="437"/>
      <c r="J299" s="437"/>
      <c r="K299" s="437"/>
      <c r="L299" s="437"/>
      <c r="M299" s="437"/>
      <c r="N299" s="437"/>
      <c r="O299" s="437"/>
      <c r="P299" s="438"/>
      <c r="Q299" s="437"/>
      <c r="R299" s="346"/>
      <c r="S299" s="347"/>
      <c r="T299" s="348"/>
    </row>
    <row r="300" spans="1:20" s="349" customFormat="1" x14ac:dyDescent="0.3">
      <c r="A300" s="344"/>
      <c r="B300" s="350" t="s">
        <v>75</v>
      </c>
      <c r="C300" s="346"/>
      <c r="D300" s="439" t="s">
        <v>79</v>
      </c>
      <c r="E300" s="350"/>
      <c r="F300" s="350" t="s">
        <v>80</v>
      </c>
      <c r="G300" s="346"/>
      <c r="H300" s="350"/>
      <c r="I300" s="346"/>
      <c r="J300" s="346"/>
      <c r="K300" s="346"/>
      <c r="L300" s="346"/>
      <c r="M300" s="346"/>
      <c r="N300" s="346"/>
      <c r="O300" s="346"/>
      <c r="P300" s="346"/>
      <c r="Q300" s="346"/>
      <c r="R300" s="346"/>
      <c r="S300" s="347"/>
      <c r="T300" s="348"/>
    </row>
    <row r="301" spans="1:20" s="349" customFormat="1" x14ac:dyDescent="0.3">
      <c r="A301" s="344"/>
      <c r="B301" s="346"/>
      <c r="C301" s="346"/>
      <c r="D301" s="346"/>
      <c r="E301" s="346"/>
      <c r="F301" s="346"/>
      <c r="G301" s="346"/>
      <c r="H301" s="346"/>
      <c r="I301" s="346"/>
      <c r="J301" s="346"/>
      <c r="K301" s="346"/>
      <c r="L301" s="346"/>
      <c r="M301" s="346"/>
      <c r="N301" s="346"/>
      <c r="O301" s="346"/>
      <c r="P301" s="346"/>
      <c r="Q301" s="346"/>
      <c r="R301" s="346"/>
      <c r="S301" s="347"/>
      <c r="T301" s="348"/>
    </row>
    <row r="302" spans="1:20" s="349" customFormat="1" x14ac:dyDescent="0.3">
      <c r="A302" s="344"/>
      <c r="B302" s="350" t="s">
        <v>193</v>
      </c>
      <c r="C302" s="350"/>
      <c r="D302" s="440" t="s">
        <v>147</v>
      </c>
      <c r="E302" s="350"/>
      <c r="F302" s="441" t="s">
        <v>292</v>
      </c>
      <c r="G302" s="350"/>
      <c r="H302" s="350"/>
      <c r="I302" s="346"/>
      <c r="J302" s="346"/>
      <c r="K302" s="346"/>
      <c r="L302" s="346"/>
      <c r="M302" s="346"/>
      <c r="N302" s="346"/>
      <c r="O302" s="346"/>
      <c r="P302" s="346"/>
      <c r="Q302" s="346"/>
      <c r="R302" s="346"/>
      <c r="S302" s="347"/>
      <c r="T302" s="348"/>
    </row>
    <row r="303" spans="1:20" s="349" customFormat="1" x14ac:dyDescent="0.3">
      <c r="A303" s="344"/>
      <c r="B303" s="350" t="s">
        <v>194</v>
      </c>
      <c r="C303" s="350"/>
      <c r="D303" s="440" t="s">
        <v>114</v>
      </c>
      <c r="E303" s="350"/>
      <c r="F303" s="441" t="s">
        <v>293</v>
      </c>
      <c r="G303" s="350"/>
      <c r="H303" s="350"/>
      <c r="I303" s="346"/>
      <c r="J303" s="346"/>
      <c r="K303" s="346"/>
      <c r="L303" s="346"/>
      <c r="M303" s="346"/>
      <c r="N303" s="346"/>
      <c r="O303" s="346"/>
      <c r="P303" s="346"/>
      <c r="Q303" s="346"/>
      <c r="R303" s="346"/>
      <c r="S303" s="347"/>
      <c r="T303" s="348"/>
    </row>
    <row r="304" spans="1:20" x14ac:dyDescent="0.3">
      <c r="A304" s="340"/>
      <c r="B304" s="259"/>
      <c r="C304" s="259"/>
      <c r="D304" s="260"/>
      <c r="E304" s="260"/>
      <c r="F304" s="260"/>
      <c r="G304" s="260"/>
      <c r="H304" s="260"/>
      <c r="I304" s="260"/>
      <c r="J304" s="260"/>
      <c r="K304" s="260"/>
      <c r="L304" s="260"/>
      <c r="M304" s="260"/>
      <c r="N304" s="260"/>
      <c r="O304" s="260"/>
      <c r="P304" s="260"/>
      <c r="Q304" s="260"/>
      <c r="R304" s="260"/>
      <c r="S304" s="261"/>
      <c r="T304" s="247"/>
    </row>
    <row r="305" spans="1:20" x14ac:dyDescent="0.3">
      <c r="A305" s="340"/>
      <c r="B305" s="259"/>
      <c r="C305" s="259"/>
      <c r="D305" s="260"/>
      <c r="E305" s="260"/>
      <c r="F305" s="260"/>
      <c r="G305" s="260"/>
      <c r="H305" s="260"/>
      <c r="I305" s="260"/>
      <c r="J305" s="260"/>
      <c r="K305" s="260"/>
      <c r="L305" s="260"/>
      <c r="M305" s="260"/>
      <c r="N305" s="260"/>
      <c r="O305" s="260"/>
      <c r="P305" s="260"/>
      <c r="Q305" s="260"/>
      <c r="R305" s="260"/>
      <c r="S305" s="261"/>
      <c r="T305" s="247"/>
    </row>
    <row r="306" spans="1:20" ht="18.600000000000001" thickBot="1" x14ac:dyDescent="0.4">
      <c r="A306" s="340"/>
      <c r="B306" s="442" t="str">
        <f>B205</f>
        <v>PM22 INVESTOR REPORT QUARTER ENDING FEBRUARY 2018</v>
      </c>
      <c r="C306" s="259"/>
      <c r="D306" s="260"/>
      <c r="E306" s="260"/>
      <c r="F306" s="260"/>
      <c r="G306" s="260"/>
      <c r="H306" s="260"/>
      <c r="I306" s="260"/>
      <c r="J306" s="260"/>
      <c r="K306" s="260"/>
      <c r="L306" s="260"/>
      <c r="M306" s="260"/>
      <c r="N306" s="260"/>
      <c r="O306" s="260"/>
      <c r="P306" s="260"/>
      <c r="Q306" s="260"/>
      <c r="R306" s="260"/>
      <c r="S306" s="311"/>
      <c r="T306" s="247"/>
    </row>
    <row r="307" spans="1:20" x14ac:dyDescent="0.3">
      <c r="A307" s="341"/>
      <c r="B307" s="341"/>
      <c r="C307" s="341"/>
      <c r="D307" s="341"/>
      <c r="E307" s="341"/>
      <c r="F307" s="341"/>
      <c r="G307" s="341"/>
      <c r="H307" s="341"/>
      <c r="I307" s="341"/>
      <c r="J307" s="341"/>
      <c r="K307" s="341"/>
      <c r="L307" s="341"/>
      <c r="M307" s="341"/>
      <c r="N307" s="341"/>
      <c r="O307" s="341"/>
      <c r="P307" s="341"/>
      <c r="Q307" s="341"/>
      <c r="R307" s="341"/>
      <c r="S307" s="341"/>
    </row>
  </sheetData>
  <hyperlinks>
    <hyperlink ref="K9" r:id="rId1"/>
    <hyperlink ref="N243"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R307"/>
  <sheetViews>
    <sheetView showGridLines="0" showOutlineSymbols="0" zoomScale="70" zoomScaleNormal="70" workbookViewId="0"/>
  </sheetViews>
  <sheetFormatPr defaultColWidth="9.6328125" defaultRowHeight="15.6" x14ac:dyDescent="0.3"/>
  <cols>
    <col min="1" max="1" width="4" style="248" customWidth="1"/>
    <col min="2" max="2" width="71.1796875" style="248" customWidth="1"/>
    <col min="3" max="3" width="2.1796875" style="248" customWidth="1"/>
    <col min="4" max="4" width="16.1796875" style="248" customWidth="1"/>
    <col min="5" max="5" width="2.90625" style="248" customWidth="1"/>
    <col min="6" max="6" width="16.1796875" style="248" customWidth="1"/>
    <col min="7" max="7" width="2.1796875" style="248" customWidth="1"/>
    <col min="8" max="8" width="17.90625" style="248" customWidth="1"/>
    <col min="9" max="9" width="2.36328125" style="248" customWidth="1"/>
    <col min="10" max="10" width="14.90625" style="248" customWidth="1"/>
    <col min="11" max="11" width="2.36328125" style="248" customWidth="1"/>
    <col min="12" max="12" width="15.54296875" style="248" customWidth="1"/>
    <col min="13" max="13" width="2.1796875" style="248" customWidth="1"/>
    <col min="14" max="14" width="15.54296875" style="248" customWidth="1"/>
    <col min="15" max="16" width="12.6328125" style="248" customWidth="1"/>
    <col min="17" max="17" width="7.81640625" style="248" customWidth="1"/>
    <col min="18" max="18" width="14.6328125" style="248" customWidth="1"/>
    <col min="19" max="19" width="11.81640625" style="248" customWidth="1"/>
    <col min="20" max="16384" width="9.6328125" style="248"/>
  </cols>
  <sheetData>
    <row r="1" spans="1:20" ht="21" x14ac:dyDescent="0.4">
      <c r="A1" s="244"/>
      <c r="B1" s="343" t="s">
        <v>221</v>
      </c>
      <c r="C1" s="245"/>
      <c r="D1" s="245"/>
      <c r="E1" s="245"/>
      <c r="F1" s="245"/>
      <c r="G1" s="245"/>
      <c r="H1" s="245"/>
      <c r="I1" s="245"/>
      <c r="J1" s="245"/>
      <c r="K1" s="245"/>
      <c r="L1" s="245"/>
      <c r="M1" s="245"/>
      <c r="N1" s="245"/>
      <c r="O1" s="245"/>
      <c r="P1" s="245"/>
      <c r="Q1" s="245"/>
      <c r="R1" s="245"/>
      <c r="S1" s="246"/>
      <c r="T1" s="247"/>
    </row>
    <row r="2" spans="1:20" x14ac:dyDescent="0.3">
      <c r="A2" s="249"/>
      <c r="B2" s="250"/>
      <c r="C2" s="251"/>
      <c r="D2" s="251"/>
      <c r="E2" s="251"/>
      <c r="F2" s="251"/>
      <c r="G2" s="251"/>
      <c r="H2" s="251"/>
      <c r="I2" s="251"/>
      <c r="J2" s="251"/>
      <c r="K2" s="251"/>
      <c r="L2" s="251"/>
      <c r="M2" s="251"/>
      <c r="N2" s="251"/>
      <c r="O2" s="251"/>
      <c r="P2" s="251"/>
      <c r="Q2" s="251"/>
      <c r="R2" s="251"/>
      <c r="S2" s="252"/>
      <c r="T2" s="247"/>
    </row>
    <row r="3" spans="1:20" x14ac:dyDescent="0.3">
      <c r="A3" s="253"/>
      <c r="B3" s="254" t="s">
        <v>222</v>
      </c>
      <c r="C3" s="251"/>
      <c r="D3" s="251"/>
      <c r="E3" s="251"/>
      <c r="F3" s="251"/>
      <c r="G3" s="251"/>
      <c r="H3" s="251"/>
      <c r="I3" s="251"/>
      <c r="J3" s="251"/>
      <c r="K3" s="251"/>
      <c r="L3" s="251"/>
      <c r="M3" s="251"/>
      <c r="N3" s="251"/>
      <c r="O3" s="251"/>
      <c r="P3" s="251"/>
      <c r="Q3" s="251"/>
      <c r="R3" s="251"/>
      <c r="S3" s="252"/>
      <c r="T3" s="247"/>
    </row>
    <row r="4" spans="1:20" x14ac:dyDescent="0.3">
      <c r="A4" s="249"/>
      <c r="B4" s="250"/>
      <c r="C4" s="251"/>
      <c r="D4" s="251"/>
      <c r="E4" s="251"/>
      <c r="F4" s="251"/>
      <c r="G4" s="251"/>
      <c r="H4" s="251"/>
      <c r="I4" s="251"/>
      <c r="J4" s="251"/>
      <c r="K4" s="251"/>
      <c r="L4" s="251"/>
      <c r="M4" s="251"/>
      <c r="N4" s="251"/>
      <c r="O4" s="251"/>
      <c r="P4" s="251"/>
      <c r="Q4" s="251"/>
      <c r="R4" s="251"/>
      <c r="S4" s="252"/>
      <c r="T4" s="247"/>
    </row>
    <row r="5" spans="1:20" s="349" customFormat="1" x14ac:dyDescent="0.3">
      <c r="A5" s="344"/>
      <c r="B5" s="345" t="s">
        <v>109</v>
      </c>
      <c r="C5" s="346"/>
      <c r="D5" s="346"/>
      <c r="E5" s="346"/>
      <c r="F5" s="346"/>
      <c r="G5" s="346"/>
      <c r="H5" s="346"/>
      <c r="I5" s="346"/>
      <c r="J5" s="346"/>
      <c r="K5" s="346"/>
      <c r="L5" s="346"/>
      <c r="M5" s="346"/>
      <c r="N5" s="346"/>
      <c r="O5" s="346"/>
      <c r="P5" s="346"/>
      <c r="Q5" s="346"/>
      <c r="R5" s="346"/>
      <c r="S5" s="347"/>
      <c r="T5" s="348"/>
    </row>
    <row r="6" spans="1:20" s="349" customFormat="1" x14ac:dyDescent="0.3">
      <c r="A6" s="344"/>
      <c r="B6" s="345" t="s">
        <v>111</v>
      </c>
      <c r="C6" s="346"/>
      <c r="D6" s="346"/>
      <c r="E6" s="346"/>
      <c r="F6" s="346"/>
      <c r="G6" s="346"/>
      <c r="H6" s="346"/>
      <c r="I6" s="346"/>
      <c r="J6" s="346"/>
      <c r="K6" s="346"/>
      <c r="L6" s="346"/>
      <c r="M6" s="346"/>
      <c r="N6" s="346"/>
      <c r="O6" s="346"/>
      <c r="P6" s="346"/>
      <c r="Q6" s="346"/>
      <c r="R6" s="346"/>
      <c r="S6" s="347"/>
      <c r="T6" s="348"/>
    </row>
    <row r="7" spans="1:20" s="349" customFormat="1" x14ac:dyDescent="0.3">
      <c r="A7" s="344"/>
      <c r="B7" s="345" t="s">
        <v>110</v>
      </c>
      <c r="C7" s="346"/>
      <c r="D7" s="346"/>
      <c r="E7" s="346"/>
      <c r="F7" s="346"/>
      <c r="G7" s="346"/>
      <c r="H7" s="346"/>
      <c r="I7" s="346"/>
      <c r="J7" s="346"/>
      <c r="K7" s="346"/>
      <c r="L7" s="346"/>
      <c r="M7" s="346"/>
      <c r="N7" s="346"/>
      <c r="O7" s="346"/>
      <c r="P7" s="346"/>
      <c r="Q7" s="346"/>
      <c r="R7" s="346"/>
      <c r="S7" s="347"/>
      <c r="T7" s="348"/>
    </row>
    <row r="8" spans="1:20" x14ac:dyDescent="0.3">
      <c r="A8" s="249"/>
      <c r="B8" s="255"/>
      <c r="C8" s="251"/>
      <c r="D8" s="251"/>
      <c r="E8" s="251"/>
      <c r="F8" s="251"/>
      <c r="G8" s="251"/>
      <c r="H8" s="251"/>
      <c r="I8" s="251"/>
      <c r="J8" s="251"/>
      <c r="K8" s="251"/>
      <c r="L8" s="251"/>
      <c r="M8" s="251"/>
      <c r="N8" s="251"/>
      <c r="O8" s="251"/>
      <c r="P8" s="251"/>
      <c r="Q8" s="251"/>
      <c r="R8" s="251"/>
      <c r="S8" s="252"/>
      <c r="T8" s="247"/>
    </row>
    <row r="9" spans="1:20" ht="18" x14ac:dyDescent="0.35">
      <c r="A9" s="249"/>
      <c r="B9" s="256" t="s">
        <v>127</v>
      </c>
      <c r="C9" s="251"/>
      <c r="D9" s="251"/>
      <c r="E9" s="257"/>
      <c r="F9" s="251"/>
      <c r="G9" s="251"/>
      <c r="H9" s="257"/>
      <c r="I9" s="251"/>
      <c r="J9" s="257"/>
      <c r="K9" s="243" t="s">
        <v>291</v>
      </c>
      <c r="L9" s="257"/>
      <c r="M9" s="251"/>
      <c r="N9" s="251"/>
      <c r="O9" s="251"/>
      <c r="P9" s="251"/>
      <c r="Q9" s="251"/>
      <c r="R9" s="251"/>
      <c r="S9" s="252"/>
      <c r="T9" s="247"/>
    </row>
    <row r="10" spans="1:20" x14ac:dyDescent="0.3">
      <c r="A10" s="249"/>
      <c r="B10" s="255"/>
      <c r="C10" s="258"/>
      <c r="D10" s="251"/>
      <c r="E10" s="251"/>
      <c r="F10" s="251"/>
      <c r="G10" s="251"/>
      <c r="H10" s="251"/>
      <c r="I10" s="251"/>
      <c r="J10" s="251"/>
      <c r="K10" s="251"/>
      <c r="L10" s="251"/>
      <c r="M10" s="251"/>
      <c r="N10" s="251"/>
      <c r="O10" s="251"/>
      <c r="P10" s="251"/>
      <c r="Q10" s="251"/>
      <c r="R10" s="251"/>
      <c r="S10" s="252"/>
      <c r="T10" s="247"/>
    </row>
    <row r="11" spans="1:20" s="349" customFormat="1" x14ac:dyDescent="0.3">
      <c r="A11" s="344"/>
      <c r="B11" s="350" t="s">
        <v>0</v>
      </c>
      <c r="C11" s="346"/>
      <c r="D11" s="346"/>
      <c r="E11" s="346"/>
      <c r="F11" s="346"/>
      <c r="G11" s="346"/>
      <c r="H11" s="346"/>
      <c r="I11" s="346"/>
      <c r="J11" s="346"/>
      <c r="K11" s="346"/>
      <c r="L11" s="346"/>
      <c r="M11" s="346"/>
      <c r="N11" s="346"/>
      <c r="O11" s="346"/>
      <c r="P11" s="346"/>
      <c r="Q11" s="346"/>
      <c r="R11" s="346"/>
      <c r="S11" s="347"/>
      <c r="T11" s="348"/>
    </row>
    <row r="12" spans="1:20" ht="16.2" thickBot="1" x14ac:dyDescent="0.35">
      <c r="A12" s="249"/>
      <c r="B12" s="258"/>
      <c r="C12" s="251"/>
      <c r="D12" s="251"/>
      <c r="E12" s="251"/>
      <c r="F12" s="251"/>
      <c r="G12" s="251"/>
      <c r="H12" s="251"/>
      <c r="I12" s="251"/>
      <c r="J12" s="251"/>
      <c r="K12" s="251"/>
      <c r="L12" s="251"/>
      <c r="M12" s="251"/>
      <c r="N12" s="251"/>
      <c r="O12" s="251"/>
      <c r="P12" s="251"/>
      <c r="Q12" s="251"/>
      <c r="R12" s="251"/>
      <c r="S12" s="252"/>
      <c r="T12" s="247"/>
    </row>
    <row r="13" spans="1:20" x14ac:dyDescent="0.3">
      <c r="A13" s="244"/>
      <c r="B13" s="245"/>
      <c r="C13" s="245"/>
      <c r="D13" s="245"/>
      <c r="E13" s="245"/>
      <c r="F13" s="245"/>
      <c r="G13" s="245"/>
      <c r="H13" s="245"/>
      <c r="I13" s="245"/>
      <c r="J13" s="245"/>
      <c r="K13" s="245"/>
      <c r="L13" s="245"/>
      <c r="M13" s="245"/>
      <c r="N13" s="245"/>
      <c r="O13" s="245"/>
      <c r="P13" s="245"/>
      <c r="Q13" s="245"/>
      <c r="R13" s="245"/>
      <c r="S13" s="246"/>
      <c r="T13" s="247"/>
    </row>
    <row r="14" spans="1:20" s="349" customFormat="1" x14ac:dyDescent="0.3">
      <c r="A14" s="344"/>
      <c r="B14" s="350" t="s">
        <v>1</v>
      </c>
      <c r="C14" s="346"/>
      <c r="D14" s="346"/>
      <c r="E14" s="346"/>
      <c r="F14" s="346"/>
      <c r="G14" s="346"/>
      <c r="H14" s="346"/>
      <c r="I14" s="346"/>
      <c r="J14" s="346"/>
      <c r="K14" s="346"/>
      <c r="L14" s="346"/>
      <c r="M14" s="346"/>
      <c r="N14" s="346"/>
      <c r="O14" s="346"/>
      <c r="P14" s="346"/>
      <c r="Q14" s="346"/>
      <c r="R14" s="351" t="s">
        <v>223</v>
      </c>
      <c r="S14" s="347"/>
      <c r="T14" s="348"/>
    </row>
    <row r="15" spans="1:20" s="349" customFormat="1" x14ac:dyDescent="0.3">
      <c r="A15" s="344"/>
      <c r="B15" s="350" t="s">
        <v>2</v>
      </c>
      <c r="C15" s="346"/>
      <c r="D15" s="352"/>
      <c r="E15" s="352"/>
      <c r="F15" s="352"/>
      <c r="G15" s="352"/>
      <c r="H15" s="352"/>
      <c r="I15" s="352"/>
      <c r="J15" s="352"/>
      <c r="K15" s="352"/>
      <c r="L15" s="352"/>
      <c r="M15" s="352"/>
      <c r="N15" s="353"/>
      <c r="O15" s="353"/>
      <c r="P15" s="353" t="s">
        <v>154</v>
      </c>
      <c r="Q15" s="353">
        <v>1</v>
      </c>
      <c r="R15" s="351"/>
      <c r="S15" s="347"/>
      <c r="T15" s="348"/>
    </row>
    <row r="16" spans="1:20" s="349" customFormat="1" x14ac:dyDescent="0.3">
      <c r="A16" s="344"/>
      <c r="B16" s="350" t="s">
        <v>3</v>
      </c>
      <c r="C16" s="346"/>
      <c r="D16" s="352"/>
      <c r="E16" s="352"/>
      <c r="F16" s="352"/>
      <c r="G16" s="352"/>
      <c r="H16" s="352"/>
      <c r="I16" s="352"/>
      <c r="J16" s="352"/>
      <c r="K16" s="352"/>
      <c r="L16" s="352"/>
      <c r="M16" s="352"/>
      <c r="N16" s="353"/>
      <c r="O16" s="353"/>
      <c r="P16" s="353" t="s">
        <v>154</v>
      </c>
      <c r="Q16" s="353">
        <v>1</v>
      </c>
      <c r="R16" s="351"/>
      <c r="S16" s="347"/>
      <c r="T16" s="348"/>
    </row>
    <row r="17" spans="1:23" s="349" customFormat="1" x14ac:dyDescent="0.3">
      <c r="A17" s="344"/>
      <c r="B17" s="350" t="s">
        <v>4</v>
      </c>
      <c r="C17" s="346"/>
      <c r="D17" s="346"/>
      <c r="E17" s="346"/>
      <c r="F17" s="346"/>
      <c r="G17" s="346"/>
      <c r="H17" s="346"/>
      <c r="I17" s="346"/>
      <c r="J17" s="346"/>
      <c r="K17" s="346"/>
      <c r="L17" s="346"/>
      <c r="M17" s="346"/>
      <c r="N17" s="346"/>
      <c r="O17" s="346"/>
      <c r="P17" s="346"/>
      <c r="Q17" s="346"/>
      <c r="R17" s="354">
        <v>42088</v>
      </c>
      <c r="S17" s="347"/>
      <c r="T17" s="348"/>
    </row>
    <row r="18" spans="1:23" s="349" customFormat="1" x14ac:dyDescent="0.3">
      <c r="A18" s="344"/>
      <c r="B18" s="350" t="s">
        <v>5</v>
      </c>
      <c r="C18" s="346"/>
      <c r="D18" s="346"/>
      <c r="E18" s="346"/>
      <c r="F18" s="346"/>
      <c r="G18" s="346"/>
      <c r="H18" s="346"/>
      <c r="I18" s="346"/>
      <c r="J18" s="346"/>
      <c r="K18" s="346"/>
      <c r="L18" s="346"/>
      <c r="M18" s="346"/>
      <c r="N18" s="346"/>
      <c r="O18" s="346"/>
      <c r="P18" s="346"/>
      <c r="Q18" s="346"/>
      <c r="R18" s="354">
        <v>43272</v>
      </c>
      <c r="S18" s="347"/>
      <c r="T18" s="348"/>
    </row>
    <row r="19" spans="1:23" s="349" customFormat="1" x14ac:dyDescent="0.3">
      <c r="A19" s="344"/>
      <c r="B19" s="346"/>
      <c r="C19" s="346"/>
      <c r="D19" s="346"/>
      <c r="E19" s="346"/>
      <c r="F19" s="346"/>
      <c r="G19" s="346"/>
      <c r="H19" s="346"/>
      <c r="I19" s="346"/>
      <c r="J19" s="346"/>
      <c r="K19" s="346"/>
      <c r="L19" s="346"/>
      <c r="M19" s="346"/>
      <c r="N19" s="346"/>
      <c r="O19" s="346"/>
      <c r="P19" s="346"/>
      <c r="Q19" s="346"/>
      <c r="R19" s="355"/>
      <c r="S19" s="347"/>
      <c r="T19" s="348"/>
    </row>
    <row r="20" spans="1:23" s="349" customFormat="1" x14ac:dyDescent="0.3">
      <c r="A20" s="344"/>
      <c r="B20" s="356" t="s">
        <v>6</v>
      </c>
      <c r="C20" s="346"/>
      <c r="D20" s="346"/>
      <c r="E20" s="346"/>
      <c r="F20" s="346"/>
      <c r="G20" s="346"/>
      <c r="H20" s="346"/>
      <c r="I20" s="346"/>
      <c r="J20" s="346"/>
      <c r="K20" s="346"/>
      <c r="L20" s="346"/>
      <c r="M20" s="346"/>
      <c r="N20" s="346"/>
      <c r="O20" s="346"/>
      <c r="P20" s="355" t="s">
        <v>85</v>
      </c>
      <c r="Q20" s="346"/>
      <c r="R20" s="346"/>
      <c r="S20" s="347"/>
      <c r="T20" s="348"/>
    </row>
    <row r="21" spans="1:23" x14ac:dyDescent="0.3">
      <c r="A21" s="249"/>
      <c r="B21" s="251"/>
      <c r="C21" s="251"/>
      <c r="D21" s="251"/>
      <c r="E21" s="251"/>
      <c r="F21" s="251"/>
      <c r="G21" s="251"/>
      <c r="H21" s="251"/>
      <c r="I21" s="251"/>
      <c r="J21" s="251"/>
      <c r="K21" s="251"/>
      <c r="L21" s="251"/>
      <c r="M21" s="251"/>
      <c r="N21" s="251"/>
      <c r="O21" s="251"/>
      <c r="P21" s="251"/>
      <c r="Q21" s="251"/>
      <c r="R21" s="262"/>
      <c r="S21" s="252"/>
      <c r="T21" s="247"/>
    </row>
    <row r="22" spans="1:23" x14ac:dyDescent="0.3">
      <c r="A22" s="443"/>
      <c r="B22" s="447"/>
      <c r="C22" s="448"/>
      <c r="D22" s="448" t="s">
        <v>232</v>
      </c>
      <c r="E22" s="448"/>
      <c r="F22" s="448" t="s">
        <v>233</v>
      </c>
      <c r="G22" s="448"/>
      <c r="H22" s="448" t="s">
        <v>179</v>
      </c>
      <c r="I22" s="448"/>
      <c r="J22" s="448" t="s">
        <v>180</v>
      </c>
      <c r="K22" s="448"/>
      <c r="L22" s="448" t="s">
        <v>234</v>
      </c>
      <c r="M22" s="448"/>
      <c r="N22" s="448"/>
      <c r="O22" s="449"/>
      <c r="P22" s="449"/>
      <c r="Q22" s="447"/>
      <c r="R22" s="447"/>
      <c r="S22" s="445"/>
      <c r="T22" s="247"/>
    </row>
    <row r="23" spans="1:23" s="349" customFormat="1" x14ac:dyDescent="0.3">
      <c r="A23" s="344"/>
      <c r="B23" s="393" t="s">
        <v>226</v>
      </c>
      <c r="C23" s="446"/>
      <c r="D23" s="446" t="s">
        <v>112</v>
      </c>
      <c r="E23" s="446"/>
      <c r="F23" s="446" t="s">
        <v>112</v>
      </c>
      <c r="G23" s="446"/>
      <c r="H23" s="446" t="s">
        <v>178</v>
      </c>
      <c r="I23" s="446"/>
      <c r="J23" s="446" t="s">
        <v>249</v>
      </c>
      <c r="K23" s="446"/>
      <c r="L23" s="446" t="s">
        <v>153</v>
      </c>
      <c r="M23" s="446"/>
      <c r="N23" s="446"/>
      <c r="O23" s="446"/>
      <c r="P23" s="446"/>
      <c r="Q23" s="393"/>
      <c r="R23" s="393"/>
      <c r="S23" s="347"/>
      <c r="T23" s="348"/>
    </row>
    <row r="24" spans="1:23" s="349" customFormat="1" x14ac:dyDescent="0.3">
      <c r="A24" s="357"/>
      <c r="B24" s="358" t="s">
        <v>197</v>
      </c>
      <c r="C24" s="359"/>
      <c r="D24" s="360" t="s">
        <v>199</v>
      </c>
      <c r="E24" s="360"/>
      <c r="F24" s="360" t="s">
        <v>199</v>
      </c>
      <c r="G24" s="360"/>
      <c r="H24" s="360" t="s">
        <v>200</v>
      </c>
      <c r="I24" s="360"/>
      <c r="J24" s="360" t="s">
        <v>201</v>
      </c>
      <c r="K24" s="360"/>
      <c r="L24" s="360" t="s">
        <v>153</v>
      </c>
      <c r="M24" s="360"/>
      <c r="N24" s="360"/>
      <c r="O24" s="359"/>
      <c r="P24" s="360"/>
      <c r="Q24" s="358"/>
      <c r="R24" s="358"/>
      <c r="S24" s="361"/>
      <c r="T24" s="348"/>
    </row>
    <row r="25" spans="1:23" s="349" customFormat="1" x14ac:dyDescent="0.3">
      <c r="A25" s="357"/>
      <c r="B25" s="362" t="s">
        <v>227</v>
      </c>
      <c r="C25" s="359"/>
      <c r="D25" s="359" t="s">
        <v>112</v>
      </c>
      <c r="E25" s="359"/>
      <c r="F25" s="359" t="s">
        <v>112</v>
      </c>
      <c r="G25" s="359"/>
      <c r="H25" s="359" t="s">
        <v>112</v>
      </c>
      <c r="I25" s="359"/>
      <c r="J25" s="359" t="s">
        <v>178</v>
      </c>
      <c r="K25" s="359"/>
      <c r="L25" s="359" t="s">
        <v>153</v>
      </c>
      <c r="M25" s="359"/>
      <c r="N25" s="359"/>
      <c r="O25" s="359"/>
      <c r="P25" s="360"/>
      <c r="Q25" s="358"/>
      <c r="R25" s="358"/>
      <c r="S25" s="361"/>
      <c r="T25" s="348"/>
      <c r="U25" s="363"/>
      <c r="W25" s="364"/>
    </row>
    <row r="26" spans="1:23" s="349" customFormat="1" x14ac:dyDescent="0.3">
      <c r="A26" s="365"/>
      <c r="B26" s="362" t="s">
        <v>198</v>
      </c>
      <c r="C26" s="360"/>
      <c r="D26" s="359" t="s">
        <v>199</v>
      </c>
      <c r="E26" s="359"/>
      <c r="F26" s="359" t="s">
        <v>199</v>
      </c>
      <c r="G26" s="359"/>
      <c r="H26" s="359" t="s">
        <v>199</v>
      </c>
      <c r="I26" s="359"/>
      <c r="J26" s="359" t="s">
        <v>296</v>
      </c>
      <c r="K26" s="359"/>
      <c r="L26" s="359" t="s">
        <v>153</v>
      </c>
      <c r="M26" s="359"/>
      <c r="N26" s="359"/>
      <c r="O26" s="360"/>
      <c r="P26" s="366"/>
      <c r="Q26" s="358"/>
      <c r="R26" s="358"/>
      <c r="S26" s="361"/>
      <c r="T26" s="348"/>
      <c r="U26" s="363"/>
      <c r="W26" s="364"/>
    </row>
    <row r="27" spans="1:23" s="349" customFormat="1" x14ac:dyDescent="0.3">
      <c r="A27" s="365"/>
      <c r="B27" s="358" t="s">
        <v>7</v>
      </c>
      <c r="C27" s="367"/>
      <c r="D27" s="360" t="s">
        <v>228</v>
      </c>
      <c r="E27" s="360"/>
      <c r="F27" s="360" t="s">
        <v>242</v>
      </c>
      <c r="G27" s="360"/>
      <c r="H27" s="360" t="s">
        <v>243</v>
      </c>
      <c r="I27" s="360"/>
      <c r="J27" s="360" t="s">
        <v>244</v>
      </c>
      <c r="K27" s="360"/>
      <c r="L27" s="360" t="s">
        <v>245</v>
      </c>
      <c r="M27" s="360"/>
      <c r="N27" s="360"/>
      <c r="O27" s="368"/>
      <c r="P27" s="368"/>
      <c r="Q27" s="367"/>
      <c r="R27" s="368"/>
      <c r="S27" s="369"/>
      <c r="T27" s="348"/>
      <c r="U27" s="363"/>
      <c r="W27" s="364"/>
    </row>
    <row r="28" spans="1:23" s="349" customFormat="1" x14ac:dyDescent="0.3">
      <c r="A28" s="357"/>
      <c r="B28" s="358" t="s">
        <v>106</v>
      </c>
      <c r="C28" s="370"/>
      <c r="D28" s="371">
        <v>164000</v>
      </c>
      <c r="E28" s="372"/>
      <c r="F28" s="373">
        <v>151700</v>
      </c>
      <c r="G28" s="374"/>
      <c r="H28" s="373">
        <v>12000</v>
      </c>
      <c r="I28" s="374"/>
      <c r="J28" s="373">
        <v>12000</v>
      </c>
      <c r="K28" s="368"/>
      <c r="L28" s="373">
        <v>7500</v>
      </c>
      <c r="M28" s="368"/>
      <c r="N28" s="372"/>
      <c r="O28" s="375"/>
      <c r="P28" s="375"/>
      <c r="Q28" s="370"/>
      <c r="R28" s="368"/>
      <c r="S28" s="369"/>
      <c r="T28" s="348"/>
    </row>
    <row r="29" spans="1:23" s="349" customFormat="1" x14ac:dyDescent="0.3">
      <c r="A29" s="365"/>
      <c r="B29" s="358" t="s">
        <v>105</v>
      </c>
      <c r="C29" s="367"/>
      <c r="D29" s="371">
        <f>D28*D35</f>
        <v>36917.367599999998</v>
      </c>
      <c r="E29" s="372"/>
      <c r="F29" s="373">
        <f>F28*F35</f>
        <v>34148.565029999998</v>
      </c>
      <c r="G29" s="373"/>
      <c r="H29" s="373">
        <f>H28</f>
        <v>12000</v>
      </c>
      <c r="I29" s="373"/>
      <c r="J29" s="373">
        <f>J28</f>
        <v>12000</v>
      </c>
      <c r="K29" s="368"/>
      <c r="L29" s="373">
        <f>L28</f>
        <v>7500</v>
      </c>
      <c r="M29" s="368"/>
      <c r="N29" s="372"/>
      <c r="O29" s="368"/>
      <c r="P29" s="368"/>
      <c r="Q29" s="367"/>
      <c r="R29" s="368"/>
      <c r="S29" s="369"/>
      <c r="T29" s="348"/>
    </row>
    <row r="30" spans="1:23" s="349" customFormat="1" x14ac:dyDescent="0.3">
      <c r="A30" s="365"/>
      <c r="B30" s="362" t="s">
        <v>107</v>
      </c>
      <c r="C30" s="367"/>
      <c r="D30" s="376">
        <f>D28*D34</f>
        <v>29760.128799999999</v>
      </c>
      <c r="E30" s="377"/>
      <c r="F30" s="377">
        <f t="shared" ref="F30" si="0">F28*F34</f>
        <v>27528.119139999999</v>
      </c>
      <c r="G30" s="377"/>
      <c r="H30" s="377">
        <f t="shared" ref="H30" si="1">H28*H34</f>
        <v>12000</v>
      </c>
      <c r="I30" s="377"/>
      <c r="J30" s="377">
        <f t="shared" ref="J30" si="2">J28*J34</f>
        <v>12000</v>
      </c>
      <c r="K30" s="377"/>
      <c r="L30" s="377">
        <f t="shared" ref="L30" si="3">L28*L34</f>
        <v>7500</v>
      </c>
      <c r="M30" s="375"/>
      <c r="N30" s="378"/>
      <c r="O30" s="368"/>
      <c r="P30" s="368"/>
      <c r="Q30" s="367"/>
      <c r="R30" s="375"/>
      <c r="S30" s="369"/>
      <c r="T30" s="348"/>
    </row>
    <row r="31" spans="1:23" s="349" customFormat="1" x14ac:dyDescent="0.3">
      <c r="A31" s="365"/>
      <c r="B31" s="358" t="s">
        <v>229</v>
      </c>
      <c r="C31" s="367"/>
      <c r="D31" s="373">
        <v>116809</v>
      </c>
      <c r="E31" s="373"/>
      <c r="F31" s="373">
        <v>151700</v>
      </c>
      <c r="G31" s="373"/>
      <c r="H31" s="373">
        <v>12000</v>
      </c>
      <c r="I31" s="373"/>
      <c r="J31" s="373">
        <v>12000</v>
      </c>
      <c r="K31" s="373"/>
      <c r="L31" s="373">
        <v>7500</v>
      </c>
      <c r="M31" s="368"/>
      <c r="N31" s="378"/>
      <c r="O31" s="368"/>
      <c r="P31" s="368"/>
      <c r="Q31" s="367"/>
      <c r="R31" s="368">
        <f>SUM(D31:L31)</f>
        <v>300009</v>
      </c>
      <c r="S31" s="369"/>
      <c r="T31" s="348"/>
    </row>
    <row r="32" spans="1:23" s="349" customFormat="1" x14ac:dyDescent="0.3">
      <c r="A32" s="365"/>
      <c r="B32" s="358" t="s">
        <v>230</v>
      </c>
      <c r="C32" s="367"/>
      <c r="D32" s="373">
        <f>D31*D35</f>
        <v>26294.3950731</v>
      </c>
      <c r="E32" s="373"/>
      <c r="F32" s="373">
        <f>F31*F35</f>
        <v>34148.565029999998</v>
      </c>
      <c r="G32" s="373"/>
      <c r="H32" s="373">
        <f>H31</f>
        <v>12000</v>
      </c>
      <c r="I32" s="373"/>
      <c r="J32" s="373">
        <f>+J31</f>
        <v>12000</v>
      </c>
      <c r="K32" s="373"/>
      <c r="L32" s="373">
        <f>L31</f>
        <v>7500</v>
      </c>
      <c r="M32" s="368"/>
      <c r="N32" s="378"/>
      <c r="O32" s="368"/>
      <c r="P32" s="368"/>
      <c r="Q32" s="367"/>
      <c r="R32" s="368">
        <f>SUM(D32:L32)</f>
        <v>91942.960103099991</v>
      </c>
      <c r="S32" s="369"/>
      <c r="T32" s="348"/>
    </row>
    <row r="33" spans="1:20" s="349" customFormat="1" x14ac:dyDescent="0.3">
      <c r="A33" s="365"/>
      <c r="B33" s="362" t="s">
        <v>231</v>
      </c>
      <c r="C33" s="367"/>
      <c r="D33" s="377">
        <f>D31*D34</f>
        <v>21196.651737799999</v>
      </c>
      <c r="E33" s="377"/>
      <c r="F33" s="377">
        <f>F31*F34</f>
        <v>27528.119139999999</v>
      </c>
      <c r="G33" s="377"/>
      <c r="H33" s="377">
        <f t="shared" ref="H33:L33" si="4">H31*H34</f>
        <v>12000</v>
      </c>
      <c r="I33" s="377"/>
      <c r="J33" s="377">
        <f t="shared" si="4"/>
        <v>12000</v>
      </c>
      <c r="K33" s="377"/>
      <c r="L33" s="377">
        <f t="shared" si="4"/>
        <v>7500</v>
      </c>
      <c r="M33" s="375"/>
      <c r="N33" s="378"/>
      <c r="O33" s="368"/>
      <c r="P33" s="368"/>
      <c r="Q33" s="367"/>
      <c r="R33" s="375">
        <f>SUM(D33:L33)</f>
        <v>80224.770877799994</v>
      </c>
      <c r="S33" s="369"/>
      <c r="T33" s="348"/>
    </row>
    <row r="34" spans="1:20" s="273" customFormat="1" x14ac:dyDescent="0.3">
      <c r="A34" s="265"/>
      <c r="B34" s="266" t="s">
        <v>103</v>
      </c>
      <c r="C34" s="267"/>
      <c r="D34" s="268">
        <v>0.18146419999999999</v>
      </c>
      <c r="E34" s="268"/>
      <c r="F34" s="268">
        <v>0.18146419999999999</v>
      </c>
      <c r="G34" s="268"/>
      <c r="H34" s="268">
        <v>1</v>
      </c>
      <c r="I34" s="268"/>
      <c r="J34" s="268">
        <v>1</v>
      </c>
      <c r="K34" s="268"/>
      <c r="L34" s="268">
        <v>1</v>
      </c>
      <c r="M34" s="268"/>
      <c r="N34" s="268"/>
      <c r="O34" s="269"/>
      <c r="P34" s="269"/>
      <c r="Q34" s="267"/>
      <c r="R34" s="270"/>
      <c r="S34" s="271"/>
      <c r="T34" s="272"/>
    </row>
    <row r="35" spans="1:20" s="273" customFormat="1" x14ac:dyDescent="0.3">
      <c r="A35" s="265"/>
      <c r="B35" s="266" t="s">
        <v>104</v>
      </c>
      <c r="C35" s="267"/>
      <c r="D35" s="268">
        <v>0.2251059</v>
      </c>
      <c r="E35" s="268"/>
      <c r="F35" s="268">
        <v>0.2251059</v>
      </c>
      <c r="G35" s="268"/>
      <c r="H35" s="268">
        <v>1</v>
      </c>
      <c r="I35" s="268"/>
      <c r="J35" s="268">
        <v>1</v>
      </c>
      <c r="K35" s="268"/>
      <c r="L35" s="268">
        <v>1</v>
      </c>
      <c r="M35" s="268"/>
      <c r="N35" s="268"/>
      <c r="O35" s="274"/>
      <c r="P35" s="275"/>
      <c r="Q35" s="267"/>
      <c r="R35" s="274"/>
      <c r="S35" s="271"/>
      <c r="T35" s="272"/>
    </row>
    <row r="36" spans="1:20" s="349" customFormat="1" x14ac:dyDescent="0.3">
      <c r="A36" s="365"/>
      <c r="B36" s="358" t="s">
        <v>8</v>
      </c>
      <c r="C36" s="358"/>
      <c r="D36" s="366" t="s">
        <v>240</v>
      </c>
      <c r="E36" s="366"/>
      <c r="F36" s="366" t="s">
        <v>220</v>
      </c>
      <c r="G36" s="366"/>
      <c r="H36" s="366" t="s">
        <v>247</v>
      </c>
      <c r="I36" s="366"/>
      <c r="J36" s="366" t="s">
        <v>250</v>
      </c>
      <c r="K36" s="366"/>
      <c r="L36" s="366" t="s">
        <v>252</v>
      </c>
      <c r="M36" s="366"/>
      <c r="N36" s="366"/>
      <c r="O36" s="379"/>
      <c r="P36" s="380"/>
      <c r="Q36" s="358"/>
      <c r="R36" s="358"/>
      <c r="S36" s="361"/>
      <c r="T36" s="348"/>
    </row>
    <row r="37" spans="1:20" s="349" customFormat="1" x14ac:dyDescent="0.3">
      <c r="A37" s="365"/>
      <c r="B37" s="358" t="s">
        <v>9</v>
      </c>
      <c r="C37" s="381"/>
      <c r="D37" s="380">
        <v>1.73E-3</v>
      </c>
      <c r="E37" s="380"/>
      <c r="F37" s="380">
        <v>1.40591E-2</v>
      </c>
      <c r="G37" s="380"/>
      <c r="H37" s="380">
        <v>1.9559099999999999E-2</v>
      </c>
      <c r="I37" s="380"/>
      <c r="J37" s="380">
        <v>2.2559099999999999E-2</v>
      </c>
      <c r="K37" s="380"/>
      <c r="L37" s="380">
        <v>2.6059100000000002E-2</v>
      </c>
      <c r="M37" s="379"/>
      <c r="N37" s="380"/>
      <c r="O37" s="366"/>
      <c r="P37" s="366"/>
      <c r="Q37" s="358"/>
      <c r="R37" s="379"/>
      <c r="S37" s="361"/>
      <c r="T37" s="348"/>
    </row>
    <row r="38" spans="1:20" s="349" customFormat="1" x14ac:dyDescent="0.3">
      <c r="A38" s="365"/>
      <c r="B38" s="358" t="s">
        <v>10</v>
      </c>
      <c r="C38" s="381"/>
      <c r="D38" s="380">
        <v>1.7099999999999999E-3</v>
      </c>
      <c r="E38" s="380"/>
      <c r="F38" s="380">
        <v>1.3161900000000001E-2</v>
      </c>
      <c r="G38" s="380"/>
      <c r="H38" s="380">
        <v>1.8661899999999999E-2</v>
      </c>
      <c r="I38" s="380"/>
      <c r="J38" s="380">
        <v>2.1661900000000001E-2</v>
      </c>
      <c r="K38" s="380"/>
      <c r="L38" s="380">
        <v>2.5161900000000001E-2</v>
      </c>
      <c r="M38" s="379"/>
      <c r="N38" s="380"/>
      <c r="O38" s="366"/>
      <c r="P38" s="366"/>
      <c r="Q38" s="358"/>
      <c r="R38" s="358"/>
      <c r="S38" s="361"/>
      <c r="T38" s="348"/>
    </row>
    <row r="39" spans="1:20" s="349" customFormat="1" x14ac:dyDescent="0.3">
      <c r="A39" s="365"/>
      <c r="B39" s="358" t="s">
        <v>235</v>
      </c>
      <c r="C39" s="381"/>
      <c r="D39" s="382" t="s">
        <v>260</v>
      </c>
      <c r="E39" s="380"/>
      <c r="F39" s="380" t="s">
        <v>220</v>
      </c>
      <c r="G39" s="380"/>
      <c r="H39" s="380" t="s">
        <v>247</v>
      </c>
      <c r="I39" s="380"/>
      <c r="J39" s="366" t="s">
        <v>250</v>
      </c>
      <c r="K39" s="380"/>
      <c r="L39" s="380" t="s">
        <v>252</v>
      </c>
      <c r="M39" s="379"/>
      <c r="N39" s="380"/>
      <c r="O39" s="366"/>
      <c r="P39" s="366"/>
      <c r="Q39" s="358"/>
      <c r="R39" s="358"/>
      <c r="S39" s="361"/>
      <c r="T39" s="348"/>
    </row>
    <row r="40" spans="1:20" s="349" customFormat="1" x14ac:dyDescent="0.3">
      <c r="A40" s="365"/>
      <c r="B40" s="358" t="s">
        <v>236</v>
      </c>
      <c r="C40" s="381"/>
      <c r="D40" s="380">
        <v>1.6459100000000001E-2</v>
      </c>
      <c r="E40" s="380"/>
      <c r="F40" s="380">
        <f>+F37</f>
        <v>1.40591E-2</v>
      </c>
      <c r="G40" s="380"/>
      <c r="H40" s="380">
        <f>+H37</f>
        <v>1.9559099999999999E-2</v>
      </c>
      <c r="I40" s="380"/>
      <c r="J40" s="380">
        <f>+J37</f>
        <v>2.2559099999999999E-2</v>
      </c>
      <c r="K40" s="380"/>
      <c r="L40" s="380">
        <f>+L37</f>
        <v>2.6059100000000002E-2</v>
      </c>
      <c r="M40" s="379"/>
      <c r="N40" s="380"/>
      <c r="O40" s="366"/>
      <c r="P40" s="366"/>
      <c r="Q40" s="358"/>
      <c r="R40" s="379">
        <f>SUMPRODUCT(D40:L40,D32:L32)/R32</f>
        <v>1.755155388461899E-2</v>
      </c>
      <c r="S40" s="361"/>
      <c r="T40" s="348"/>
    </row>
    <row r="41" spans="1:20" s="349" customFormat="1" x14ac:dyDescent="0.3">
      <c r="A41" s="365"/>
      <c r="B41" s="358" t="s">
        <v>237</v>
      </c>
      <c r="C41" s="381"/>
      <c r="D41" s="380">
        <v>1.55619E-2</v>
      </c>
      <c r="E41" s="380"/>
      <c r="F41" s="380">
        <f>+F38</f>
        <v>1.3161900000000001E-2</v>
      </c>
      <c r="G41" s="380"/>
      <c r="H41" s="380">
        <f>+H38</f>
        <v>1.8661899999999999E-2</v>
      </c>
      <c r="I41" s="380"/>
      <c r="J41" s="380">
        <f>+J38</f>
        <v>2.1661900000000001E-2</v>
      </c>
      <c r="K41" s="380"/>
      <c r="L41" s="380">
        <f>+L38</f>
        <v>2.5161900000000001E-2</v>
      </c>
      <c r="M41" s="379"/>
      <c r="N41" s="380"/>
      <c r="O41" s="366"/>
      <c r="P41" s="366"/>
      <c r="Q41" s="358"/>
      <c r="R41" s="358"/>
      <c r="S41" s="361"/>
      <c r="T41" s="348"/>
    </row>
    <row r="42" spans="1:20" s="349" customFormat="1" x14ac:dyDescent="0.3">
      <c r="A42" s="365"/>
      <c r="B42" s="358" t="s">
        <v>238</v>
      </c>
      <c r="C42" s="358"/>
      <c r="D42" s="381">
        <v>43631</v>
      </c>
      <c r="E42" s="381"/>
      <c r="F42" s="381">
        <v>43631</v>
      </c>
      <c r="G42" s="381"/>
      <c r="H42" s="381">
        <v>43631</v>
      </c>
      <c r="I42" s="381"/>
      <c r="J42" s="381">
        <v>43631</v>
      </c>
      <c r="K42" s="381"/>
      <c r="L42" s="381">
        <v>43631</v>
      </c>
      <c r="M42" s="381"/>
      <c r="N42" s="381"/>
      <c r="O42" s="366"/>
      <c r="P42" s="366"/>
      <c r="Q42" s="358"/>
      <c r="R42" s="358"/>
      <c r="S42" s="361"/>
      <c r="T42" s="348"/>
    </row>
    <row r="43" spans="1:20" s="349" customFormat="1" x14ac:dyDescent="0.3">
      <c r="A43" s="365"/>
      <c r="B43" s="358" t="s">
        <v>11</v>
      </c>
      <c r="C43" s="358"/>
      <c r="D43" s="381">
        <v>43631</v>
      </c>
      <c r="E43" s="381"/>
      <c r="F43" s="381">
        <v>43631</v>
      </c>
      <c r="G43" s="366"/>
      <c r="H43" s="381">
        <v>43631</v>
      </c>
      <c r="I43" s="366"/>
      <c r="J43" s="381">
        <v>43631</v>
      </c>
      <c r="K43" s="366"/>
      <c r="L43" s="381" t="s">
        <v>97</v>
      </c>
      <c r="M43" s="366"/>
      <c r="N43" s="381"/>
      <c r="O43" s="366"/>
      <c r="P43" s="366"/>
      <c r="Q43" s="358"/>
      <c r="R43" s="358"/>
      <c r="S43" s="361"/>
      <c r="T43" s="348"/>
    </row>
    <row r="44" spans="1:20" s="349" customFormat="1" x14ac:dyDescent="0.3">
      <c r="A44" s="365"/>
      <c r="B44" s="358" t="s">
        <v>98</v>
      </c>
      <c r="C44" s="358"/>
      <c r="D44" s="366" t="s">
        <v>241</v>
      </c>
      <c r="E44" s="366"/>
      <c r="F44" s="366" t="s">
        <v>246</v>
      </c>
      <c r="G44" s="366"/>
      <c r="H44" s="366" t="s">
        <v>248</v>
      </c>
      <c r="I44" s="366"/>
      <c r="J44" s="366" t="s">
        <v>251</v>
      </c>
      <c r="K44" s="366"/>
      <c r="L44" s="366" t="s">
        <v>97</v>
      </c>
      <c r="M44" s="366"/>
      <c r="N44" s="366"/>
      <c r="O44" s="383"/>
      <c r="P44" s="383"/>
      <c r="Q44" s="383"/>
      <c r="R44" s="383"/>
      <c r="S44" s="361"/>
      <c r="T44" s="348"/>
    </row>
    <row r="45" spans="1:20" s="349" customFormat="1" x14ac:dyDescent="0.3">
      <c r="A45" s="365"/>
      <c r="B45" s="358" t="s">
        <v>239</v>
      </c>
      <c r="C45" s="358"/>
      <c r="D45" s="366" t="s">
        <v>273</v>
      </c>
      <c r="E45" s="366"/>
      <c r="F45" s="366" t="s">
        <v>246</v>
      </c>
      <c r="G45" s="366"/>
      <c r="H45" s="366" t="s">
        <v>248</v>
      </c>
      <c r="I45" s="366"/>
      <c r="J45" s="366" t="s">
        <v>251</v>
      </c>
      <c r="K45" s="366"/>
      <c r="L45" s="366" t="s">
        <v>97</v>
      </c>
      <c r="M45" s="366"/>
      <c r="N45" s="366"/>
      <c r="O45" s="383"/>
      <c r="P45" s="383"/>
      <c r="Q45" s="383"/>
      <c r="R45" s="383"/>
      <c r="S45" s="361"/>
      <c r="T45" s="348"/>
    </row>
    <row r="46" spans="1:20" s="349" customFormat="1" x14ac:dyDescent="0.3">
      <c r="A46" s="365"/>
      <c r="B46" s="358"/>
      <c r="C46" s="358"/>
      <c r="D46" s="366"/>
      <c r="E46" s="366"/>
      <c r="F46" s="366"/>
      <c r="G46" s="366"/>
      <c r="H46" s="366"/>
      <c r="I46" s="366"/>
      <c r="J46" s="366"/>
      <c r="K46" s="366"/>
      <c r="L46" s="366"/>
      <c r="M46" s="366"/>
      <c r="N46" s="366"/>
      <c r="O46" s="358"/>
      <c r="P46" s="358"/>
      <c r="Q46" s="358"/>
      <c r="R46" s="379" t="s">
        <v>130</v>
      </c>
      <c r="S46" s="361"/>
      <c r="T46" s="348"/>
    </row>
    <row r="47" spans="1:20" s="349" customFormat="1" x14ac:dyDescent="0.3">
      <c r="A47" s="365"/>
      <c r="B47" s="358" t="s">
        <v>253</v>
      </c>
      <c r="C47" s="358"/>
      <c r="D47" s="366"/>
      <c r="E47" s="366"/>
      <c r="F47" s="366"/>
      <c r="G47" s="366"/>
      <c r="H47" s="366"/>
      <c r="I47" s="366"/>
      <c r="J47" s="366"/>
      <c r="K47" s="366"/>
      <c r="L47" s="366"/>
      <c r="M47" s="366"/>
      <c r="N47" s="366"/>
      <c r="O47" s="358"/>
      <c r="P47" s="358"/>
      <c r="Q47" s="358"/>
      <c r="R47" s="384">
        <f>SUM(H31:L31)/(D31+F31)</f>
        <v>0.11731450342446621</v>
      </c>
      <c r="S47" s="361"/>
      <c r="T47" s="348"/>
    </row>
    <row r="48" spans="1:20" s="349" customFormat="1" x14ac:dyDescent="0.3">
      <c r="A48" s="365"/>
      <c r="B48" s="358" t="s">
        <v>254</v>
      </c>
      <c r="C48" s="358"/>
      <c r="D48" s="358"/>
      <c r="E48" s="358"/>
      <c r="F48" s="358"/>
      <c r="G48" s="358"/>
      <c r="H48" s="358"/>
      <c r="I48" s="358"/>
      <c r="J48" s="358"/>
      <c r="K48" s="358"/>
      <c r="L48" s="358"/>
      <c r="M48" s="358"/>
      <c r="N48" s="358"/>
      <c r="O48" s="358"/>
      <c r="P48" s="358"/>
      <c r="Q48" s="358"/>
      <c r="R48" s="384">
        <f>SUM(H33:L33)/(D33+F33)</f>
        <v>0.64648841713388228</v>
      </c>
      <c r="S48" s="361"/>
      <c r="T48" s="348"/>
    </row>
    <row r="49" spans="1:21" s="349" customFormat="1" x14ac:dyDescent="0.3">
      <c r="A49" s="365"/>
      <c r="B49" s="358" t="s">
        <v>255</v>
      </c>
      <c r="C49" s="358"/>
      <c r="D49" s="358"/>
      <c r="E49" s="358"/>
      <c r="F49" s="358"/>
      <c r="G49" s="358"/>
      <c r="H49" s="358"/>
      <c r="I49" s="358"/>
      <c r="J49" s="358"/>
      <c r="K49" s="358"/>
      <c r="L49" s="358"/>
      <c r="M49" s="358"/>
      <c r="N49" s="358"/>
      <c r="O49" s="358"/>
      <c r="P49" s="366"/>
      <c r="Q49" s="366"/>
      <c r="R49" s="368" t="s">
        <v>149</v>
      </c>
      <c r="S49" s="361"/>
      <c r="T49" s="348"/>
    </row>
    <row r="50" spans="1:21" s="349" customFormat="1" x14ac:dyDescent="0.3">
      <c r="A50" s="365"/>
      <c r="B50" s="358"/>
      <c r="C50" s="358"/>
      <c r="D50" s="358"/>
      <c r="E50" s="358"/>
      <c r="F50" s="358"/>
      <c r="G50" s="358"/>
      <c r="H50" s="358"/>
      <c r="I50" s="358"/>
      <c r="J50" s="358"/>
      <c r="K50" s="358"/>
      <c r="L50" s="358"/>
      <c r="M50" s="358"/>
      <c r="N50" s="358"/>
      <c r="O50" s="358"/>
      <c r="P50" s="358"/>
      <c r="Q50" s="358"/>
      <c r="R50" s="385"/>
      <c r="S50" s="361"/>
      <c r="T50" s="348"/>
    </row>
    <row r="51" spans="1:21" s="349" customFormat="1" x14ac:dyDescent="0.3">
      <c r="A51" s="365"/>
      <c r="B51" s="358" t="s">
        <v>225</v>
      </c>
      <c r="C51" s="358"/>
      <c r="D51" s="358"/>
      <c r="E51" s="358"/>
      <c r="F51" s="358"/>
      <c r="G51" s="358"/>
      <c r="H51" s="358"/>
      <c r="I51" s="358"/>
      <c r="J51" s="358"/>
      <c r="K51" s="358"/>
      <c r="L51" s="358"/>
      <c r="M51" s="358"/>
      <c r="N51" s="358"/>
      <c r="O51" s="358"/>
      <c r="P51" s="358"/>
      <c r="Q51" s="358"/>
      <c r="R51" s="386" t="s">
        <v>91</v>
      </c>
      <c r="S51" s="361"/>
      <c r="T51" s="348"/>
    </row>
    <row r="52" spans="1:21" s="349" customFormat="1" x14ac:dyDescent="0.3">
      <c r="A52" s="365"/>
      <c r="B52" s="362" t="s">
        <v>131</v>
      </c>
      <c r="C52" s="362"/>
      <c r="D52" s="362"/>
      <c r="E52" s="362"/>
      <c r="F52" s="362"/>
      <c r="G52" s="362"/>
      <c r="H52" s="362"/>
      <c r="I52" s="362"/>
      <c r="J52" s="362"/>
      <c r="K52" s="362"/>
      <c r="L52" s="362"/>
      <c r="M52" s="362"/>
      <c r="N52" s="362"/>
      <c r="O52" s="362"/>
      <c r="P52" s="387"/>
      <c r="Q52" s="387"/>
      <c r="R52" s="388">
        <v>43266</v>
      </c>
      <c r="S52" s="361"/>
      <c r="T52" s="348"/>
    </row>
    <row r="53" spans="1:21" s="349" customFormat="1" x14ac:dyDescent="0.3">
      <c r="A53" s="365"/>
      <c r="B53" s="358" t="s">
        <v>99</v>
      </c>
      <c r="C53" s="358"/>
      <c r="D53" s="389"/>
      <c r="E53" s="389"/>
      <c r="F53" s="389"/>
      <c r="G53" s="389"/>
      <c r="H53" s="389"/>
      <c r="I53" s="389"/>
      <c r="J53" s="389"/>
      <c r="K53" s="389"/>
      <c r="L53" s="389"/>
      <c r="M53" s="389"/>
      <c r="N53" s="358">
        <f>+R53-P53+1</f>
        <v>90</v>
      </c>
      <c r="O53" s="358"/>
      <c r="P53" s="390">
        <v>43084</v>
      </c>
      <c r="Q53" s="391"/>
      <c r="R53" s="390">
        <v>43173</v>
      </c>
      <c r="S53" s="361"/>
      <c r="T53" s="348"/>
    </row>
    <row r="54" spans="1:21" s="349" customFormat="1" x14ac:dyDescent="0.3">
      <c r="A54" s="365"/>
      <c r="B54" s="358" t="s">
        <v>100</v>
      </c>
      <c r="C54" s="358"/>
      <c r="D54" s="358"/>
      <c r="E54" s="358"/>
      <c r="F54" s="358"/>
      <c r="G54" s="358"/>
      <c r="H54" s="358"/>
      <c r="I54" s="358"/>
      <c r="J54" s="358"/>
      <c r="K54" s="358"/>
      <c r="L54" s="358"/>
      <c r="M54" s="358"/>
      <c r="N54" s="358">
        <f>+R54-P54+1</f>
        <v>92</v>
      </c>
      <c r="O54" s="358"/>
      <c r="P54" s="390">
        <v>43174</v>
      </c>
      <c r="Q54" s="391"/>
      <c r="R54" s="390">
        <v>43265</v>
      </c>
      <c r="S54" s="361"/>
      <c r="T54" s="348"/>
    </row>
    <row r="55" spans="1:21" s="349" customFormat="1" x14ac:dyDescent="0.3">
      <c r="A55" s="365"/>
      <c r="B55" s="358" t="s">
        <v>261</v>
      </c>
      <c r="C55" s="358"/>
      <c r="D55" s="358"/>
      <c r="E55" s="358"/>
      <c r="F55" s="358"/>
      <c r="G55" s="358"/>
      <c r="H55" s="358"/>
      <c r="I55" s="358"/>
      <c r="J55" s="358"/>
      <c r="K55" s="358"/>
      <c r="L55" s="358"/>
      <c r="M55" s="358"/>
      <c r="N55" s="358"/>
      <c r="O55" s="358"/>
      <c r="P55" s="390"/>
      <c r="Q55" s="391"/>
      <c r="R55" s="390" t="s">
        <v>263</v>
      </c>
      <c r="S55" s="361"/>
      <c r="T55" s="348"/>
    </row>
    <row r="56" spans="1:21" s="349" customFormat="1" x14ac:dyDescent="0.3">
      <c r="A56" s="365"/>
      <c r="B56" s="358" t="s">
        <v>262</v>
      </c>
      <c r="C56" s="358"/>
      <c r="D56" s="358"/>
      <c r="E56" s="358"/>
      <c r="F56" s="358"/>
      <c r="G56" s="358"/>
      <c r="H56" s="358"/>
      <c r="I56" s="358"/>
      <c r="J56" s="358"/>
      <c r="K56" s="358"/>
      <c r="L56" s="358"/>
      <c r="M56" s="358"/>
      <c r="N56" s="358"/>
      <c r="O56" s="358"/>
      <c r="P56" s="390"/>
      <c r="Q56" s="391"/>
      <c r="R56" s="390" t="s">
        <v>118</v>
      </c>
      <c r="S56" s="361"/>
      <c r="T56" s="348"/>
      <c r="U56" s="392"/>
    </row>
    <row r="57" spans="1:21" s="349" customFormat="1" x14ac:dyDescent="0.3">
      <c r="A57" s="365"/>
      <c r="B57" s="358" t="s">
        <v>12</v>
      </c>
      <c r="C57" s="358"/>
      <c r="D57" s="358"/>
      <c r="E57" s="358"/>
      <c r="F57" s="358"/>
      <c r="G57" s="358"/>
      <c r="H57" s="358"/>
      <c r="I57" s="358"/>
      <c r="J57" s="358"/>
      <c r="K57" s="358"/>
      <c r="L57" s="358"/>
      <c r="M57" s="358"/>
      <c r="N57" s="358"/>
      <c r="O57" s="358"/>
      <c r="P57" s="390"/>
      <c r="Q57" s="391"/>
      <c r="R57" s="390">
        <v>43252</v>
      </c>
      <c r="S57" s="361"/>
      <c r="T57" s="348"/>
    </row>
    <row r="58" spans="1:21" s="349" customFormat="1" x14ac:dyDescent="0.3">
      <c r="A58" s="344"/>
      <c r="B58" s="393"/>
      <c r="C58" s="393"/>
      <c r="D58" s="393"/>
      <c r="E58" s="393"/>
      <c r="F58" s="393"/>
      <c r="G58" s="393"/>
      <c r="H58" s="393"/>
      <c r="I58" s="393"/>
      <c r="J58" s="393"/>
      <c r="K58" s="393"/>
      <c r="L58" s="393"/>
      <c r="M58" s="393"/>
      <c r="N58" s="393"/>
      <c r="O58" s="393"/>
      <c r="P58" s="394"/>
      <c r="Q58" s="395"/>
      <c r="R58" s="394"/>
      <c r="S58" s="347"/>
      <c r="T58" s="348"/>
    </row>
    <row r="59" spans="1:21" s="349" customFormat="1" x14ac:dyDescent="0.3">
      <c r="A59" s="344"/>
      <c r="B59" s="346"/>
      <c r="C59" s="346"/>
      <c r="D59" s="346"/>
      <c r="E59" s="346"/>
      <c r="F59" s="346"/>
      <c r="G59" s="346"/>
      <c r="H59" s="346"/>
      <c r="I59" s="346"/>
      <c r="J59" s="346"/>
      <c r="K59" s="346"/>
      <c r="L59" s="346"/>
      <c r="M59" s="346"/>
      <c r="N59" s="346"/>
      <c r="O59" s="346"/>
      <c r="P59" s="396"/>
      <c r="Q59" s="397"/>
      <c r="R59" s="396"/>
      <c r="S59" s="347"/>
      <c r="T59" s="348"/>
    </row>
    <row r="60" spans="1:21" s="349" customFormat="1" ht="18.600000000000001" thickBot="1" x14ac:dyDescent="0.4">
      <c r="A60" s="398"/>
      <c r="B60" s="399" t="s">
        <v>297</v>
      </c>
      <c r="C60" s="400"/>
      <c r="D60" s="400"/>
      <c r="E60" s="400"/>
      <c r="F60" s="400"/>
      <c r="G60" s="400"/>
      <c r="H60" s="400"/>
      <c r="I60" s="400"/>
      <c r="J60" s="400"/>
      <c r="K60" s="400"/>
      <c r="L60" s="400"/>
      <c r="M60" s="400"/>
      <c r="N60" s="400"/>
      <c r="O60" s="400"/>
      <c r="P60" s="400"/>
      <c r="Q60" s="400"/>
      <c r="R60" s="401"/>
      <c r="S60" s="402"/>
      <c r="T60" s="348"/>
    </row>
    <row r="61" spans="1:21" x14ac:dyDescent="0.3">
      <c r="A61" s="443"/>
      <c r="B61" s="450" t="s">
        <v>13</v>
      </c>
      <c r="C61" s="444"/>
      <c r="D61" s="444"/>
      <c r="E61" s="444"/>
      <c r="F61" s="444"/>
      <c r="G61" s="444"/>
      <c r="H61" s="444"/>
      <c r="I61" s="444"/>
      <c r="J61" s="444"/>
      <c r="K61" s="444"/>
      <c r="L61" s="444"/>
      <c r="M61" s="444"/>
      <c r="N61" s="444"/>
      <c r="O61" s="444"/>
      <c r="P61" s="444"/>
      <c r="Q61" s="444"/>
      <c r="R61" s="451"/>
      <c r="S61" s="444"/>
      <c r="T61" s="247"/>
    </row>
    <row r="62" spans="1:21" x14ac:dyDescent="0.3">
      <c r="A62" s="249"/>
      <c r="B62" s="258"/>
      <c r="C62" s="251"/>
      <c r="D62" s="251"/>
      <c r="E62" s="251"/>
      <c r="F62" s="251"/>
      <c r="G62" s="251"/>
      <c r="H62" s="251"/>
      <c r="I62" s="251"/>
      <c r="J62" s="251"/>
      <c r="K62" s="251"/>
      <c r="L62" s="251"/>
      <c r="M62" s="251"/>
      <c r="N62" s="251"/>
      <c r="O62" s="251"/>
      <c r="P62" s="251"/>
      <c r="Q62" s="251"/>
      <c r="R62" s="279"/>
      <c r="S62" s="252"/>
      <c r="T62" s="247"/>
    </row>
    <row r="63" spans="1:21" s="273" customFormat="1" ht="46.8" x14ac:dyDescent="0.3">
      <c r="A63" s="280"/>
      <c r="B63" s="281" t="s">
        <v>14</v>
      </c>
      <c r="C63" s="282"/>
      <c r="D63" s="282"/>
      <c r="E63" s="282"/>
      <c r="F63" s="282" t="s">
        <v>76</v>
      </c>
      <c r="G63" s="282"/>
      <c r="H63" s="282" t="s">
        <v>78</v>
      </c>
      <c r="I63" s="282"/>
      <c r="J63" s="282" t="s">
        <v>162</v>
      </c>
      <c r="K63" s="282"/>
      <c r="L63" s="282" t="s">
        <v>163</v>
      </c>
      <c r="M63" s="282"/>
      <c r="N63" s="282" t="s">
        <v>81</v>
      </c>
      <c r="O63" s="282"/>
      <c r="P63" s="282" t="s">
        <v>86</v>
      </c>
      <c r="Q63" s="282"/>
      <c r="R63" s="283" t="s">
        <v>92</v>
      </c>
      <c r="S63" s="284"/>
      <c r="T63" s="272"/>
    </row>
    <row r="64" spans="1:21" s="349" customFormat="1" x14ac:dyDescent="0.3">
      <c r="A64" s="365"/>
      <c r="B64" s="358" t="s">
        <v>15</v>
      </c>
      <c r="C64" s="403"/>
      <c r="D64" s="403"/>
      <c r="E64" s="403"/>
      <c r="F64" s="403">
        <v>244234</v>
      </c>
      <c r="G64" s="403"/>
      <c r="H64" s="404">
        <v>91943</v>
      </c>
      <c r="I64" s="403"/>
      <c r="J64" s="404">
        <v>87</v>
      </c>
      <c r="K64" s="403"/>
      <c r="L64" s="403">
        <v>8116</v>
      </c>
      <c r="M64" s="403"/>
      <c r="N64" s="403">
        <v>0</v>
      </c>
      <c r="O64" s="403"/>
      <c r="P64" s="403">
        <f>407+1568+1540</f>
        <v>3515</v>
      </c>
      <c r="Q64" s="403"/>
      <c r="R64" s="404">
        <f>H64-J64-L64+N64-P64</f>
        <v>80225</v>
      </c>
      <c r="S64" s="361"/>
      <c r="T64" s="348"/>
    </row>
    <row r="65" spans="1:20" s="349" customFormat="1" x14ac:dyDescent="0.3">
      <c r="A65" s="365"/>
      <c r="B65" s="358" t="s">
        <v>16</v>
      </c>
      <c r="C65" s="403"/>
      <c r="D65" s="403"/>
      <c r="E65" s="403"/>
      <c r="F65" s="403">
        <v>0</v>
      </c>
      <c r="G65" s="403"/>
      <c r="H65" s="404">
        <v>0</v>
      </c>
      <c r="I65" s="403"/>
      <c r="J65" s="404">
        <v>0</v>
      </c>
      <c r="K65" s="403"/>
      <c r="L65" s="403">
        <v>0</v>
      </c>
      <c r="M65" s="403"/>
      <c r="N65" s="403">
        <v>0</v>
      </c>
      <c r="O65" s="403"/>
      <c r="P65" s="403">
        <v>0</v>
      </c>
      <c r="Q65" s="403"/>
      <c r="R65" s="404">
        <f>F65-J65-L65</f>
        <v>0</v>
      </c>
      <c r="S65" s="361"/>
      <c r="T65" s="348"/>
    </row>
    <row r="66" spans="1:20" s="349" customFormat="1" x14ac:dyDescent="0.3">
      <c r="A66" s="365"/>
      <c r="B66" s="358"/>
      <c r="C66" s="403"/>
      <c r="D66" s="403"/>
      <c r="E66" s="403"/>
      <c r="F66" s="403"/>
      <c r="G66" s="403"/>
      <c r="H66" s="404"/>
      <c r="I66" s="403"/>
      <c r="J66" s="404"/>
      <c r="K66" s="403"/>
      <c r="L66" s="403"/>
      <c r="M66" s="403"/>
      <c r="N66" s="403"/>
      <c r="O66" s="403"/>
      <c r="P66" s="403"/>
      <c r="Q66" s="403"/>
      <c r="R66" s="404"/>
      <c r="S66" s="361"/>
      <c r="T66" s="348"/>
    </row>
    <row r="67" spans="1:20" s="349" customFormat="1" x14ac:dyDescent="0.3">
      <c r="A67" s="365"/>
      <c r="B67" s="358" t="s">
        <v>17</v>
      </c>
      <c r="C67" s="403"/>
      <c r="D67" s="403"/>
      <c r="E67" s="403"/>
      <c r="F67" s="403">
        <f>SUM(F64:F66)</f>
        <v>244234</v>
      </c>
      <c r="G67" s="403"/>
      <c r="H67" s="403">
        <f>H64+H65</f>
        <v>91943</v>
      </c>
      <c r="I67" s="403"/>
      <c r="J67" s="403">
        <f>J64+J65</f>
        <v>87</v>
      </c>
      <c r="K67" s="403"/>
      <c r="L67" s="403">
        <f>SUM(L64:L66)</f>
        <v>8116</v>
      </c>
      <c r="M67" s="403"/>
      <c r="N67" s="403">
        <f>SUM(N64:N66)</f>
        <v>0</v>
      </c>
      <c r="O67" s="403"/>
      <c r="P67" s="403">
        <f>SUM(P64:P66)</f>
        <v>3515</v>
      </c>
      <c r="Q67" s="403"/>
      <c r="R67" s="403">
        <f>SUM(R64:R66)</f>
        <v>80225</v>
      </c>
      <c r="S67" s="361"/>
      <c r="T67" s="348"/>
    </row>
    <row r="68" spans="1:20" x14ac:dyDescent="0.3">
      <c r="A68" s="249"/>
      <c r="B68" s="277"/>
      <c r="C68" s="287"/>
      <c r="D68" s="287"/>
      <c r="E68" s="287"/>
      <c r="F68" s="287"/>
      <c r="G68" s="287"/>
      <c r="H68" s="287"/>
      <c r="I68" s="287"/>
      <c r="J68" s="287"/>
      <c r="K68" s="287"/>
      <c r="L68" s="287"/>
      <c r="M68" s="287"/>
      <c r="N68" s="287"/>
      <c r="O68" s="287"/>
      <c r="P68" s="287"/>
      <c r="Q68" s="287"/>
      <c r="R68" s="288"/>
      <c r="S68" s="252"/>
      <c r="T68" s="247"/>
    </row>
    <row r="69" spans="1:20" x14ac:dyDescent="0.3">
      <c r="A69" s="249"/>
      <c r="B69" s="254" t="s">
        <v>18</v>
      </c>
      <c r="C69" s="289"/>
      <c r="D69" s="289"/>
      <c r="E69" s="289"/>
      <c r="F69" s="289"/>
      <c r="G69" s="289"/>
      <c r="H69" s="289"/>
      <c r="I69" s="289"/>
      <c r="J69" s="289"/>
      <c r="K69" s="289"/>
      <c r="L69" s="289"/>
      <c r="M69" s="289"/>
      <c r="N69" s="289"/>
      <c r="O69" s="289"/>
      <c r="P69" s="289"/>
      <c r="Q69" s="289"/>
      <c r="R69" s="290"/>
      <c r="S69" s="252"/>
      <c r="T69" s="247"/>
    </row>
    <row r="70" spans="1:20" x14ac:dyDescent="0.3">
      <c r="A70" s="249"/>
      <c r="B70" s="251"/>
      <c r="C70" s="289"/>
      <c r="D70" s="289"/>
      <c r="E70" s="289"/>
      <c r="F70" s="289"/>
      <c r="G70" s="289"/>
      <c r="H70" s="289"/>
      <c r="I70" s="289"/>
      <c r="J70" s="289"/>
      <c r="K70" s="289"/>
      <c r="L70" s="289"/>
      <c r="M70" s="289"/>
      <c r="N70" s="289"/>
      <c r="O70" s="289"/>
      <c r="P70" s="289"/>
      <c r="Q70" s="289"/>
      <c r="R70" s="290"/>
      <c r="S70" s="252"/>
      <c r="T70" s="247"/>
    </row>
    <row r="71" spans="1:20" s="349" customFormat="1" x14ac:dyDescent="0.3">
      <c r="A71" s="365"/>
      <c r="B71" s="358" t="s">
        <v>15</v>
      </c>
      <c r="C71" s="403"/>
      <c r="D71" s="403"/>
      <c r="E71" s="403"/>
      <c r="F71" s="403"/>
      <c r="G71" s="403"/>
      <c r="H71" s="403"/>
      <c r="I71" s="403"/>
      <c r="J71" s="403"/>
      <c r="K71" s="403"/>
      <c r="L71" s="403"/>
      <c r="M71" s="403"/>
      <c r="N71" s="403"/>
      <c r="O71" s="403"/>
      <c r="P71" s="403"/>
      <c r="Q71" s="403"/>
      <c r="R71" s="403"/>
      <c r="S71" s="361"/>
      <c r="T71" s="348"/>
    </row>
    <row r="72" spans="1:20" s="349" customFormat="1" x14ac:dyDescent="0.3">
      <c r="A72" s="365"/>
      <c r="B72" s="358" t="s">
        <v>16</v>
      </c>
      <c r="C72" s="403"/>
      <c r="D72" s="403"/>
      <c r="E72" s="403"/>
      <c r="F72" s="403"/>
      <c r="G72" s="403"/>
      <c r="H72" s="403"/>
      <c r="I72" s="403"/>
      <c r="J72" s="403"/>
      <c r="K72" s="403"/>
      <c r="L72" s="403"/>
      <c r="M72" s="403"/>
      <c r="N72" s="403"/>
      <c r="O72" s="403"/>
      <c r="P72" s="403"/>
      <c r="Q72" s="403"/>
      <c r="R72" s="403"/>
      <c r="S72" s="361"/>
      <c r="T72" s="348"/>
    </row>
    <row r="73" spans="1:20" s="349" customFormat="1" x14ac:dyDescent="0.3">
      <c r="A73" s="365"/>
      <c r="B73" s="358"/>
      <c r="C73" s="403"/>
      <c r="D73" s="403"/>
      <c r="E73" s="403"/>
      <c r="F73" s="403"/>
      <c r="G73" s="403"/>
      <c r="H73" s="403"/>
      <c r="I73" s="403"/>
      <c r="J73" s="403"/>
      <c r="K73" s="403"/>
      <c r="L73" s="403"/>
      <c r="M73" s="403"/>
      <c r="N73" s="403"/>
      <c r="O73" s="403"/>
      <c r="P73" s="403"/>
      <c r="Q73" s="403"/>
      <c r="R73" s="403"/>
      <c r="S73" s="361"/>
      <c r="T73" s="348"/>
    </row>
    <row r="74" spans="1:20" s="349" customFormat="1" x14ac:dyDescent="0.3">
      <c r="A74" s="365"/>
      <c r="B74" s="358" t="s">
        <v>17</v>
      </c>
      <c r="C74" s="403"/>
      <c r="D74" s="403"/>
      <c r="E74" s="403"/>
      <c r="F74" s="403"/>
      <c r="G74" s="403"/>
      <c r="H74" s="403"/>
      <c r="I74" s="403"/>
      <c r="J74" s="403"/>
      <c r="K74" s="403"/>
      <c r="L74" s="403"/>
      <c r="M74" s="403"/>
      <c r="N74" s="403"/>
      <c r="O74" s="403"/>
      <c r="P74" s="403"/>
      <c r="Q74" s="403"/>
      <c r="R74" s="403"/>
      <c r="S74" s="361"/>
      <c r="T74" s="348"/>
    </row>
    <row r="75" spans="1:20" s="349" customFormat="1" x14ac:dyDescent="0.3">
      <c r="A75" s="365"/>
      <c r="B75" s="358"/>
      <c r="C75" s="403"/>
      <c r="D75" s="403"/>
      <c r="E75" s="403"/>
      <c r="F75" s="403"/>
      <c r="G75" s="403"/>
      <c r="H75" s="403"/>
      <c r="I75" s="403"/>
      <c r="J75" s="403"/>
      <c r="K75" s="403"/>
      <c r="L75" s="403"/>
      <c r="M75" s="403"/>
      <c r="N75" s="403"/>
      <c r="O75" s="403"/>
      <c r="P75" s="403"/>
      <c r="Q75" s="403"/>
      <c r="R75" s="403"/>
      <c r="S75" s="361"/>
      <c r="T75" s="348"/>
    </row>
    <row r="76" spans="1:20" s="349" customFormat="1" x14ac:dyDescent="0.3">
      <c r="A76" s="365"/>
      <c r="B76" s="358" t="s">
        <v>19</v>
      </c>
      <c r="C76" s="403"/>
      <c r="D76" s="403"/>
      <c r="E76" s="403"/>
      <c r="F76" s="403">
        <v>0</v>
      </c>
      <c r="G76" s="403"/>
      <c r="H76" s="403">
        <v>0</v>
      </c>
      <c r="I76" s="403"/>
      <c r="J76" s="403"/>
      <c r="K76" s="403"/>
      <c r="L76" s="403"/>
      <c r="M76" s="403"/>
      <c r="N76" s="403"/>
      <c r="O76" s="403"/>
      <c r="P76" s="403"/>
      <c r="Q76" s="403"/>
      <c r="R76" s="404">
        <v>0</v>
      </c>
      <c r="S76" s="361"/>
      <c r="T76" s="348"/>
    </row>
    <row r="77" spans="1:20" s="349" customFormat="1" x14ac:dyDescent="0.3">
      <c r="A77" s="365"/>
      <c r="B77" s="358" t="s">
        <v>196</v>
      </c>
      <c r="C77" s="403"/>
      <c r="D77" s="403"/>
      <c r="E77" s="403"/>
      <c r="F77" s="403">
        <v>53165</v>
      </c>
      <c r="G77" s="403"/>
      <c r="H77" s="403">
        <v>0</v>
      </c>
      <c r="I77" s="403"/>
      <c r="J77" s="403">
        <v>0</v>
      </c>
      <c r="K77" s="403"/>
      <c r="L77" s="403">
        <v>0</v>
      </c>
      <c r="M77" s="403"/>
      <c r="N77" s="403"/>
      <c r="O77" s="403"/>
      <c r="P77" s="403"/>
      <c r="Q77" s="403"/>
      <c r="R77" s="403">
        <v>0</v>
      </c>
      <c r="S77" s="361"/>
      <c r="T77" s="348"/>
    </row>
    <row r="78" spans="1:20" s="349" customFormat="1" x14ac:dyDescent="0.3">
      <c r="A78" s="365"/>
      <c r="B78" s="358" t="s">
        <v>206</v>
      </c>
      <c r="C78" s="403"/>
      <c r="D78" s="403"/>
      <c r="E78" s="403"/>
      <c r="F78" s="403">
        <v>2610</v>
      </c>
      <c r="G78" s="403"/>
      <c r="H78" s="403">
        <v>0</v>
      </c>
      <c r="I78" s="403"/>
      <c r="J78" s="403"/>
      <c r="K78" s="403"/>
      <c r="L78" s="403"/>
      <c r="M78" s="403"/>
      <c r="N78" s="403">
        <v>0</v>
      </c>
      <c r="O78" s="403"/>
      <c r="P78" s="403"/>
      <c r="Q78" s="403"/>
      <c r="R78" s="403">
        <f>H78+N78</f>
        <v>0</v>
      </c>
      <c r="S78" s="361"/>
      <c r="T78" s="348"/>
    </row>
    <row r="79" spans="1:20" s="349" customFormat="1" x14ac:dyDescent="0.3">
      <c r="A79" s="365"/>
      <c r="B79" s="358" t="s">
        <v>20</v>
      </c>
      <c r="C79" s="403"/>
      <c r="D79" s="403"/>
      <c r="E79" s="403"/>
      <c r="F79" s="403">
        <v>0</v>
      </c>
      <c r="G79" s="403"/>
      <c r="H79" s="403">
        <v>0</v>
      </c>
      <c r="I79" s="403"/>
      <c r="J79" s="403"/>
      <c r="K79" s="403"/>
      <c r="L79" s="403"/>
      <c r="M79" s="403"/>
      <c r="N79" s="403"/>
      <c r="O79" s="403"/>
      <c r="P79" s="403"/>
      <c r="Q79" s="403"/>
      <c r="R79" s="403">
        <v>0</v>
      </c>
      <c r="S79" s="361"/>
      <c r="T79" s="348"/>
    </row>
    <row r="80" spans="1:20" s="349" customFormat="1" x14ac:dyDescent="0.3">
      <c r="A80" s="365"/>
      <c r="B80" s="358" t="s">
        <v>21</v>
      </c>
      <c r="C80" s="403"/>
      <c r="D80" s="403"/>
      <c r="E80" s="403"/>
      <c r="F80" s="403">
        <f>SUM(F67:F79)</f>
        <v>300009</v>
      </c>
      <c r="G80" s="403"/>
      <c r="H80" s="403">
        <f>SUM(H67:H79)</f>
        <v>91943</v>
      </c>
      <c r="I80" s="403"/>
      <c r="J80" s="403"/>
      <c r="K80" s="403"/>
      <c r="L80" s="403"/>
      <c r="M80" s="403"/>
      <c r="N80" s="403"/>
      <c r="O80" s="403"/>
      <c r="P80" s="403"/>
      <c r="Q80" s="403"/>
      <c r="R80" s="403">
        <f>SUM(R67:R79)</f>
        <v>80225</v>
      </c>
      <c r="S80" s="361"/>
      <c r="T80" s="348"/>
    </row>
    <row r="81" spans="1:20" x14ac:dyDescent="0.3">
      <c r="A81" s="249"/>
      <c r="B81" s="277"/>
      <c r="C81" s="287"/>
      <c r="D81" s="287"/>
      <c r="E81" s="287"/>
      <c r="F81" s="287"/>
      <c r="G81" s="287"/>
      <c r="H81" s="287"/>
      <c r="I81" s="287"/>
      <c r="J81" s="287"/>
      <c r="K81" s="287"/>
      <c r="L81" s="287"/>
      <c r="M81" s="287"/>
      <c r="N81" s="287"/>
      <c r="O81" s="287"/>
      <c r="P81" s="287"/>
      <c r="Q81" s="287"/>
      <c r="R81" s="288"/>
      <c r="S81" s="252"/>
      <c r="T81" s="247"/>
    </row>
    <row r="82" spans="1:20" x14ac:dyDescent="0.3">
      <c r="A82" s="249"/>
      <c r="B82" s="251"/>
      <c r="C82" s="251"/>
      <c r="D82" s="251"/>
      <c r="E82" s="251"/>
      <c r="F82" s="251"/>
      <c r="G82" s="251"/>
      <c r="H82" s="251"/>
      <c r="I82" s="251"/>
      <c r="J82" s="251"/>
      <c r="K82" s="251"/>
      <c r="L82" s="251"/>
      <c r="M82" s="251"/>
      <c r="N82" s="251"/>
      <c r="O82" s="251"/>
      <c r="P82" s="251"/>
      <c r="Q82" s="251"/>
      <c r="R82" s="251"/>
      <c r="S82" s="252"/>
      <c r="T82" s="247"/>
    </row>
    <row r="83" spans="1:20" x14ac:dyDescent="0.3">
      <c r="A83" s="443"/>
      <c r="B83" s="452" t="s">
        <v>22</v>
      </c>
      <c r="C83" s="452"/>
      <c r="D83" s="453"/>
      <c r="E83" s="453"/>
      <c r="F83" s="453"/>
      <c r="G83" s="453"/>
      <c r="H83" s="454" t="s">
        <v>77</v>
      </c>
      <c r="I83" s="453"/>
      <c r="J83" s="455">
        <f>+P206</f>
        <v>43251</v>
      </c>
      <c r="K83" s="453"/>
      <c r="L83" s="453"/>
      <c r="M83" s="453"/>
      <c r="N83" s="453"/>
      <c r="O83" s="453"/>
      <c r="P83" s="453" t="s">
        <v>87</v>
      </c>
      <c r="Q83" s="453"/>
      <c r="R83" s="453" t="s">
        <v>93</v>
      </c>
      <c r="S83" s="445"/>
      <c r="T83" s="247"/>
    </row>
    <row r="84" spans="1:20" s="349" customFormat="1" x14ac:dyDescent="0.3">
      <c r="A84" s="344"/>
      <c r="B84" s="393" t="s">
        <v>23</v>
      </c>
      <c r="C84" s="393"/>
      <c r="D84" s="393"/>
      <c r="E84" s="393"/>
      <c r="F84" s="393"/>
      <c r="G84" s="393"/>
      <c r="H84" s="393"/>
      <c r="I84" s="393"/>
      <c r="J84" s="393"/>
      <c r="K84" s="393"/>
      <c r="L84" s="393"/>
      <c r="M84" s="393"/>
      <c r="N84" s="393"/>
      <c r="O84" s="393"/>
      <c r="P84" s="408">
        <v>0</v>
      </c>
      <c r="Q84" s="393"/>
      <c r="R84" s="411">
        <v>0</v>
      </c>
      <c r="S84" s="347"/>
      <c r="T84" s="348"/>
    </row>
    <row r="85" spans="1:20" s="349" customFormat="1" x14ac:dyDescent="0.3">
      <c r="A85" s="365"/>
      <c r="B85" s="358" t="s">
        <v>218</v>
      </c>
      <c r="C85" s="358"/>
      <c r="D85" s="383"/>
      <c r="E85" s="383"/>
      <c r="F85" s="383"/>
      <c r="G85" s="405"/>
      <c r="H85" s="383"/>
      <c r="I85" s="358"/>
      <c r="J85" s="406"/>
      <c r="K85" s="358"/>
      <c r="L85" s="358"/>
      <c r="M85" s="358"/>
      <c r="N85" s="358"/>
      <c r="O85" s="358"/>
      <c r="P85" s="403">
        <f>-N78</f>
        <v>0</v>
      </c>
      <c r="Q85" s="358"/>
      <c r="R85" s="404"/>
      <c r="S85" s="361"/>
      <c r="T85" s="348"/>
    </row>
    <row r="86" spans="1:20" s="349" customFormat="1" x14ac:dyDescent="0.3">
      <c r="A86" s="365"/>
      <c r="B86" s="358" t="s">
        <v>219</v>
      </c>
      <c r="C86" s="358"/>
      <c r="D86" s="383"/>
      <c r="E86" s="383"/>
      <c r="F86" s="383"/>
      <c r="G86" s="405"/>
      <c r="H86" s="383"/>
      <c r="I86" s="358"/>
      <c r="J86" s="406"/>
      <c r="K86" s="358"/>
      <c r="L86" s="358"/>
      <c r="M86" s="358"/>
      <c r="N86" s="358"/>
      <c r="O86" s="358"/>
      <c r="P86" s="403">
        <v>0</v>
      </c>
      <c r="Q86" s="358"/>
      <c r="R86" s="404"/>
      <c r="S86" s="361"/>
      <c r="T86" s="348"/>
    </row>
    <row r="87" spans="1:20" s="349" customFormat="1" x14ac:dyDescent="0.3">
      <c r="A87" s="365"/>
      <c r="B87" s="358" t="s">
        <v>24</v>
      </c>
      <c r="C87" s="358"/>
      <c r="D87" s="383"/>
      <c r="E87" s="383"/>
      <c r="F87" s="383"/>
      <c r="G87" s="405"/>
      <c r="H87" s="383"/>
      <c r="I87" s="358"/>
      <c r="J87" s="406"/>
      <c r="K87" s="358"/>
      <c r="L87" s="358"/>
      <c r="M87" s="358"/>
      <c r="N87" s="358"/>
      <c r="O87" s="358"/>
      <c r="P87" s="403">
        <f>+J64+L64+P64</f>
        <v>11718</v>
      </c>
      <c r="Q87" s="358"/>
      <c r="R87" s="404"/>
      <c r="S87" s="361"/>
      <c r="T87" s="348"/>
    </row>
    <row r="88" spans="1:20" s="349" customFormat="1" x14ac:dyDescent="0.3">
      <c r="A88" s="365"/>
      <c r="B88" s="358" t="s">
        <v>135</v>
      </c>
      <c r="C88" s="358"/>
      <c r="D88" s="383"/>
      <c r="E88" s="383"/>
      <c r="F88" s="383"/>
      <c r="G88" s="405"/>
      <c r="H88" s="383"/>
      <c r="I88" s="358"/>
      <c r="J88" s="406"/>
      <c r="K88" s="358"/>
      <c r="L88" s="358"/>
      <c r="M88" s="358"/>
      <c r="N88" s="358"/>
      <c r="O88" s="358"/>
      <c r="P88" s="403"/>
      <c r="Q88" s="358"/>
      <c r="R88" s="404">
        <f>1369-331</f>
        <v>1038</v>
      </c>
      <c r="S88" s="361"/>
      <c r="T88" s="348"/>
    </row>
    <row r="89" spans="1:20" s="349" customFormat="1" x14ac:dyDescent="0.3">
      <c r="A89" s="365"/>
      <c r="B89" s="358" t="s">
        <v>133</v>
      </c>
      <c r="C89" s="358"/>
      <c r="D89" s="383"/>
      <c r="E89" s="383"/>
      <c r="F89" s="383"/>
      <c r="G89" s="405"/>
      <c r="H89" s="383"/>
      <c r="I89" s="358"/>
      <c r="J89" s="406"/>
      <c r="K89" s="358"/>
      <c r="L89" s="358"/>
      <c r="M89" s="358"/>
      <c r="N89" s="358"/>
      <c r="O89" s="358"/>
      <c r="P89" s="403"/>
      <c r="Q89" s="358"/>
      <c r="R89" s="404">
        <v>60</v>
      </c>
      <c r="S89" s="361"/>
      <c r="T89" s="348"/>
    </row>
    <row r="90" spans="1:20" s="349" customFormat="1" x14ac:dyDescent="0.3">
      <c r="A90" s="365"/>
      <c r="B90" s="358" t="s">
        <v>134</v>
      </c>
      <c r="C90" s="358"/>
      <c r="D90" s="383"/>
      <c r="E90" s="383"/>
      <c r="F90" s="383"/>
      <c r="G90" s="405"/>
      <c r="H90" s="383"/>
      <c r="I90" s="358"/>
      <c r="J90" s="406"/>
      <c r="K90" s="358"/>
      <c r="L90" s="358"/>
      <c r="M90" s="358"/>
      <c r="N90" s="358"/>
      <c r="O90" s="358"/>
      <c r="P90" s="403"/>
      <c r="Q90" s="358"/>
      <c r="R90" s="404">
        <v>18</v>
      </c>
      <c r="S90" s="361"/>
      <c r="T90" s="348"/>
    </row>
    <row r="91" spans="1:20" s="349" customFormat="1" x14ac:dyDescent="0.3">
      <c r="A91" s="365"/>
      <c r="B91" s="358" t="s">
        <v>143</v>
      </c>
      <c r="C91" s="358"/>
      <c r="D91" s="383"/>
      <c r="E91" s="383"/>
      <c r="F91" s="383"/>
      <c r="G91" s="405"/>
      <c r="H91" s="383"/>
      <c r="I91" s="358"/>
      <c r="J91" s="406"/>
      <c r="K91" s="358"/>
      <c r="L91" s="358"/>
      <c r="M91" s="358"/>
      <c r="N91" s="358"/>
      <c r="O91" s="358"/>
      <c r="P91" s="403"/>
      <c r="Q91" s="358"/>
      <c r="R91" s="404">
        <v>0</v>
      </c>
      <c r="S91" s="361"/>
      <c r="T91" s="348"/>
    </row>
    <row r="92" spans="1:20" s="349" customFormat="1" x14ac:dyDescent="0.3">
      <c r="A92" s="365"/>
      <c r="B92" s="358" t="s">
        <v>145</v>
      </c>
      <c r="C92" s="358"/>
      <c r="D92" s="383"/>
      <c r="E92" s="383"/>
      <c r="F92" s="383"/>
      <c r="G92" s="405"/>
      <c r="H92" s="383"/>
      <c r="I92" s="358"/>
      <c r="J92" s="406"/>
      <c r="K92" s="358"/>
      <c r="L92" s="358"/>
      <c r="M92" s="358"/>
      <c r="N92" s="358"/>
      <c r="O92" s="358"/>
      <c r="P92" s="403"/>
      <c r="Q92" s="358"/>
      <c r="R92" s="404">
        <v>124</v>
      </c>
      <c r="S92" s="361"/>
      <c r="T92" s="348"/>
    </row>
    <row r="93" spans="1:20" s="349" customFormat="1" x14ac:dyDescent="0.3">
      <c r="A93" s="365"/>
      <c r="B93" s="358" t="s">
        <v>164</v>
      </c>
      <c r="C93" s="358"/>
      <c r="D93" s="383"/>
      <c r="E93" s="383"/>
      <c r="F93" s="383"/>
      <c r="G93" s="405"/>
      <c r="H93" s="383"/>
      <c r="I93" s="358"/>
      <c r="J93" s="406"/>
      <c r="K93" s="358"/>
      <c r="L93" s="358"/>
      <c r="M93" s="358"/>
      <c r="N93" s="358"/>
      <c r="O93" s="358"/>
      <c r="P93" s="403"/>
      <c r="Q93" s="358"/>
      <c r="R93" s="404">
        <v>0</v>
      </c>
      <c r="S93" s="361"/>
      <c r="T93" s="348"/>
    </row>
    <row r="94" spans="1:20" s="349" customFormat="1" x14ac:dyDescent="0.3">
      <c r="A94" s="365"/>
      <c r="B94" s="358" t="s">
        <v>165</v>
      </c>
      <c r="C94" s="358"/>
      <c r="D94" s="383"/>
      <c r="E94" s="383"/>
      <c r="F94" s="383"/>
      <c r="G94" s="405"/>
      <c r="H94" s="383"/>
      <c r="I94" s="358"/>
      <c r="J94" s="406"/>
      <c r="K94" s="358"/>
      <c r="L94" s="358"/>
      <c r="M94" s="358"/>
      <c r="N94" s="358"/>
      <c r="O94" s="358"/>
      <c r="P94" s="403"/>
      <c r="Q94" s="358"/>
      <c r="R94" s="404">
        <v>0</v>
      </c>
      <c r="S94" s="361"/>
      <c r="T94" s="348"/>
    </row>
    <row r="95" spans="1:20" s="349" customFormat="1" x14ac:dyDescent="0.3">
      <c r="A95" s="365"/>
      <c r="B95" s="358" t="s">
        <v>166</v>
      </c>
      <c r="C95" s="358"/>
      <c r="D95" s="358"/>
      <c r="E95" s="358"/>
      <c r="F95" s="358"/>
      <c r="G95" s="358"/>
      <c r="H95" s="358"/>
      <c r="I95" s="358"/>
      <c r="J95" s="358"/>
      <c r="K95" s="358"/>
      <c r="L95" s="358"/>
      <c r="M95" s="358"/>
      <c r="N95" s="358"/>
      <c r="O95" s="358"/>
      <c r="P95" s="403"/>
      <c r="Q95" s="358"/>
      <c r="R95" s="404">
        <v>0</v>
      </c>
      <c r="S95" s="361"/>
      <c r="T95" s="348"/>
    </row>
    <row r="96" spans="1:20" s="349" customFormat="1" x14ac:dyDescent="0.3">
      <c r="A96" s="365"/>
      <c r="B96" s="358" t="s">
        <v>264</v>
      </c>
      <c r="C96" s="358"/>
      <c r="D96" s="358"/>
      <c r="E96" s="358"/>
      <c r="F96" s="358"/>
      <c r="G96" s="358"/>
      <c r="H96" s="358"/>
      <c r="I96" s="358"/>
      <c r="J96" s="358"/>
      <c r="K96" s="358"/>
      <c r="L96" s="358"/>
      <c r="M96" s="358"/>
      <c r="N96" s="358"/>
      <c r="O96" s="358"/>
      <c r="P96" s="403"/>
      <c r="Q96" s="358"/>
      <c r="R96" s="404">
        <v>0</v>
      </c>
      <c r="S96" s="361"/>
      <c r="T96" s="348"/>
    </row>
    <row r="97" spans="1:21" s="349" customFormat="1" x14ac:dyDescent="0.3">
      <c r="A97" s="365"/>
      <c r="B97" s="358" t="s">
        <v>25</v>
      </c>
      <c r="C97" s="358"/>
      <c r="D97" s="358"/>
      <c r="E97" s="358"/>
      <c r="F97" s="358"/>
      <c r="G97" s="358"/>
      <c r="H97" s="358"/>
      <c r="I97" s="358"/>
      <c r="J97" s="358"/>
      <c r="K97" s="358"/>
      <c r="L97" s="358"/>
      <c r="M97" s="358"/>
      <c r="N97" s="358"/>
      <c r="O97" s="358"/>
      <c r="P97" s="403">
        <f>SUM(P84:P96)</f>
        <v>11718</v>
      </c>
      <c r="Q97" s="358"/>
      <c r="R97" s="403">
        <f>SUM(R84:R96)</f>
        <v>1240</v>
      </c>
      <c r="S97" s="361"/>
      <c r="T97" s="348"/>
    </row>
    <row r="98" spans="1:21" s="349" customFormat="1" x14ac:dyDescent="0.3">
      <c r="A98" s="365"/>
      <c r="B98" s="358" t="s">
        <v>26</v>
      </c>
      <c r="C98" s="358"/>
      <c r="D98" s="358"/>
      <c r="E98" s="358"/>
      <c r="F98" s="358"/>
      <c r="G98" s="358"/>
      <c r="H98" s="358"/>
      <c r="I98" s="358"/>
      <c r="J98" s="358"/>
      <c r="K98" s="358"/>
      <c r="L98" s="358"/>
      <c r="M98" s="358"/>
      <c r="N98" s="358"/>
      <c r="O98" s="358"/>
      <c r="P98" s="403">
        <f>-R98</f>
        <v>0</v>
      </c>
      <c r="Q98" s="358"/>
      <c r="R98" s="404">
        <v>0</v>
      </c>
      <c r="S98" s="361"/>
      <c r="T98" s="348"/>
    </row>
    <row r="99" spans="1:21" s="349" customFormat="1" x14ac:dyDescent="0.3">
      <c r="A99" s="365"/>
      <c r="B99" s="358" t="s">
        <v>150</v>
      </c>
      <c r="C99" s="358"/>
      <c r="D99" s="358"/>
      <c r="E99" s="358"/>
      <c r="F99" s="358"/>
      <c r="G99" s="358"/>
      <c r="H99" s="358"/>
      <c r="I99" s="358"/>
      <c r="J99" s="358"/>
      <c r="K99" s="358"/>
      <c r="L99" s="358"/>
      <c r="M99" s="358"/>
      <c r="N99" s="358"/>
      <c r="O99" s="358"/>
      <c r="P99" s="403"/>
      <c r="Q99" s="358"/>
      <c r="R99" s="404">
        <v>0</v>
      </c>
      <c r="S99" s="361"/>
      <c r="T99" s="348"/>
    </row>
    <row r="100" spans="1:21" s="349" customFormat="1" x14ac:dyDescent="0.3">
      <c r="A100" s="365"/>
      <c r="B100" s="358" t="s">
        <v>27</v>
      </c>
      <c r="C100" s="358"/>
      <c r="D100" s="358"/>
      <c r="E100" s="358"/>
      <c r="F100" s="358"/>
      <c r="G100" s="358"/>
      <c r="H100" s="358"/>
      <c r="I100" s="358"/>
      <c r="J100" s="358"/>
      <c r="K100" s="358"/>
      <c r="L100" s="358"/>
      <c r="M100" s="358"/>
      <c r="N100" s="358"/>
      <c r="O100" s="358"/>
      <c r="P100" s="403">
        <f>P97+P98</f>
        <v>11718</v>
      </c>
      <c r="Q100" s="358"/>
      <c r="R100" s="403">
        <f>R97+R98+R99</f>
        <v>1240</v>
      </c>
      <c r="S100" s="361"/>
      <c r="T100" s="348"/>
    </row>
    <row r="101" spans="1:21" x14ac:dyDescent="0.3">
      <c r="A101" s="276"/>
      <c r="B101" s="293" t="s">
        <v>28</v>
      </c>
      <c r="C101" s="291"/>
      <c r="D101" s="291"/>
      <c r="E101" s="291"/>
      <c r="F101" s="291"/>
      <c r="G101" s="291"/>
      <c r="H101" s="291"/>
      <c r="I101" s="291"/>
      <c r="J101" s="291"/>
      <c r="K101" s="291"/>
      <c r="L101" s="291"/>
      <c r="M101" s="291"/>
      <c r="N101" s="291"/>
      <c r="O101" s="291"/>
      <c r="P101" s="285"/>
      <c r="Q101" s="263"/>
      <c r="R101" s="286"/>
      <c r="S101" s="292"/>
      <c r="T101" s="247"/>
    </row>
    <row r="102" spans="1:21" s="349" customFormat="1" x14ac:dyDescent="0.3">
      <c r="A102" s="365">
        <v>1</v>
      </c>
      <c r="B102" s="358" t="s">
        <v>175</v>
      </c>
      <c r="C102" s="358"/>
      <c r="D102" s="358"/>
      <c r="E102" s="358"/>
      <c r="F102" s="358"/>
      <c r="G102" s="358"/>
      <c r="H102" s="358"/>
      <c r="I102" s="358"/>
      <c r="J102" s="358"/>
      <c r="K102" s="358"/>
      <c r="L102" s="358"/>
      <c r="M102" s="358"/>
      <c r="N102" s="358"/>
      <c r="O102" s="358"/>
      <c r="P102" s="403"/>
      <c r="Q102" s="358"/>
      <c r="R102" s="404">
        <v>0</v>
      </c>
      <c r="S102" s="361"/>
      <c r="T102" s="348"/>
    </row>
    <row r="103" spans="1:21" s="349" customFormat="1" x14ac:dyDescent="0.3">
      <c r="A103" s="365">
        <v>2</v>
      </c>
      <c r="B103" s="358" t="s">
        <v>195</v>
      </c>
      <c r="C103" s="358"/>
      <c r="D103" s="358"/>
      <c r="E103" s="358"/>
      <c r="F103" s="358"/>
      <c r="G103" s="358"/>
      <c r="H103" s="358"/>
      <c r="I103" s="358"/>
      <c r="J103" s="358"/>
      <c r="K103" s="358"/>
      <c r="L103" s="358"/>
      <c r="M103" s="358"/>
      <c r="N103" s="358"/>
      <c r="O103" s="358"/>
      <c r="P103" s="358"/>
      <c r="Q103" s="358"/>
      <c r="R103" s="404">
        <v>-3</v>
      </c>
      <c r="S103" s="361"/>
      <c r="T103" s="348"/>
    </row>
    <row r="104" spans="1:21" s="349" customFormat="1" x14ac:dyDescent="0.3">
      <c r="A104" s="365">
        <v>3</v>
      </c>
      <c r="B104" s="358" t="s">
        <v>287</v>
      </c>
      <c r="C104" s="358"/>
      <c r="D104" s="358"/>
      <c r="E104" s="358"/>
      <c r="F104" s="358"/>
      <c r="G104" s="358"/>
      <c r="H104" s="358"/>
      <c r="I104" s="358"/>
      <c r="J104" s="358"/>
      <c r="K104" s="358"/>
      <c r="L104" s="358"/>
      <c r="M104" s="358"/>
      <c r="N104" s="358"/>
      <c r="O104" s="358"/>
      <c r="P104" s="358"/>
      <c r="Q104" s="358"/>
      <c r="R104" s="404">
        <f>-35-5-3</f>
        <v>-43</v>
      </c>
      <c r="S104" s="361"/>
      <c r="T104" s="348"/>
    </row>
    <row r="105" spans="1:21" s="349" customFormat="1" x14ac:dyDescent="0.3">
      <c r="A105" s="365">
        <v>4</v>
      </c>
      <c r="B105" s="358" t="s">
        <v>96</v>
      </c>
      <c r="C105" s="358"/>
      <c r="D105" s="358"/>
      <c r="E105" s="358"/>
      <c r="F105" s="358"/>
      <c r="G105" s="358"/>
      <c r="H105" s="358"/>
      <c r="I105" s="358"/>
      <c r="J105" s="358"/>
      <c r="K105" s="358"/>
      <c r="L105" s="358"/>
      <c r="M105" s="358"/>
      <c r="N105" s="358"/>
      <c r="O105" s="358"/>
      <c r="P105" s="358"/>
      <c r="Q105" s="358"/>
      <c r="R105" s="404">
        <v>-25</v>
      </c>
      <c r="S105" s="361"/>
      <c r="T105" s="348"/>
    </row>
    <row r="106" spans="1:21" s="349" customFormat="1" x14ac:dyDescent="0.3">
      <c r="A106" s="365" t="s">
        <v>274</v>
      </c>
      <c r="B106" s="358" t="s">
        <v>272</v>
      </c>
      <c r="C106" s="358"/>
      <c r="D106" s="358"/>
      <c r="E106" s="358"/>
      <c r="F106" s="358"/>
      <c r="G106" s="358"/>
      <c r="H106" s="358"/>
      <c r="I106" s="358"/>
      <c r="J106" s="358"/>
      <c r="K106" s="358"/>
      <c r="L106" s="358"/>
      <c r="M106" s="358"/>
      <c r="N106" s="358"/>
      <c r="O106" s="358"/>
      <c r="P106" s="358"/>
      <c r="Q106" s="358"/>
      <c r="R106" s="404">
        <v>-109</v>
      </c>
      <c r="S106" s="361"/>
      <c r="T106" s="348"/>
      <c r="U106" s="407"/>
    </row>
    <row r="107" spans="1:21" s="349" customFormat="1" x14ac:dyDescent="0.3">
      <c r="A107" s="365" t="s">
        <v>275</v>
      </c>
      <c r="B107" s="358" t="s">
        <v>266</v>
      </c>
      <c r="C107" s="358"/>
      <c r="D107" s="358"/>
      <c r="E107" s="358"/>
      <c r="F107" s="358"/>
      <c r="G107" s="358"/>
      <c r="H107" s="358"/>
      <c r="I107" s="358"/>
      <c r="J107" s="358"/>
      <c r="K107" s="358"/>
      <c r="L107" s="358"/>
      <c r="M107" s="358"/>
      <c r="N107" s="358"/>
      <c r="O107" s="358"/>
      <c r="P107" s="358"/>
      <c r="Q107" s="358"/>
      <c r="R107" s="404">
        <v>-121</v>
      </c>
      <c r="S107" s="361"/>
      <c r="T107" s="348"/>
      <c r="U107" s="407"/>
    </row>
    <row r="108" spans="1:21" s="349" customFormat="1" x14ac:dyDescent="0.3">
      <c r="A108" s="365">
        <v>6</v>
      </c>
      <c r="B108" s="358" t="s">
        <v>189</v>
      </c>
      <c r="C108" s="358"/>
      <c r="D108" s="358"/>
      <c r="E108" s="358"/>
      <c r="F108" s="358"/>
      <c r="G108" s="358"/>
      <c r="H108" s="358"/>
      <c r="I108" s="358"/>
      <c r="J108" s="358"/>
      <c r="K108" s="358"/>
      <c r="L108" s="358"/>
      <c r="M108" s="358"/>
      <c r="N108" s="358"/>
      <c r="O108" s="358"/>
      <c r="P108" s="358"/>
      <c r="Q108" s="358"/>
      <c r="R108" s="404">
        <v>-59</v>
      </c>
      <c r="S108" s="361"/>
      <c r="T108" s="348"/>
      <c r="U108" s="407"/>
    </row>
    <row r="109" spans="1:21" s="349" customFormat="1" x14ac:dyDescent="0.3">
      <c r="A109" s="365">
        <v>7</v>
      </c>
      <c r="B109" s="358" t="s">
        <v>190</v>
      </c>
      <c r="C109" s="358"/>
      <c r="D109" s="358"/>
      <c r="E109" s="358"/>
      <c r="F109" s="358"/>
      <c r="G109" s="358"/>
      <c r="H109" s="358"/>
      <c r="I109" s="358"/>
      <c r="J109" s="358"/>
      <c r="K109" s="358"/>
      <c r="L109" s="358"/>
      <c r="M109" s="358"/>
      <c r="N109" s="358"/>
      <c r="O109" s="358"/>
      <c r="P109" s="358"/>
      <c r="Q109" s="358"/>
      <c r="R109" s="404">
        <v>-68</v>
      </c>
      <c r="S109" s="361"/>
      <c r="T109" s="348"/>
      <c r="U109" s="407"/>
    </row>
    <row r="110" spans="1:21" s="349" customFormat="1" x14ac:dyDescent="0.3">
      <c r="A110" s="365">
        <v>8</v>
      </c>
      <c r="B110" s="358" t="s">
        <v>156</v>
      </c>
      <c r="C110" s="358"/>
      <c r="D110" s="358"/>
      <c r="E110" s="358"/>
      <c r="F110" s="358"/>
      <c r="G110" s="358"/>
      <c r="H110" s="358"/>
      <c r="I110" s="358"/>
      <c r="J110" s="358"/>
      <c r="K110" s="358"/>
      <c r="L110" s="358"/>
      <c r="M110" s="358"/>
      <c r="N110" s="358"/>
      <c r="O110" s="358"/>
      <c r="P110" s="358"/>
      <c r="Q110" s="358"/>
      <c r="R110" s="404">
        <v>0</v>
      </c>
      <c r="S110" s="361"/>
      <c r="T110" s="348"/>
      <c r="U110" s="407"/>
    </row>
    <row r="111" spans="1:21" s="349" customFormat="1" x14ac:dyDescent="0.3">
      <c r="A111" s="365">
        <v>9</v>
      </c>
      <c r="B111" s="358" t="s">
        <v>37</v>
      </c>
      <c r="C111" s="358"/>
      <c r="D111" s="358"/>
      <c r="E111" s="358"/>
      <c r="F111" s="358"/>
      <c r="G111" s="358"/>
      <c r="H111" s="358"/>
      <c r="I111" s="358"/>
      <c r="J111" s="358"/>
      <c r="K111" s="358"/>
      <c r="L111" s="358"/>
      <c r="M111" s="358"/>
      <c r="N111" s="358"/>
      <c r="O111" s="358"/>
      <c r="P111" s="403">
        <f>-R111</f>
        <v>0</v>
      </c>
      <c r="Q111" s="358"/>
      <c r="R111" s="404">
        <v>0</v>
      </c>
      <c r="S111" s="361"/>
      <c r="T111" s="348"/>
    </row>
    <row r="112" spans="1:21" s="349" customFormat="1" x14ac:dyDescent="0.3">
      <c r="A112" s="365">
        <v>10</v>
      </c>
      <c r="B112" s="358" t="s">
        <v>101</v>
      </c>
      <c r="C112" s="358"/>
      <c r="D112" s="358"/>
      <c r="E112" s="358"/>
      <c r="F112" s="358"/>
      <c r="G112" s="358"/>
      <c r="H112" s="358"/>
      <c r="I112" s="358"/>
      <c r="J112" s="358"/>
      <c r="K112" s="358"/>
      <c r="L112" s="358"/>
      <c r="M112" s="358"/>
      <c r="N112" s="358"/>
      <c r="O112" s="358"/>
      <c r="P112" s="358"/>
      <c r="Q112" s="358"/>
      <c r="R112" s="404">
        <v>0</v>
      </c>
      <c r="S112" s="361"/>
      <c r="T112" s="348"/>
    </row>
    <row r="113" spans="1:20" s="349" customFormat="1" x14ac:dyDescent="0.3">
      <c r="A113" s="365">
        <v>11</v>
      </c>
      <c r="B113" s="358" t="s">
        <v>29</v>
      </c>
      <c r="C113" s="358"/>
      <c r="D113" s="358"/>
      <c r="E113" s="358"/>
      <c r="F113" s="358"/>
      <c r="G113" s="358"/>
      <c r="H113" s="358"/>
      <c r="I113" s="358"/>
      <c r="J113" s="358"/>
      <c r="K113" s="358"/>
      <c r="L113" s="358"/>
      <c r="M113" s="358"/>
      <c r="N113" s="358"/>
      <c r="O113" s="358"/>
      <c r="P113" s="358"/>
      <c r="Q113" s="358"/>
      <c r="R113" s="404">
        <v>-20</v>
      </c>
      <c r="S113" s="361"/>
      <c r="T113" s="348"/>
    </row>
    <row r="114" spans="1:20" s="349" customFormat="1" x14ac:dyDescent="0.3">
      <c r="A114" s="365">
        <v>12</v>
      </c>
      <c r="B114" s="358" t="s">
        <v>138</v>
      </c>
      <c r="C114" s="358"/>
      <c r="D114" s="358"/>
      <c r="E114" s="358"/>
      <c r="F114" s="358"/>
      <c r="G114" s="358"/>
      <c r="H114" s="358"/>
      <c r="I114" s="358"/>
      <c r="J114" s="358"/>
      <c r="K114" s="358"/>
      <c r="L114" s="358"/>
      <c r="M114" s="358"/>
      <c r="N114" s="358"/>
      <c r="O114" s="358"/>
      <c r="P114" s="358"/>
      <c r="Q114" s="358"/>
      <c r="R114" s="404">
        <v>0</v>
      </c>
      <c r="S114" s="361"/>
      <c r="T114" s="348"/>
    </row>
    <row r="115" spans="1:20" s="349" customFormat="1" x14ac:dyDescent="0.3">
      <c r="A115" s="365">
        <v>13</v>
      </c>
      <c r="B115" s="358" t="s">
        <v>267</v>
      </c>
      <c r="C115" s="358"/>
      <c r="D115" s="358"/>
      <c r="E115" s="358"/>
      <c r="F115" s="358"/>
      <c r="G115" s="358"/>
      <c r="H115" s="358"/>
      <c r="I115" s="358"/>
      <c r="J115" s="358"/>
      <c r="K115" s="358"/>
      <c r="L115" s="358"/>
      <c r="M115" s="358"/>
      <c r="N115" s="358"/>
      <c r="O115" s="358"/>
      <c r="P115" s="358"/>
      <c r="Q115" s="358"/>
      <c r="R115" s="404">
        <v>-49</v>
      </c>
      <c r="S115" s="361"/>
      <c r="T115" s="348"/>
    </row>
    <row r="116" spans="1:20" s="349" customFormat="1" x14ac:dyDescent="0.3">
      <c r="A116" s="365">
        <v>14</v>
      </c>
      <c r="B116" s="358" t="s">
        <v>157</v>
      </c>
      <c r="C116" s="358"/>
      <c r="D116" s="358"/>
      <c r="E116" s="358"/>
      <c r="F116" s="358"/>
      <c r="G116" s="358"/>
      <c r="H116" s="358"/>
      <c r="I116" s="358"/>
      <c r="J116" s="358"/>
      <c r="K116" s="358"/>
      <c r="L116" s="358"/>
      <c r="M116" s="358"/>
      <c r="N116" s="358"/>
      <c r="O116" s="358"/>
      <c r="P116" s="358"/>
      <c r="Q116" s="358"/>
      <c r="R116" s="404">
        <v>0</v>
      </c>
      <c r="S116" s="361"/>
      <c r="T116" s="348"/>
    </row>
    <row r="117" spans="1:20" s="349" customFormat="1" x14ac:dyDescent="0.3">
      <c r="A117" s="365">
        <v>15</v>
      </c>
      <c r="B117" s="358" t="s">
        <v>207</v>
      </c>
      <c r="C117" s="358"/>
      <c r="D117" s="358"/>
      <c r="E117" s="358"/>
      <c r="F117" s="358"/>
      <c r="G117" s="358"/>
      <c r="H117" s="358"/>
      <c r="I117" s="358"/>
      <c r="J117" s="358"/>
      <c r="K117" s="358"/>
      <c r="L117" s="358"/>
      <c r="M117" s="358"/>
      <c r="N117" s="358"/>
      <c r="O117" s="358"/>
      <c r="P117" s="358"/>
      <c r="Q117" s="358"/>
      <c r="R117" s="404">
        <v>-34</v>
      </c>
      <c r="S117" s="361"/>
      <c r="T117" s="348"/>
    </row>
    <row r="118" spans="1:20" s="349" customFormat="1" x14ac:dyDescent="0.3">
      <c r="A118" s="365">
        <v>16</v>
      </c>
      <c r="B118" s="358" t="s">
        <v>167</v>
      </c>
      <c r="C118" s="358"/>
      <c r="D118" s="358"/>
      <c r="E118" s="358"/>
      <c r="F118" s="358"/>
      <c r="G118" s="358"/>
      <c r="H118" s="358"/>
      <c r="I118" s="358"/>
      <c r="J118" s="358"/>
      <c r="K118" s="358"/>
      <c r="L118" s="358"/>
      <c r="M118" s="358"/>
      <c r="N118" s="358"/>
      <c r="O118" s="358"/>
      <c r="P118" s="358"/>
      <c r="Q118" s="358"/>
      <c r="R118" s="404">
        <f>-11-178</f>
        <v>-189</v>
      </c>
      <c r="S118" s="361"/>
      <c r="T118" s="348"/>
    </row>
    <row r="119" spans="1:20" s="349" customFormat="1" x14ac:dyDescent="0.3">
      <c r="A119" s="365">
        <v>17</v>
      </c>
      <c r="B119" s="358" t="s">
        <v>268</v>
      </c>
      <c r="C119" s="358"/>
      <c r="D119" s="358"/>
      <c r="E119" s="358"/>
      <c r="F119" s="358"/>
      <c r="G119" s="358"/>
      <c r="H119" s="358"/>
      <c r="I119" s="358"/>
      <c r="J119" s="358"/>
      <c r="K119" s="358"/>
      <c r="L119" s="358"/>
      <c r="M119" s="358"/>
      <c r="N119" s="358"/>
      <c r="O119" s="358"/>
      <c r="P119" s="358"/>
      <c r="Q119" s="358"/>
      <c r="R119" s="404">
        <f>-R100-SUM(R102:R118)</f>
        <v>-520</v>
      </c>
      <c r="S119" s="361"/>
      <c r="T119" s="348"/>
    </row>
    <row r="120" spans="1:20" x14ac:dyDescent="0.3">
      <c r="A120" s="276"/>
      <c r="B120" s="293" t="s">
        <v>30</v>
      </c>
      <c r="C120" s="291"/>
      <c r="D120" s="291"/>
      <c r="E120" s="291"/>
      <c r="F120" s="291"/>
      <c r="G120" s="291"/>
      <c r="H120" s="291"/>
      <c r="I120" s="291"/>
      <c r="J120" s="291"/>
      <c r="K120" s="291"/>
      <c r="L120" s="291"/>
      <c r="M120" s="291"/>
      <c r="N120" s="291"/>
      <c r="O120" s="291"/>
      <c r="P120" s="263"/>
      <c r="Q120" s="263"/>
      <c r="R120" s="294"/>
      <c r="S120" s="292"/>
      <c r="T120" s="247"/>
    </row>
    <row r="121" spans="1:20" s="349" customFormat="1" x14ac:dyDescent="0.3">
      <c r="A121" s="365"/>
      <c r="B121" s="358" t="s">
        <v>208</v>
      </c>
      <c r="C121" s="358"/>
      <c r="D121" s="358"/>
      <c r="E121" s="358"/>
      <c r="F121" s="358"/>
      <c r="G121" s="358"/>
      <c r="H121" s="358"/>
      <c r="I121" s="358"/>
      <c r="J121" s="358"/>
      <c r="K121" s="358"/>
      <c r="L121" s="358"/>
      <c r="M121" s="358"/>
      <c r="N121" s="358"/>
      <c r="O121" s="358"/>
      <c r="P121" s="403">
        <f>-P188</f>
        <v>0</v>
      </c>
      <c r="Q121" s="403"/>
      <c r="R121" s="404"/>
      <c r="S121" s="361"/>
      <c r="T121" s="348"/>
    </row>
    <row r="122" spans="1:20" s="349" customFormat="1" x14ac:dyDescent="0.3">
      <c r="A122" s="365"/>
      <c r="B122" s="358" t="s">
        <v>209</v>
      </c>
      <c r="C122" s="358"/>
      <c r="D122" s="358"/>
      <c r="E122" s="358"/>
      <c r="F122" s="358"/>
      <c r="G122" s="358"/>
      <c r="H122" s="358"/>
      <c r="I122" s="358"/>
      <c r="J122" s="358"/>
      <c r="K122" s="358"/>
      <c r="L122" s="358"/>
      <c r="M122" s="358"/>
      <c r="N122" s="358"/>
      <c r="O122" s="358"/>
      <c r="P122" s="403">
        <f>-O188</f>
        <v>0</v>
      </c>
      <c r="Q122" s="403"/>
      <c r="R122" s="404"/>
      <c r="S122" s="361"/>
      <c r="T122" s="348"/>
    </row>
    <row r="123" spans="1:20" s="349" customFormat="1" x14ac:dyDescent="0.3">
      <c r="A123" s="365"/>
      <c r="B123" s="358" t="s">
        <v>270</v>
      </c>
      <c r="C123" s="358"/>
      <c r="D123" s="358"/>
      <c r="E123" s="358"/>
      <c r="F123" s="358"/>
      <c r="G123" s="358"/>
      <c r="H123" s="358"/>
      <c r="I123" s="358"/>
      <c r="J123" s="358"/>
      <c r="K123" s="358"/>
      <c r="L123" s="358"/>
      <c r="M123" s="358"/>
      <c r="N123" s="358"/>
      <c r="O123" s="358"/>
      <c r="P123" s="403">
        <v>-5098</v>
      </c>
      <c r="Q123" s="403"/>
      <c r="R123" s="404"/>
      <c r="S123" s="361"/>
      <c r="T123" s="348"/>
    </row>
    <row r="124" spans="1:20" s="349" customFormat="1" x14ac:dyDescent="0.3">
      <c r="A124" s="365"/>
      <c r="B124" s="358" t="s">
        <v>269</v>
      </c>
      <c r="C124" s="358"/>
      <c r="D124" s="358"/>
      <c r="E124" s="358"/>
      <c r="F124" s="358"/>
      <c r="G124" s="358"/>
      <c r="H124" s="358"/>
      <c r="I124" s="358"/>
      <c r="J124" s="358"/>
      <c r="K124" s="358"/>
      <c r="L124" s="358"/>
      <c r="M124" s="358"/>
      <c r="N124" s="358"/>
      <c r="O124" s="358"/>
      <c r="P124" s="403">
        <v>-6620</v>
      </c>
      <c r="Q124" s="403"/>
      <c r="R124" s="404"/>
      <c r="S124" s="361"/>
      <c r="T124" s="348"/>
    </row>
    <row r="125" spans="1:20" s="349" customFormat="1" x14ac:dyDescent="0.3">
      <c r="A125" s="365"/>
      <c r="B125" s="358" t="s">
        <v>181</v>
      </c>
      <c r="C125" s="358"/>
      <c r="D125" s="358"/>
      <c r="E125" s="358"/>
      <c r="F125" s="358"/>
      <c r="G125" s="358"/>
      <c r="H125" s="358"/>
      <c r="I125" s="358"/>
      <c r="J125" s="358"/>
      <c r="K125" s="358"/>
      <c r="L125" s="358"/>
      <c r="M125" s="358"/>
      <c r="N125" s="358"/>
      <c r="O125" s="358"/>
      <c r="P125" s="403">
        <v>0</v>
      </c>
      <c r="Q125" s="403"/>
      <c r="R125" s="404"/>
      <c r="S125" s="361"/>
      <c r="T125" s="348"/>
    </row>
    <row r="126" spans="1:20" s="349" customFormat="1" x14ac:dyDescent="0.3">
      <c r="A126" s="365"/>
      <c r="B126" s="358" t="s">
        <v>182</v>
      </c>
      <c r="C126" s="358"/>
      <c r="D126" s="358"/>
      <c r="E126" s="358"/>
      <c r="F126" s="358"/>
      <c r="G126" s="358"/>
      <c r="H126" s="358"/>
      <c r="I126" s="358"/>
      <c r="J126" s="358"/>
      <c r="K126" s="358"/>
      <c r="L126" s="358"/>
      <c r="M126" s="358"/>
      <c r="N126" s="358"/>
      <c r="O126" s="358"/>
      <c r="P126" s="403">
        <v>0</v>
      </c>
      <c r="Q126" s="403"/>
      <c r="R126" s="404"/>
      <c r="S126" s="361"/>
      <c r="T126" s="348"/>
    </row>
    <row r="127" spans="1:20" s="349" customFormat="1" x14ac:dyDescent="0.3">
      <c r="A127" s="365"/>
      <c r="B127" s="358" t="s">
        <v>271</v>
      </c>
      <c r="C127" s="358"/>
      <c r="D127" s="358"/>
      <c r="E127" s="358"/>
      <c r="F127" s="358"/>
      <c r="G127" s="358"/>
      <c r="H127" s="358"/>
      <c r="I127" s="358"/>
      <c r="J127" s="358"/>
      <c r="K127" s="358"/>
      <c r="L127" s="358"/>
      <c r="M127" s="358"/>
      <c r="N127" s="358"/>
      <c r="O127" s="358"/>
      <c r="P127" s="403">
        <v>0</v>
      </c>
      <c r="Q127" s="403"/>
      <c r="R127" s="404"/>
      <c r="S127" s="361"/>
      <c r="T127" s="348"/>
    </row>
    <row r="128" spans="1:20" s="349" customFormat="1" x14ac:dyDescent="0.3">
      <c r="A128" s="365"/>
      <c r="B128" s="358" t="s">
        <v>31</v>
      </c>
      <c r="C128" s="358"/>
      <c r="D128" s="358"/>
      <c r="E128" s="358"/>
      <c r="F128" s="358"/>
      <c r="G128" s="358"/>
      <c r="H128" s="358"/>
      <c r="I128" s="358"/>
      <c r="J128" s="358"/>
      <c r="K128" s="358"/>
      <c r="L128" s="358"/>
      <c r="M128" s="358"/>
      <c r="N128" s="358"/>
      <c r="O128" s="358"/>
      <c r="P128" s="403">
        <f>SUM(P121:P127)</f>
        <v>-11718</v>
      </c>
      <c r="Q128" s="403"/>
      <c r="R128" s="403">
        <f>SUM(R101:R127)</f>
        <v>-1240</v>
      </c>
      <c r="S128" s="361"/>
      <c r="T128" s="348"/>
    </row>
    <row r="129" spans="1:20" s="349" customFormat="1" x14ac:dyDescent="0.3">
      <c r="A129" s="365"/>
      <c r="B129" s="358" t="s">
        <v>32</v>
      </c>
      <c r="C129" s="358"/>
      <c r="D129" s="358"/>
      <c r="E129" s="358"/>
      <c r="F129" s="358"/>
      <c r="G129" s="358"/>
      <c r="H129" s="358"/>
      <c r="I129" s="358"/>
      <c r="J129" s="358"/>
      <c r="K129" s="358"/>
      <c r="L129" s="358"/>
      <c r="M129" s="358"/>
      <c r="N129" s="358"/>
      <c r="O129" s="358"/>
      <c r="P129" s="403">
        <f>P100+P128+P111</f>
        <v>0</v>
      </c>
      <c r="Q129" s="403"/>
      <c r="R129" s="403">
        <f>R100+R128</f>
        <v>0</v>
      </c>
      <c r="S129" s="361"/>
      <c r="T129" s="348"/>
    </row>
    <row r="130" spans="1:20" s="349" customFormat="1" x14ac:dyDescent="0.3">
      <c r="A130" s="344"/>
      <c r="B130" s="393"/>
      <c r="C130" s="393"/>
      <c r="D130" s="393"/>
      <c r="E130" s="393"/>
      <c r="F130" s="393"/>
      <c r="G130" s="393"/>
      <c r="H130" s="393"/>
      <c r="I130" s="393"/>
      <c r="J130" s="393"/>
      <c r="K130" s="393"/>
      <c r="L130" s="393"/>
      <c r="M130" s="393"/>
      <c r="N130" s="393"/>
      <c r="O130" s="393"/>
      <c r="P130" s="408"/>
      <c r="Q130" s="408"/>
      <c r="R130" s="408"/>
      <c r="S130" s="347"/>
      <c r="T130" s="348"/>
    </row>
    <row r="131" spans="1:20" s="349" customFormat="1" x14ac:dyDescent="0.3">
      <c r="A131" s="344"/>
      <c r="B131" s="346"/>
      <c r="C131" s="346"/>
      <c r="D131" s="346"/>
      <c r="E131" s="346"/>
      <c r="F131" s="346"/>
      <c r="G131" s="346"/>
      <c r="H131" s="346"/>
      <c r="I131" s="346"/>
      <c r="J131" s="346"/>
      <c r="K131" s="346"/>
      <c r="L131" s="346"/>
      <c r="M131" s="346"/>
      <c r="N131" s="346"/>
      <c r="O131" s="346"/>
      <c r="P131" s="346"/>
      <c r="Q131" s="346"/>
      <c r="R131" s="409"/>
      <c r="S131" s="347"/>
      <c r="T131" s="348"/>
    </row>
    <row r="132" spans="1:20" s="349" customFormat="1" ht="18.600000000000001" thickBot="1" x14ac:dyDescent="0.4">
      <c r="A132" s="398"/>
      <c r="B132" s="399" t="str">
        <f>B60</f>
        <v>PM22 INVESTOR REPORT QUARTER ENDING MAY 2018</v>
      </c>
      <c r="C132" s="400"/>
      <c r="D132" s="400"/>
      <c r="E132" s="400"/>
      <c r="F132" s="400"/>
      <c r="G132" s="400"/>
      <c r="H132" s="400"/>
      <c r="I132" s="400"/>
      <c r="J132" s="400"/>
      <c r="K132" s="400"/>
      <c r="L132" s="400"/>
      <c r="M132" s="400"/>
      <c r="N132" s="400"/>
      <c r="O132" s="400"/>
      <c r="P132" s="400"/>
      <c r="Q132" s="400"/>
      <c r="R132" s="410"/>
      <c r="S132" s="402"/>
      <c r="T132" s="348"/>
    </row>
    <row r="133" spans="1:20" x14ac:dyDescent="0.3">
      <c r="A133" s="456"/>
      <c r="B133" s="457" t="s">
        <v>33</v>
      </c>
      <c r="C133" s="458"/>
      <c r="D133" s="458"/>
      <c r="E133" s="458"/>
      <c r="F133" s="458"/>
      <c r="G133" s="458"/>
      <c r="H133" s="458"/>
      <c r="I133" s="458"/>
      <c r="J133" s="458"/>
      <c r="K133" s="458"/>
      <c r="L133" s="458"/>
      <c r="M133" s="458"/>
      <c r="N133" s="458"/>
      <c r="O133" s="458"/>
      <c r="P133" s="458"/>
      <c r="Q133" s="458"/>
      <c r="R133" s="459"/>
      <c r="S133" s="460"/>
      <c r="T133" s="247"/>
    </row>
    <row r="134" spans="1:20" x14ac:dyDescent="0.3">
      <c r="A134" s="249"/>
      <c r="B134" s="295"/>
      <c r="C134" s="251"/>
      <c r="D134" s="251"/>
      <c r="E134" s="251"/>
      <c r="F134" s="251"/>
      <c r="G134" s="251"/>
      <c r="H134" s="251"/>
      <c r="I134" s="251"/>
      <c r="J134" s="251"/>
      <c r="K134" s="251"/>
      <c r="L134" s="251"/>
      <c r="M134" s="251"/>
      <c r="N134" s="251"/>
      <c r="O134" s="251"/>
      <c r="P134" s="251"/>
      <c r="Q134" s="251"/>
      <c r="R134" s="279"/>
      <c r="S134" s="252"/>
      <c r="T134" s="247"/>
    </row>
    <row r="135" spans="1:20" x14ac:dyDescent="0.3">
      <c r="A135" s="249"/>
      <c r="B135" s="296" t="s">
        <v>34</v>
      </c>
      <c r="C135" s="251"/>
      <c r="D135" s="251"/>
      <c r="E135" s="251"/>
      <c r="F135" s="251"/>
      <c r="G135" s="251"/>
      <c r="H135" s="251"/>
      <c r="I135" s="251"/>
      <c r="J135" s="251"/>
      <c r="K135" s="251"/>
      <c r="L135" s="251"/>
      <c r="M135" s="251"/>
      <c r="N135" s="251"/>
      <c r="O135" s="251"/>
      <c r="P135" s="251"/>
      <c r="Q135" s="251"/>
      <c r="R135" s="279"/>
      <c r="S135" s="252"/>
      <c r="T135" s="247"/>
    </row>
    <row r="136" spans="1:20" s="349" customFormat="1" x14ac:dyDescent="0.3">
      <c r="A136" s="365"/>
      <c r="B136" s="358" t="s">
        <v>35</v>
      </c>
      <c r="C136" s="358"/>
      <c r="D136" s="358"/>
      <c r="E136" s="358"/>
      <c r="F136" s="358"/>
      <c r="G136" s="358"/>
      <c r="H136" s="358"/>
      <c r="I136" s="358"/>
      <c r="J136" s="358"/>
      <c r="K136" s="358"/>
      <c r="L136" s="358"/>
      <c r="M136" s="358"/>
      <c r="N136" s="358"/>
      <c r="O136" s="358"/>
      <c r="P136" s="358"/>
      <c r="Q136" s="358"/>
      <c r="R136" s="404">
        <v>7502</v>
      </c>
      <c r="S136" s="361"/>
      <c r="T136" s="348"/>
    </row>
    <row r="137" spans="1:20" s="349" customFormat="1" x14ac:dyDescent="0.3">
      <c r="A137" s="365"/>
      <c r="B137" s="358" t="s">
        <v>36</v>
      </c>
      <c r="C137" s="358"/>
      <c r="D137" s="358"/>
      <c r="E137" s="358"/>
      <c r="F137" s="358"/>
      <c r="G137" s="358"/>
      <c r="H137" s="358"/>
      <c r="I137" s="358"/>
      <c r="J137" s="358"/>
      <c r="K137" s="358"/>
      <c r="L137" s="358"/>
      <c r="M137" s="358"/>
      <c r="N137" s="358"/>
      <c r="O137" s="358"/>
      <c r="P137" s="358"/>
      <c r="Q137" s="358"/>
      <c r="R137" s="404">
        <v>0</v>
      </c>
      <c r="S137" s="361"/>
      <c r="T137" s="348"/>
    </row>
    <row r="138" spans="1:20" s="349" customFormat="1" x14ac:dyDescent="0.3">
      <c r="A138" s="365"/>
      <c r="B138" s="358" t="s">
        <v>169</v>
      </c>
      <c r="C138" s="358"/>
      <c r="D138" s="358"/>
      <c r="E138" s="358"/>
      <c r="F138" s="358"/>
      <c r="G138" s="358"/>
      <c r="H138" s="358"/>
      <c r="I138" s="358"/>
      <c r="J138" s="358"/>
      <c r="K138" s="358"/>
      <c r="L138" s="358"/>
      <c r="M138" s="358"/>
      <c r="N138" s="358"/>
      <c r="O138" s="358"/>
      <c r="P138" s="358"/>
      <c r="Q138" s="358"/>
      <c r="R138" s="404">
        <f>R136-R139</f>
        <v>5683.880728055</v>
      </c>
      <c r="S138" s="361"/>
      <c r="T138" s="348"/>
    </row>
    <row r="139" spans="1:20" s="349" customFormat="1" x14ac:dyDescent="0.3">
      <c r="A139" s="365"/>
      <c r="B139" s="358" t="s">
        <v>210</v>
      </c>
      <c r="C139" s="358"/>
      <c r="D139" s="358"/>
      <c r="E139" s="358"/>
      <c r="F139" s="358"/>
      <c r="G139" s="358"/>
      <c r="H139" s="358"/>
      <c r="I139" s="358"/>
      <c r="J139" s="358"/>
      <c r="K139" s="358"/>
      <c r="L139" s="358"/>
      <c r="M139" s="358"/>
      <c r="N139" s="358"/>
      <c r="O139" s="358"/>
      <c r="P139" s="358"/>
      <c r="Q139" s="358"/>
      <c r="R139" s="404">
        <f>SUM(D33:J33)*0.025</f>
        <v>1818.119271945</v>
      </c>
      <c r="S139" s="361"/>
      <c r="T139" s="348"/>
    </row>
    <row r="140" spans="1:20" s="349" customFormat="1" x14ac:dyDescent="0.3">
      <c r="A140" s="365"/>
      <c r="B140" s="358" t="s">
        <v>108</v>
      </c>
      <c r="C140" s="358"/>
      <c r="D140" s="358"/>
      <c r="E140" s="358"/>
      <c r="F140" s="358"/>
      <c r="G140" s="358"/>
      <c r="H140" s="358"/>
      <c r="I140" s="358"/>
      <c r="J140" s="358"/>
      <c r="K140" s="358"/>
      <c r="L140" s="358"/>
      <c r="M140" s="358"/>
      <c r="N140" s="358"/>
      <c r="O140" s="358"/>
      <c r="P140" s="358"/>
      <c r="Q140" s="358"/>
      <c r="R140" s="404"/>
      <c r="S140" s="361"/>
      <c r="T140" s="348"/>
    </row>
    <row r="141" spans="1:20" s="349" customFormat="1" x14ac:dyDescent="0.3">
      <c r="A141" s="365"/>
      <c r="B141" s="358" t="s">
        <v>155</v>
      </c>
      <c r="C141" s="358"/>
      <c r="D141" s="358"/>
      <c r="E141" s="358"/>
      <c r="F141" s="358"/>
      <c r="G141" s="358"/>
      <c r="H141" s="358"/>
      <c r="I141" s="358"/>
      <c r="J141" s="358"/>
      <c r="K141" s="358"/>
      <c r="L141" s="358"/>
      <c r="M141" s="358"/>
      <c r="N141" s="358"/>
      <c r="O141" s="358"/>
      <c r="P141" s="358"/>
      <c r="Q141" s="358"/>
      <c r="R141" s="404">
        <v>0</v>
      </c>
      <c r="S141" s="361"/>
      <c r="T141" s="348"/>
    </row>
    <row r="142" spans="1:20" s="349" customFormat="1" x14ac:dyDescent="0.3">
      <c r="A142" s="365"/>
      <c r="B142" s="358" t="s">
        <v>189</v>
      </c>
      <c r="C142" s="358"/>
      <c r="D142" s="358"/>
      <c r="E142" s="358"/>
      <c r="F142" s="358"/>
      <c r="G142" s="358"/>
      <c r="H142" s="358"/>
      <c r="I142" s="358"/>
      <c r="J142" s="358"/>
      <c r="K142" s="358"/>
      <c r="L142" s="358"/>
      <c r="M142" s="358"/>
      <c r="N142" s="358"/>
      <c r="O142" s="358"/>
      <c r="P142" s="358"/>
      <c r="Q142" s="358"/>
      <c r="R142" s="404">
        <v>0</v>
      </c>
      <c r="S142" s="361"/>
      <c r="T142" s="348"/>
    </row>
    <row r="143" spans="1:20" s="349" customFormat="1" x14ac:dyDescent="0.3">
      <c r="A143" s="365"/>
      <c r="B143" s="358" t="s">
        <v>190</v>
      </c>
      <c r="C143" s="358"/>
      <c r="D143" s="358"/>
      <c r="E143" s="358"/>
      <c r="F143" s="358"/>
      <c r="G143" s="358"/>
      <c r="H143" s="358"/>
      <c r="I143" s="358"/>
      <c r="J143" s="358"/>
      <c r="K143" s="358"/>
      <c r="L143" s="358"/>
      <c r="M143" s="358"/>
      <c r="N143" s="358"/>
      <c r="O143" s="358"/>
      <c r="P143" s="358"/>
      <c r="Q143" s="358"/>
      <c r="R143" s="404">
        <v>0</v>
      </c>
      <c r="S143" s="361"/>
      <c r="T143" s="348"/>
    </row>
    <row r="144" spans="1:20" s="349" customFormat="1" x14ac:dyDescent="0.3">
      <c r="A144" s="365"/>
      <c r="B144" s="358" t="s">
        <v>37</v>
      </c>
      <c r="C144" s="358"/>
      <c r="D144" s="358"/>
      <c r="E144" s="358"/>
      <c r="F144" s="358"/>
      <c r="G144" s="358"/>
      <c r="H144" s="358"/>
      <c r="I144" s="358"/>
      <c r="J144" s="358"/>
      <c r="K144" s="358"/>
      <c r="L144" s="358"/>
      <c r="M144" s="358"/>
      <c r="N144" s="358"/>
      <c r="O144" s="358"/>
      <c r="P144" s="358"/>
      <c r="Q144" s="358"/>
      <c r="R144" s="404">
        <v>0</v>
      </c>
      <c r="S144" s="361"/>
      <c r="T144" s="348"/>
    </row>
    <row r="145" spans="1:21" s="349" customFormat="1" x14ac:dyDescent="0.3">
      <c r="A145" s="365"/>
      <c r="B145" s="358" t="s">
        <v>102</v>
      </c>
      <c r="C145" s="358"/>
      <c r="D145" s="358"/>
      <c r="E145" s="358"/>
      <c r="F145" s="358"/>
      <c r="G145" s="358"/>
      <c r="H145" s="358"/>
      <c r="I145" s="358"/>
      <c r="J145" s="358"/>
      <c r="K145" s="358"/>
      <c r="L145" s="358"/>
      <c r="M145" s="358"/>
      <c r="N145" s="358"/>
      <c r="O145" s="358"/>
      <c r="P145" s="358"/>
      <c r="Q145" s="358"/>
      <c r="R145" s="404">
        <v>0</v>
      </c>
      <c r="S145" s="361"/>
      <c r="T145" s="348"/>
    </row>
    <row r="146" spans="1:21" s="349" customFormat="1" x14ac:dyDescent="0.3">
      <c r="A146" s="365"/>
      <c r="B146" s="358" t="s">
        <v>256</v>
      </c>
      <c r="C146" s="358"/>
      <c r="D146" s="358"/>
      <c r="E146" s="358"/>
      <c r="F146" s="358"/>
      <c r="G146" s="358"/>
      <c r="H146" s="358"/>
      <c r="I146" s="358"/>
      <c r="J146" s="358"/>
      <c r="K146" s="358"/>
      <c r="L146" s="358"/>
      <c r="M146" s="358"/>
      <c r="N146" s="358"/>
      <c r="O146" s="358"/>
      <c r="P146" s="358"/>
      <c r="Q146" s="358"/>
      <c r="R146" s="404">
        <v>0</v>
      </c>
      <c r="S146" s="361"/>
      <c r="T146" s="348"/>
      <c r="U146" s="407"/>
    </row>
    <row r="147" spans="1:21" s="349" customFormat="1" x14ac:dyDescent="0.3">
      <c r="A147" s="365"/>
      <c r="B147" s="358" t="s">
        <v>38</v>
      </c>
      <c r="C147" s="358"/>
      <c r="D147" s="358"/>
      <c r="E147" s="358"/>
      <c r="F147" s="358"/>
      <c r="G147" s="358"/>
      <c r="H147" s="358"/>
      <c r="I147" s="358"/>
      <c r="J147" s="358"/>
      <c r="K147" s="358"/>
      <c r="L147" s="358"/>
      <c r="M147" s="358"/>
      <c r="N147" s="358"/>
      <c r="O147" s="358"/>
      <c r="P147" s="358"/>
      <c r="Q147" s="358"/>
      <c r="R147" s="404">
        <f>SUM(R137:R146)</f>
        <v>7502</v>
      </c>
      <c r="S147" s="361"/>
      <c r="T147" s="348"/>
    </row>
    <row r="148" spans="1:21" x14ac:dyDescent="0.3">
      <c r="A148" s="249"/>
      <c r="B148" s="277"/>
      <c r="C148" s="277"/>
      <c r="D148" s="277"/>
      <c r="E148" s="277"/>
      <c r="F148" s="277"/>
      <c r="G148" s="277"/>
      <c r="H148" s="277"/>
      <c r="I148" s="277"/>
      <c r="J148" s="277"/>
      <c r="K148" s="277"/>
      <c r="L148" s="277"/>
      <c r="M148" s="277"/>
      <c r="N148" s="277"/>
      <c r="O148" s="277"/>
      <c r="P148" s="277"/>
      <c r="Q148" s="277"/>
      <c r="R148" s="297"/>
      <c r="S148" s="252"/>
      <c r="T148" s="247"/>
    </row>
    <row r="149" spans="1:21" x14ac:dyDescent="0.3">
      <c r="A149" s="249"/>
      <c r="B149" s="296" t="s">
        <v>203</v>
      </c>
      <c r="C149" s="251"/>
      <c r="D149" s="251"/>
      <c r="E149" s="251"/>
      <c r="F149" s="251"/>
      <c r="G149" s="251"/>
      <c r="H149" s="251"/>
      <c r="I149" s="251"/>
      <c r="J149" s="251"/>
      <c r="K149" s="251"/>
      <c r="L149" s="251"/>
      <c r="M149" s="251"/>
      <c r="N149" s="251"/>
      <c r="O149" s="251"/>
      <c r="P149" s="251"/>
      <c r="Q149" s="251"/>
      <c r="R149" s="279"/>
      <c r="S149" s="252"/>
      <c r="T149" s="247"/>
    </row>
    <row r="150" spans="1:21" s="349" customFormat="1" x14ac:dyDescent="0.3">
      <c r="A150" s="365"/>
      <c r="B150" s="358" t="s">
        <v>278</v>
      </c>
      <c r="C150" s="358"/>
      <c r="D150" s="358"/>
      <c r="E150" s="358"/>
      <c r="F150" s="358"/>
      <c r="G150" s="358"/>
      <c r="H150" s="358"/>
      <c r="I150" s="358"/>
      <c r="J150" s="358"/>
      <c r="K150" s="358"/>
      <c r="L150" s="358"/>
      <c r="M150" s="358"/>
      <c r="N150" s="358"/>
      <c r="O150" s="358"/>
      <c r="P150" s="358"/>
      <c r="Q150" s="358"/>
      <c r="R150" s="404">
        <v>0</v>
      </c>
      <c r="S150" s="361"/>
      <c r="T150" s="348"/>
    </row>
    <row r="151" spans="1:21" s="349" customFormat="1" x14ac:dyDescent="0.3">
      <c r="A151" s="365"/>
      <c r="B151" s="358" t="s">
        <v>191</v>
      </c>
      <c r="C151" s="358"/>
      <c r="D151" s="358"/>
      <c r="E151" s="358"/>
      <c r="F151" s="358"/>
      <c r="G151" s="358"/>
      <c r="H151" s="358"/>
      <c r="I151" s="358"/>
      <c r="J151" s="358"/>
      <c r="K151" s="358"/>
      <c r="L151" s="358"/>
      <c r="M151" s="358"/>
      <c r="N151" s="358"/>
      <c r="O151" s="358"/>
      <c r="P151" s="358"/>
      <c r="Q151" s="358"/>
      <c r="R151" s="404">
        <f>+J77</f>
        <v>0</v>
      </c>
      <c r="S151" s="361"/>
      <c r="T151" s="348"/>
    </row>
    <row r="152" spans="1:21" s="349" customFormat="1" x14ac:dyDescent="0.3">
      <c r="A152" s="365"/>
      <c r="B152" s="358" t="s">
        <v>205</v>
      </c>
      <c r="C152" s="358"/>
      <c r="D152" s="358"/>
      <c r="E152" s="358"/>
      <c r="F152" s="358"/>
      <c r="G152" s="358"/>
      <c r="H152" s="358"/>
      <c r="I152" s="358"/>
      <c r="J152" s="358"/>
      <c r="K152" s="358"/>
      <c r="L152" s="358"/>
      <c r="M152" s="358"/>
      <c r="N152" s="358"/>
      <c r="O152" s="358"/>
      <c r="P152" s="358"/>
      <c r="Q152" s="358"/>
      <c r="R152" s="404">
        <f>R150+R151</f>
        <v>0</v>
      </c>
      <c r="S152" s="361"/>
      <c r="T152" s="348"/>
    </row>
    <row r="153" spans="1:21" s="349" customFormat="1" x14ac:dyDescent="0.3">
      <c r="A153" s="344"/>
      <c r="B153" s="393"/>
      <c r="C153" s="393"/>
      <c r="D153" s="393"/>
      <c r="E153" s="393"/>
      <c r="F153" s="393"/>
      <c r="G153" s="393"/>
      <c r="H153" s="393"/>
      <c r="I153" s="393"/>
      <c r="J153" s="393"/>
      <c r="K153" s="393"/>
      <c r="L153" s="393"/>
      <c r="M153" s="393"/>
      <c r="N153" s="393"/>
      <c r="O153" s="393"/>
      <c r="P153" s="393"/>
      <c r="Q153" s="393"/>
      <c r="R153" s="411"/>
      <c r="S153" s="347"/>
      <c r="T153" s="348"/>
    </row>
    <row r="154" spans="1:21" x14ac:dyDescent="0.3">
      <c r="A154" s="249"/>
      <c r="B154" s="296" t="s">
        <v>211</v>
      </c>
      <c r="C154" s="298"/>
      <c r="D154" s="298"/>
      <c r="E154" s="298"/>
      <c r="F154" s="298"/>
      <c r="G154" s="298"/>
      <c r="H154" s="298"/>
      <c r="I154" s="298"/>
      <c r="J154" s="298"/>
      <c r="K154" s="298"/>
      <c r="L154" s="298"/>
      <c r="M154" s="298"/>
      <c r="N154" s="298"/>
      <c r="O154" s="298"/>
      <c r="P154" s="298"/>
      <c r="Q154" s="298"/>
      <c r="R154" s="299"/>
      <c r="S154" s="252"/>
      <c r="T154" s="247"/>
    </row>
    <row r="155" spans="1:21" s="349" customFormat="1" x14ac:dyDescent="0.3">
      <c r="A155" s="412"/>
      <c r="B155" s="413" t="s">
        <v>277</v>
      </c>
      <c r="C155" s="413"/>
      <c r="D155" s="413"/>
      <c r="E155" s="413"/>
      <c r="F155" s="413"/>
      <c r="G155" s="413"/>
      <c r="H155" s="413"/>
      <c r="I155" s="413"/>
      <c r="J155" s="413"/>
      <c r="K155" s="413"/>
      <c r="L155" s="413"/>
      <c r="M155" s="413"/>
      <c r="N155" s="413"/>
      <c r="O155" s="413"/>
      <c r="P155" s="413"/>
      <c r="Q155" s="413"/>
      <c r="R155" s="414">
        <f>+'Feb 17'!R158</f>
        <v>0</v>
      </c>
      <c r="S155" s="415"/>
      <c r="T155" s="348"/>
    </row>
    <row r="156" spans="1:21" s="349" customFormat="1" x14ac:dyDescent="0.3">
      <c r="A156" s="412"/>
      <c r="B156" s="413" t="s">
        <v>213</v>
      </c>
      <c r="C156" s="413"/>
      <c r="D156" s="413"/>
      <c r="E156" s="413"/>
      <c r="F156" s="413"/>
      <c r="G156" s="413"/>
      <c r="H156" s="413"/>
      <c r="I156" s="413"/>
      <c r="J156" s="413"/>
      <c r="K156" s="413"/>
      <c r="L156" s="413"/>
      <c r="M156" s="413"/>
      <c r="N156" s="413"/>
      <c r="O156" s="413"/>
      <c r="P156" s="413"/>
      <c r="Q156" s="413"/>
      <c r="R156" s="414">
        <f>P86</f>
        <v>0</v>
      </c>
      <c r="S156" s="415"/>
      <c r="T156" s="348"/>
    </row>
    <row r="157" spans="1:21" s="349" customFormat="1" x14ac:dyDescent="0.3">
      <c r="A157" s="412"/>
      <c r="B157" s="413" t="s">
        <v>214</v>
      </c>
      <c r="C157" s="413"/>
      <c r="D157" s="413"/>
      <c r="E157" s="413"/>
      <c r="F157" s="413"/>
      <c r="G157" s="413"/>
      <c r="H157" s="413"/>
      <c r="I157" s="413"/>
      <c r="J157" s="413"/>
      <c r="K157" s="413"/>
      <c r="L157" s="413"/>
      <c r="M157" s="413"/>
      <c r="N157" s="413"/>
      <c r="O157" s="413"/>
      <c r="P157" s="413"/>
      <c r="Q157" s="413"/>
      <c r="R157" s="414">
        <v>0</v>
      </c>
      <c r="S157" s="415"/>
      <c r="T157" s="348"/>
    </row>
    <row r="158" spans="1:21" s="349" customFormat="1" x14ac:dyDescent="0.3">
      <c r="A158" s="412"/>
      <c r="B158" s="413" t="s">
        <v>215</v>
      </c>
      <c r="C158" s="413"/>
      <c r="D158" s="413"/>
      <c r="E158" s="413"/>
      <c r="F158" s="413"/>
      <c r="G158" s="413"/>
      <c r="H158" s="413"/>
      <c r="I158" s="413"/>
      <c r="J158" s="413"/>
      <c r="K158" s="413"/>
      <c r="L158" s="413"/>
      <c r="M158" s="413"/>
      <c r="N158" s="413"/>
      <c r="O158" s="413"/>
      <c r="P158" s="413"/>
      <c r="Q158" s="413"/>
      <c r="R158" s="414">
        <f>R155+R156+R157</f>
        <v>0</v>
      </c>
      <c r="S158" s="415"/>
      <c r="T158" s="348"/>
    </row>
    <row r="159" spans="1:21" x14ac:dyDescent="0.3">
      <c r="A159" s="249"/>
      <c r="B159" s="277"/>
      <c r="C159" s="277"/>
      <c r="D159" s="277"/>
      <c r="E159" s="277"/>
      <c r="F159" s="277"/>
      <c r="G159" s="277"/>
      <c r="H159" s="277"/>
      <c r="I159" s="277"/>
      <c r="J159" s="277"/>
      <c r="K159" s="277"/>
      <c r="L159" s="277"/>
      <c r="M159" s="277"/>
      <c r="N159" s="277"/>
      <c r="O159" s="277"/>
      <c r="P159" s="277"/>
      <c r="Q159" s="277"/>
      <c r="R159" s="297"/>
      <c r="S159" s="252"/>
      <c r="T159" s="247"/>
    </row>
    <row r="160" spans="1:21" x14ac:dyDescent="0.3">
      <c r="A160" s="249"/>
      <c r="B160" s="296" t="s">
        <v>39</v>
      </c>
      <c r="C160" s="251"/>
      <c r="D160" s="251"/>
      <c r="E160" s="251"/>
      <c r="F160" s="251"/>
      <c r="G160" s="251"/>
      <c r="H160" s="251"/>
      <c r="I160" s="251"/>
      <c r="J160" s="251"/>
      <c r="K160" s="251"/>
      <c r="L160" s="251"/>
      <c r="M160" s="251"/>
      <c r="N160" s="251"/>
      <c r="O160" s="251"/>
      <c r="P160" s="251"/>
      <c r="Q160" s="251"/>
      <c r="R160" s="300"/>
      <c r="S160" s="252"/>
      <c r="T160" s="247"/>
    </row>
    <row r="161" spans="1:252" s="349" customFormat="1" x14ac:dyDescent="0.3">
      <c r="A161" s="365"/>
      <c r="B161" s="358" t="s">
        <v>40</v>
      </c>
      <c r="C161" s="358"/>
      <c r="D161" s="358"/>
      <c r="E161" s="358"/>
      <c r="F161" s="358"/>
      <c r="G161" s="358"/>
      <c r="H161" s="358"/>
      <c r="I161" s="358"/>
      <c r="J161" s="358"/>
      <c r="K161" s="358"/>
      <c r="L161" s="358"/>
      <c r="M161" s="358"/>
      <c r="N161" s="358"/>
      <c r="O161" s="358"/>
      <c r="P161" s="358"/>
      <c r="Q161" s="358"/>
      <c r="R161" s="404">
        <v>0</v>
      </c>
      <c r="S161" s="361"/>
      <c r="T161" s="348"/>
    </row>
    <row r="162" spans="1:252" s="349" customFormat="1" x14ac:dyDescent="0.3">
      <c r="A162" s="365"/>
      <c r="B162" s="358" t="s">
        <v>41</v>
      </c>
      <c r="C162" s="358"/>
      <c r="D162" s="358"/>
      <c r="E162" s="358"/>
      <c r="F162" s="358"/>
      <c r="G162" s="358"/>
      <c r="H162" s="358"/>
      <c r="I162" s="358"/>
      <c r="J162" s="358"/>
      <c r="K162" s="358"/>
      <c r="L162" s="358"/>
      <c r="M162" s="358"/>
      <c r="N162" s="358"/>
      <c r="O162" s="358"/>
      <c r="P162" s="358"/>
      <c r="Q162" s="358"/>
      <c r="R162" s="404">
        <v>0</v>
      </c>
      <c r="S162" s="361"/>
      <c r="T162" s="348"/>
    </row>
    <row r="163" spans="1:252" s="349" customFormat="1" x14ac:dyDescent="0.3">
      <c r="A163" s="365"/>
      <c r="B163" s="358" t="s">
        <v>42</v>
      </c>
      <c r="C163" s="358"/>
      <c r="D163" s="358"/>
      <c r="E163" s="358"/>
      <c r="F163" s="358"/>
      <c r="G163" s="358"/>
      <c r="H163" s="358"/>
      <c r="I163" s="358"/>
      <c r="J163" s="358"/>
      <c r="K163" s="358"/>
      <c r="L163" s="358"/>
      <c r="M163" s="358"/>
      <c r="N163" s="358"/>
      <c r="O163" s="358"/>
      <c r="P163" s="358"/>
      <c r="Q163" s="358"/>
      <c r="R163" s="404">
        <f>R162+R161</f>
        <v>0</v>
      </c>
      <c r="S163" s="361"/>
      <c r="T163" s="348"/>
    </row>
    <row r="164" spans="1:252" s="349" customFormat="1" x14ac:dyDescent="0.3">
      <c r="A164" s="365"/>
      <c r="B164" s="358" t="s">
        <v>174</v>
      </c>
      <c r="C164" s="358"/>
      <c r="D164" s="358"/>
      <c r="E164" s="358"/>
      <c r="F164" s="358"/>
      <c r="G164" s="358"/>
      <c r="H164" s="358"/>
      <c r="I164" s="358"/>
      <c r="J164" s="358"/>
      <c r="K164" s="358"/>
      <c r="L164" s="358"/>
      <c r="M164" s="358"/>
      <c r="N164" s="358"/>
      <c r="O164" s="358"/>
      <c r="P164" s="358"/>
      <c r="Q164" s="358"/>
      <c r="R164" s="404">
        <f>R111</f>
        <v>0</v>
      </c>
      <c r="S164" s="361"/>
      <c r="T164" s="348"/>
    </row>
    <row r="165" spans="1:252" s="349" customFormat="1" x14ac:dyDescent="0.3">
      <c r="A165" s="365"/>
      <c r="B165" s="358" t="s">
        <v>43</v>
      </c>
      <c r="C165" s="358"/>
      <c r="D165" s="358"/>
      <c r="E165" s="358"/>
      <c r="F165" s="358"/>
      <c r="G165" s="358"/>
      <c r="H165" s="358"/>
      <c r="I165" s="358"/>
      <c r="J165" s="358"/>
      <c r="K165" s="358"/>
      <c r="L165" s="358"/>
      <c r="M165" s="358"/>
      <c r="N165" s="358"/>
      <c r="O165" s="358"/>
      <c r="P165" s="358"/>
      <c r="Q165" s="358"/>
      <c r="R165" s="404">
        <f>R163+R164</f>
        <v>0</v>
      </c>
      <c r="S165" s="361"/>
      <c r="T165" s="348"/>
    </row>
    <row r="166" spans="1:252" s="349" customFormat="1" x14ac:dyDescent="0.3">
      <c r="A166" s="365"/>
      <c r="B166" s="358" t="s">
        <v>150</v>
      </c>
      <c r="C166" s="358"/>
      <c r="D166" s="358"/>
      <c r="E166" s="358"/>
      <c r="F166" s="358"/>
      <c r="G166" s="358"/>
      <c r="H166" s="358"/>
      <c r="I166" s="358"/>
      <c r="J166" s="358"/>
      <c r="K166" s="358"/>
      <c r="L166" s="358"/>
      <c r="M166" s="358"/>
      <c r="N166" s="358"/>
      <c r="O166" s="358"/>
      <c r="P166" s="358"/>
      <c r="Q166" s="358"/>
      <c r="R166" s="404">
        <f>-R99</f>
        <v>0</v>
      </c>
      <c r="S166" s="361"/>
      <c r="T166" s="348"/>
    </row>
    <row r="167" spans="1:252" ht="16.2" thickBot="1" x14ac:dyDescent="0.35">
      <c r="A167" s="249"/>
      <c r="B167" s="277"/>
      <c r="C167" s="277"/>
      <c r="D167" s="277"/>
      <c r="E167" s="277"/>
      <c r="F167" s="277"/>
      <c r="G167" s="277"/>
      <c r="H167" s="277"/>
      <c r="I167" s="277"/>
      <c r="J167" s="277"/>
      <c r="K167" s="277"/>
      <c r="L167" s="277"/>
      <c r="M167" s="277"/>
      <c r="N167" s="277"/>
      <c r="O167" s="277"/>
      <c r="P167" s="277"/>
      <c r="Q167" s="277"/>
      <c r="R167" s="297"/>
      <c r="S167" s="252"/>
      <c r="T167" s="247"/>
    </row>
    <row r="168" spans="1:252" x14ac:dyDescent="0.3">
      <c r="A168" s="244"/>
      <c r="B168" s="245"/>
      <c r="C168" s="245"/>
      <c r="D168" s="245"/>
      <c r="E168" s="245"/>
      <c r="F168" s="245"/>
      <c r="G168" s="245"/>
      <c r="H168" s="245"/>
      <c r="I168" s="245"/>
      <c r="J168" s="245"/>
      <c r="K168" s="245"/>
      <c r="L168" s="245"/>
      <c r="M168" s="245"/>
      <c r="N168" s="245"/>
      <c r="O168" s="245"/>
      <c r="P168" s="245"/>
      <c r="Q168" s="245"/>
      <c r="R168" s="301"/>
      <c r="S168" s="246"/>
      <c r="T168" s="247"/>
    </row>
    <row r="169" spans="1:252" s="303" customFormat="1" x14ac:dyDescent="0.3">
      <c r="A169" s="249"/>
      <c r="B169" s="296" t="s">
        <v>204</v>
      </c>
      <c r="C169" s="277"/>
      <c r="D169" s="277"/>
      <c r="E169" s="277"/>
      <c r="F169" s="277"/>
      <c r="G169" s="277"/>
      <c r="H169" s="277"/>
      <c r="I169" s="277"/>
      <c r="J169" s="277"/>
      <c r="K169" s="277"/>
      <c r="L169" s="277"/>
      <c r="M169" s="277"/>
      <c r="N169" s="277"/>
      <c r="O169" s="277"/>
      <c r="P169" s="277"/>
      <c r="Q169" s="277"/>
      <c r="R169" s="302"/>
      <c r="S169" s="252"/>
      <c r="T169" s="247"/>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c r="BT169" s="248"/>
      <c r="BU169" s="248"/>
      <c r="BV169" s="248"/>
      <c r="BW169" s="248"/>
      <c r="BX169" s="248"/>
      <c r="BY169" s="248"/>
      <c r="BZ169" s="248"/>
      <c r="CA169" s="248"/>
      <c r="CB169" s="248"/>
      <c r="CC169" s="248"/>
      <c r="CD169" s="248"/>
      <c r="CE169" s="248"/>
      <c r="CF169" s="248"/>
      <c r="CG169" s="248"/>
      <c r="CH169" s="248"/>
      <c r="CI169" s="248"/>
      <c r="CJ169" s="248"/>
      <c r="CK169" s="248"/>
      <c r="CL169" s="248"/>
      <c r="CM169" s="248"/>
      <c r="CN169" s="248"/>
      <c r="CO169" s="248"/>
      <c r="CP169" s="248"/>
      <c r="CQ169" s="248"/>
      <c r="CR169" s="248"/>
      <c r="CS169" s="248"/>
      <c r="CT169" s="248"/>
      <c r="CU169" s="248"/>
      <c r="CV169" s="248"/>
      <c r="CW169" s="248"/>
      <c r="CX169" s="248"/>
      <c r="CY169" s="248"/>
      <c r="CZ169" s="248"/>
      <c r="DA169" s="248"/>
      <c r="DB169" s="248"/>
      <c r="DC169" s="248"/>
      <c r="DD169" s="248"/>
      <c r="DE169" s="248"/>
      <c r="DF169" s="248"/>
      <c r="DG169" s="248"/>
      <c r="DH169" s="248"/>
      <c r="DI169" s="248"/>
      <c r="DJ169" s="248"/>
      <c r="DK169" s="248"/>
      <c r="DL169" s="248"/>
      <c r="DM169" s="248"/>
      <c r="DN169" s="248"/>
      <c r="DO169" s="248"/>
      <c r="DP169" s="248"/>
      <c r="DQ169" s="248"/>
      <c r="DR169" s="248"/>
      <c r="DS169" s="248"/>
      <c r="DT169" s="248"/>
      <c r="DU169" s="248"/>
      <c r="DV169" s="248"/>
      <c r="DW169" s="248"/>
      <c r="DX169" s="248"/>
      <c r="DY169" s="248"/>
      <c r="DZ169" s="248"/>
      <c r="EA169" s="248"/>
      <c r="EB169" s="248"/>
      <c r="EC169" s="248"/>
      <c r="ED169" s="248"/>
      <c r="EE169" s="248"/>
      <c r="EF169" s="248"/>
      <c r="EG169" s="248"/>
      <c r="EH169" s="248"/>
      <c r="EI169" s="248"/>
      <c r="EJ169" s="248"/>
      <c r="EK169" s="248"/>
      <c r="EL169" s="248"/>
      <c r="EM169" s="248"/>
      <c r="EN169" s="248"/>
      <c r="EO169" s="248"/>
      <c r="EP169" s="248"/>
      <c r="EQ169" s="248"/>
      <c r="ER169" s="248"/>
      <c r="ES169" s="248"/>
      <c r="ET169" s="248"/>
      <c r="EU169" s="248"/>
      <c r="EV169" s="248"/>
      <c r="EW169" s="248"/>
      <c r="EX169" s="248"/>
      <c r="EY169" s="248"/>
      <c r="EZ169" s="248"/>
      <c r="FA169" s="248"/>
      <c r="FB169" s="248"/>
      <c r="FC169" s="248"/>
      <c r="FD169" s="248"/>
      <c r="FE169" s="248"/>
      <c r="FF169" s="248"/>
      <c r="FG169" s="248"/>
      <c r="FH169" s="248"/>
      <c r="FI169" s="248"/>
      <c r="FJ169" s="248"/>
      <c r="FK169" s="248"/>
      <c r="FL169" s="248"/>
      <c r="FM169" s="248"/>
      <c r="FN169" s="248"/>
      <c r="FO169" s="248"/>
      <c r="FP169" s="248"/>
      <c r="FQ169" s="248"/>
      <c r="FR169" s="248"/>
      <c r="FS169" s="248"/>
      <c r="FT169" s="248"/>
      <c r="FU169" s="248"/>
      <c r="FV169" s="248"/>
      <c r="FW169" s="248"/>
      <c r="FX169" s="248"/>
      <c r="FY169" s="248"/>
      <c r="FZ169" s="248"/>
      <c r="GA169" s="248"/>
      <c r="GB169" s="248"/>
      <c r="GC169" s="248"/>
      <c r="GD169" s="248"/>
      <c r="GE169" s="248"/>
      <c r="GF169" s="248"/>
      <c r="GG169" s="248"/>
      <c r="GH169" s="248"/>
      <c r="GI169" s="248"/>
      <c r="GJ169" s="248"/>
      <c r="GK169" s="248"/>
      <c r="GL169" s="248"/>
      <c r="GM169" s="248"/>
      <c r="GN169" s="248"/>
      <c r="GO169" s="248"/>
      <c r="GP169" s="248"/>
      <c r="GQ169" s="248"/>
      <c r="GR169" s="248"/>
      <c r="GS169" s="248"/>
      <c r="GT169" s="248"/>
      <c r="GU169" s="248"/>
      <c r="GV169" s="248"/>
      <c r="GW169" s="248"/>
      <c r="GX169" s="248"/>
      <c r="GY169" s="248"/>
      <c r="GZ169" s="248"/>
      <c r="HA169" s="248"/>
      <c r="HB169" s="248"/>
      <c r="HC169" s="248"/>
      <c r="HD169" s="248"/>
      <c r="HE169" s="248"/>
      <c r="HF169" s="248"/>
      <c r="HG169" s="248"/>
      <c r="HH169" s="248"/>
      <c r="HI169" s="248"/>
      <c r="HJ169" s="248"/>
      <c r="HK169" s="248"/>
      <c r="HL169" s="248"/>
      <c r="HM169" s="248"/>
      <c r="HN169" s="248"/>
      <c r="HO169" s="248"/>
      <c r="HP169" s="248"/>
      <c r="HQ169" s="248"/>
      <c r="HR169" s="248"/>
      <c r="HS169" s="248"/>
      <c r="HT169" s="248"/>
      <c r="HU169" s="248"/>
      <c r="HV169" s="248"/>
      <c r="HW169" s="248"/>
      <c r="HX169" s="248"/>
      <c r="HY169" s="248"/>
      <c r="HZ169" s="248"/>
      <c r="IA169" s="248"/>
      <c r="IB169" s="248"/>
      <c r="IC169" s="248"/>
      <c r="ID169" s="248"/>
      <c r="IE169" s="248"/>
      <c r="IF169" s="248"/>
      <c r="IG169" s="248"/>
      <c r="IH169" s="248"/>
      <c r="II169" s="248"/>
      <c r="IJ169" s="248"/>
      <c r="IK169" s="248"/>
      <c r="IL169" s="248"/>
      <c r="IM169" s="248"/>
      <c r="IN169" s="248"/>
      <c r="IO169" s="248"/>
      <c r="IP169" s="248"/>
      <c r="IQ169" s="248"/>
      <c r="IR169" s="248"/>
    </row>
    <row r="170" spans="1:252" s="416" customFormat="1" x14ac:dyDescent="0.3">
      <c r="A170" s="365"/>
      <c r="B170" s="358" t="s">
        <v>141</v>
      </c>
      <c r="C170" s="358"/>
      <c r="D170" s="358"/>
      <c r="E170" s="358"/>
      <c r="F170" s="358"/>
      <c r="G170" s="358"/>
      <c r="H170" s="358"/>
      <c r="I170" s="358"/>
      <c r="J170" s="358"/>
      <c r="K170" s="358"/>
      <c r="L170" s="358"/>
      <c r="M170" s="358"/>
      <c r="N170" s="358"/>
      <c r="O170" s="358"/>
      <c r="P170" s="358"/>
      <c r="Q170" s="358"/>
      <c r="R170" s="404">
        <f>+'Feb 18'!R173</f>
        <v>1128</v>
      </c>
      <c r="S170" s="361"/>
      <c r="T170" s="348"/>
      <c r="U170" s="349"/>
      <c r="V170" s="349"/>
      <c r="W170" s="349"/>
      <c r="X170" s="349"/>
      <c r="Y170" s="349"/>
      <c r="Z170" s="349"/>
      <c r="AA170" s="349"/>
      <c r="AB170" s="349"/>
      <c r="AC170" s="349"/>
      <c r="AD170" s="349"/>
      <c r="AE170" s="349"/>
      <c r="AF170" s="349"/>
      <c r="AG170" s="349"/>
      <c r="AH170" s="349"/>
      <c r="AI170" s="349"/>
      <c r="AJ170" s="349"/>
      <c r="AK170" s="349"/>
      <c r="AL170" s="349"/>
      <c r="AM170" s="349"/>
      <c r="AN170" s="349"/>
      <c r="AO170" s="349"/>
      <c r="AP170" s="349"/>
      <c r="AQ170" s="349"/>
      <c r="AR170" s="349"/>
      <c r="AS170" s="349"/>
      <c r="AT170" s="349"/>
      <c r="AU170" s="349"/>
      <c r="AV170" s="349"/>
      <c r="AW170" s="349"/>
      <c r="AX170" s="349"/>
      <c r="AY170" s="349"/>
      <c r="AZ170" s="349"/>
      <c r="BA170" s="349"/>
      <c r="BB170" s="349"/>
      <c r="BC170" s="349"/>
      <c r="BD170" s="349"/>
      <c r="BE170" s="349"/>
      <c r="BF170" s="349"/>
      <c r="BG170" s="349"/>
      <c r="BH170" s="349"/>
      <c r="BI170" s="349"/>
      <c r="BJ170" s="349"/>
      <c r="BK170" s="349"/>
      <c r="BL170" s="349"/>
      <c r="BM170" s="349"/>
      <c r="BN170" s="349"/>
      <c r="BO170" s="349"/>
      <c r="BP170" s="349"/>
      <c r="BQ170" s="349"/>
      <c r="BR170" s="349"/>
      <c r="BS170" s="349"/>
      <c r="BT170" s="349"/>
      <c r="BU170" s="349"/>
      <c r="BV170" s="349"/>
      <c r="BW170" s="349"/>
      <c r="BX170" s="349"/>
      <c r="BY170" s="349"/>
      <c r="BZ170" s="349"/>
      <c r="CA170" s="349"/>
      <c r="CB170" s="349"/>
      <c r="CC170" s="349"/>
      <c r="CD170" s="349"/>
      <c r="CE170" s="349"/>
      <c r="CF170" s="349"/>
      <c r="CG170" s="349"/>
      <c r="CH170" s="349"/>
      <c r="CI170" s="349"/>
      <c r="CJ170" s="349"/>
      <c r="CK170" s="349"/>
      <c r="CL170" s="349"/>
      <c r="CM170" s="349"/>
      <c r="CN170" s="349"/>
      <c r="CO170" s="349"/>
      <c r="CP170" s="349"/>
      <c r="CQ170" s="349"/>
      <c r="CR170" s="349"/>
      <c r="CS170" s="349"/>
      <c r="CT170" s="349"/>
      <c r="CU170" s="349"/>
      <c r="CV170" s="349"/>
      <c r="CW170" s="349"/>
      <c r="CX170" s="349"/>
      <c r="CY170" s="349"/>
      <c r="CZ170" s="349"/>
      <c r="DA170" s="349"/>
      <c r="DB170" s="349"/>
      <c r="DC170" s="349"/>
      <c r="DD170" s="349"/>
      <c r="DE170" s="349"/>
      <c r="DF170" s="349"/>
      <c r="DG170" s="349"/>
      <c r="DH170" s="349"/>
      <c r="DI170" s="349"/>
      <c r="DJ170" s="349"/>
      <c r="DK170" s="349"/>
      <c r="DL170" s="349"/>
      <c r="DM170" s="349"/>
      <c r="DN170" s="349"/>
      <c r="DO170" s="349"/>
      <c r="DP170" s="349"/>
      <c r="DQ170" s="349"/>
      <c r="DR170" s="349"/>
      <c r="DS170" s="349"/>
      <c r="DT170" s="349"/>
      <c r="DU170" s="349"/>
      <c r="DV170" s="349"/>
      <c r="DW170" s="349"/>
      <c r="DX170" s="349"/>
      <c r="DY170" s="349"/>
      <c r="DZ170" s="349"/>
      <c r="EA170" s="349"/>
      <c r="EB170" s="349"/>
      <c r="EC170" s="349"/>
      <c r="ED170" s="349"/>
      <c r="EE170" s="349"/>
      <c r="EF170" s="349"/>
      <c r="EG170" s="349"/>
      <c r="EH170" s="349"/>
      <c r="EI170" s="349"/>
      <c r="EJ170" s="349"/>
      <c r="EK170" s="349"/>
      <c r="EL170" s="349"/>
      <c r="EM170" s="349"/>
      <c r="EN170" s="349"/>
      <c r="EO170" s="349"/>
      <c r="EP170" s="349"/>
      <c r="EQ170" s="349"/>
      <c r="ER170" s="349"/>
      <c r="ES170" s="349"/>
      <c r="ET170" s="349"/>
      <c r="EU170" s="349"/>
      <c r="EV170" s="349"/>
      <c r="EW170" s="349"/>
      <c r="EX170" s="349"/>
      <c r="EY170" s="349"/>
      <c r="EZ170" s="349"/>
      <c r="FA170" s="349"/>
      <c r="FB170" s="349"/>
      <c r="FC170" s="349"/>
      <c r="FD170" s="349"/>
      <c r="FE170" s="349"/>
      <c r="FF170" s="349"/>
      <c r="FG170" s="349"/>
      <c r="FH170" s="349"/>
      <c r="FI170" s="349"/>
      <c r="FJ170" s="349"/>
      <c r="FK170" s="349"/>
      <c r="FL170" s="349"/>
      <c r="FM170" s="349"/>
      <c r="FN170" s="349"/>
      <c r="FO170" s="349"/>
      <c r="FP170" s="349"/>
      <c r="FQ170" s="349"/>
      <c r="FR170" s="349"/>
      <c r="FS170" s="349"/>
      <c r="FT170" s="349"/>
      <c r="FU170" s="349"/>
      <c r="FV170" s="349"/>
      <c r="FW170" s="349"/>
      <c r="FX170" s="349"/>
      <c r="FY170" s="349"/>
      <c r="FZ170" s="349"/>
      <c r="GA170" s="349"/>
      <c r="GB170" s="349"/>
      <c r="GC170" s="349"/>
      <c r="GD170" s="349"/>
      <c r="GE170" s="349"/>
      <c r="GF170" s="349"/>
      <c r="GG170" s="349"/>
      <c r="GH170" s="349"/>
      <c r="GI170" s="349"/>
      <c r="GJ170" s="349"/>
      <c r="GK170" s="349"/>
      <c r="GL170" s="349"/>
      <c r="GM170" s="349"/>
      <c r="GN170" s="349"/>
      <c r="GO170" s="349"/>
      <c r="GP170" s="349"/>
      <c r="GQ170" s="349"/>
      <c r="GR170" s="349"/>
      <c r="GS170" s="349"/>
      <c r="GT170" s="349"/>
      <c r="GU170" s="349"/>
      <c r="GV170" s="349"/>
      <c r="GW170" s="349"/>
      <c r="GX170" s="349"/>
      <c r="GY170" s="349"/>
      <c r="GZ170" s="349"/>
      <c r="HA170" s="349"/>
      <c r="HB170" s="349"/>
      <c r="HC170" s="349"/>
      <c r="HD170" s="349"/>
      <c r="HE170" s="349"/>
      <c r="HF170" s="349"/>
      <c r="HG170" s="349"/>
      <c r="HH170" s="349"/>
      <c r="HI170" s="349"/>
      <c r="HJ170" s="349"/>
      <c r="HK170" s="349"/>
      <c r="HL170" s="349"/>
      <c r="HM170" s="349"/>
      <c r="HN170" s="349"/>
      <c r="HO170" s="349"/>
      <c r="HP170" s="349"/>
      <c r="HQ170" s="349"/>
      <c r="HR170" s="349"/>
      <c r="HS170" s="349"/>
      <c r="HT170" s="349"/>
      <c r="HU170" s="349"/>
      <c r="HV170" s="349"/>
      <c r="HW170" s="349"/>
      <c r="HX170" s="349"/>
      <c r="HY170" s="349"/>
      <c r="HZ170" s="349"/>
      <c r="IA170" s="349"/>
      <c r="IB170" s="349"/>
      <c r="IC170" s="349"/>
      <c r="ID170" s="349"/>
      <c r="IE170" s="349"/>
      <c r="IF170" s="349"/>
      <c r="IG170" s="349"/>
      <c r="IH170" s="349"/>
      <c r="II170" s="349"/>
      <c r="IJ170" s="349"/>
      <c r="IK170" s="349"/>
      <c r="IL170" s="349"/>
      <c r="IM170" s="349"/>
      <c r="IN170" s="349"/>
      <c r="IO170" s="349"/>
      <c r="IP170" s="349"/>
      <c r="IQ170" s="349"/>
      <c r="IR170" s="349"/>
    </row>
    <row r="171" spans="1:252" s="416" customFormat="1" x14ac:dyDescent="0.3">
      <c r="A171" s="365"/>
      <c r="B171" s="358" t="s">
        <v>288</v>
      </c>
      <c r="C171" s="358"/>
      <c r="D171" s="358"/>
      <c r="E171" s="358"/>
      <c r="F171" s="358"/>
      <c r="G171" s="358"/>
      <c r="H171" s="358"/>
      <c r="I171" s="358"/>
      <c r="J171" s="358"/>
      <c r="K171" s="358"/>
      <c r="L171" s="358"/>
      <c r="M171" s="358"/>
      <c r="N171" s="358"/>
      <c r="O171" s="358"/>
      <c r="P171" s="358"/>
      <c r="Q171" s="358"/>
      <c r="R171" s="404">
        <v>0</v>
      </c>
      <c r="S171" s="361"/>
      <c r="T171" s="348"/>
      <c r="U171" s="349"/>
      <c r="V171" s="349"/>
      <c r="W171" s="349"/>
      <c r="X171" s="349"/>
      <c r="Y171" s="349"/>
      <c r="Z171" s="349"/>
      <c r="AA171" s="349"/>
      <c r="AB171" s="349"/>
      <c r="AC171" s="349"/>
      <c r="AD171" s="349"/>
      <c r="AE171" s="349"/>
      <c r="AF171" s="349"/>
      <c r="AG171" s="349"/>
      <c r="AH171" s="349"/>
      <c r="AI171" s="349"/>
      <c r="AJ171" s="349"/>
      <c r="AK171" s="349"/>
      <c r="AL171" s="349"/>
      <c r="AM171" s="349"/>
      <c r="AN171" s="349"/>
      <c r="AO171" s="349"/>
      <c r="AP171" s="349"/>
      <c r="AQ171" s="349"/>
      <c r="AR171" s="349"/>
      <c r="AS171" s="349"/>
      <c r="AT171" s="349"/>
      <c r="AU171" s="349"/>
      <c r="AV171" s="349"/>
      <c r="AW171" s="349"/>
      <c r="AX171" s="349"/>
      <c r="AY171" s="349"/>
      <c r="AZ171" s="349"/>
      <c r="BA171" s="349"/>
      <c r="BB171" s="349"/>
      <c r="BC171" s="349"/>
      <c r="BD171" s="349"/>
      <c r="BE171" s="349"/>
      <c r="BF171" s="349"/>
      <c r="BG171" s="349"/>
      <c r="BH171" s="349"/>
      <c r="BI171" s="349"/>
      <c r="BJ171" s="349"/>
      <c r="BK171" s="349"/>
      <c r="BL171" s="349"/>
      <c r="BM171" s="349"/>
      <c r="BN171" s="349"/>
      <c r="BO171" s="349"/>
      <c r="BP171" s="349"/>
      <c r="BQ171" s="349"/>
      <c r="BR171" s="349"/>
      <c r="BS171" s="349"/>
      <c r="BT171" s="349"/>
      <c r="BU171" s="349"/>
      <c r="BV171" s="349"/>
      <c r="BW171" s="349"/>
      <c r="BX171" s="349"/>
      <c r="BY171" s="349"/>
      <c r="BZ171" s="349"/>
      <c r="CA171" s="349"/>
      <c r="CB171" s="349"/>
      <c r="CC171" s="349"/>
      <c r="CD171" s="349"/>
      <c r="CE171" s="349"/>
      <c r="CF171" s="349"/>
      <c r="CG171" s="349"/>
      <c r="CH171" s="349"/>
      <c r="CI171" s="349"/>
      <c r="CJ171" s="349"/>
      <c r="CK171" s="349"/>
      <c r="CL171" s="349"/>
      <c r="CM171" s="349"/>
      <c r="CN171" s="349"/>
      <c r="CO171" s="349"/>
      <c r="CP171" s="349"/>
      <c r="CQ171" s="349"/>
      <c r="CR171" s="349"/>
      <c r="CS171" s="349"/>
      <c r="CT171" s="349"/>
      <c r="CU171" s="349"/>
      <c r="CV171" s="349"/>
      <c r="CW171" s="349"/>
      <c r="CX171" s="349"/>
      <c r="CY171" s="349"/>
      <c r="CZ171" s="349"/>
      <c r="DA171" s="349"/>
      <c r="DB171" s="349"/>
      <c r="DC171" s="349"/>
      <c r="DD171" s="349"/>
      <c r="DE171" s="349"/>
      <c r="DF171" s="349"/>
      <c r="DG171" s="349"/>
      <c r="DH171" s="349"/>
      <c r="DI171" s="349"/>
      <c r="DJ171" s="349"/>
      <c r="DK171" s="349"/>
      <c r="DL171" s="349"/>
      <c r="DM171" s="349"/>
      <c r="DN171" s="349"/>
      <c r="DO171" s="349"/>
      <c r="DP171" s="349"/>
      <c r="DQ171" s="349"/>
      <c r="DR171" s="349"/>
      <c r="DS171" s="349"/>
      <c r="DT171" s="349"/>
      <c r="DU171" s="349"/>
      <c r="DV171" s="349"/>
      <c r="DW171" s="349"/>
      <c r="DX171" s="349"/>
      <c r="DY171" s="349"/>
      <c r="DZ171" s="349"/>
      <c r="EA171" s="349"/>
      <c r="EB171" s="349"/>
      <c r="EC171" s="349"/>
      <c r="ED171" s="349"/>
      <c r="EE171" s="349"/>
      <c r="EF171" s="349"/>
      <c r="EG171" s="349"/>
      <c r="EH171" s="349"/>
      <c r="EI171" s="349"/>
      <c r="EJ171" s="349"/>
      <c r="EK171" s="349"/>
      <c r="EL171" s="349"/>
      <c r="EM171" s="349"/>
      <c r="EN171" s="349"/>
      <c r="EO171" s="349"/>
      <c r="EP171" s="349"/>
      <c r="EQ171" s="349"/>
      <c r="ER171" s="349"/>
      <c r="ES171" s="349"/>
      <c r="ET171" s="349"/>
      <c r="EU171" s="349"/>
      <c r="EV171" s="349"/>
      <c r="EW171" s="349"/>
      <c r="EX171" s="349"/>
      <c r="EY171" s="349"/>
      <c r="EZ171" s="349"/>
      <c r="FA171" s="349"/>
      <c r="FB171" s="349"/>
      <c r="FC171" s="349"/>
      <c r="FD171" s="349"/>
      <c r="FE171" s="349"/>
      <c r="FF171" s="349"/>
      <c r="FG171" s="349"/>
      <c r="FH171" s="349"/>
      <c r="FI171" s="349"/>
      <c r="FJ171" s="349"/>
      <c r="FK171" s="349"/>
      <c r="FL171" s="349"/>
      <c r="FM171" s="349"/>
      <c r="FN171" s="349"/>
      <c r="FO171" s="349"/>
      <c r="FP171" s="349"/>
      <c r="FQ171" s="349"/>
      <c r="FR171" s="349"/>
      <c r="FS171" s="349"/>
      <c r="FT171" s="349"/>
      <c r="FU171" s="349"/>
      <c r="FV171" s="349"/>
      <c r="FW171" s="349"/>
      <c r="FX171" s="349"/>
      <c r="FY171" s="349"/>
      <c r="FZ171" s="349"/>
      <c r="GA171" s="349"/>
      <c r="GB171" s="349"/>
      <c r="GC171" s="349"/>
      <c r="GD171" s="349"/>
      <c r="GE171" s="349"/>
      <c r="GF171" s="349"/>
      <c r="GG171" s="349"/>
      <c r="GH171" s="349"/>
      <c r="GI171" s="349"/>
      <c r="GJ171" s="349"/>
      <c r="GK171" s="349"/>
      <c r="GL171" s="349"/>
      <c r="GM171" s="349"/>
      <c r="GN171" s="349"/>
      <c r="GO171" s="349"/>
      <c r="GP171" s="349"/>
      <c r="GQ171" s="349"/>
      <c r="GR171" s="349"/>
      <c r="GS171" s="349"/>
      <c r="GT171" s="349"/>
      <c r="GU171" s="349"/>
      <c r="GV171" s="349"/>
      <c r="GW171" s="349"/>
      <c r="GX171" s="349"/>
      <c r="GY171" s="349"/>
      <c r="GZ171" s="349"/>
      <c r="HA171" s="349"/>
      <c r="HB171" s="349"/>
      <c r="HC171" s="349"/>
      <c r="HD171" s="349"/>
      <c r="HE171" s="349"/>
      <c r="HF171" s="349"/>
      <c r="HG171" s="349"/>
      <c r="HH171" s="349"/>
      <c r="HI171" s="349"/>
      <c r="HJ171" s="349"/>
      <c r="HK171" s="349"/>
      <c r="HL171" s="349"/>
      <c r="HM171" s="349"/>
      <c r="HN171" s="349"/>
      <c r="HO171" s="349"/>
      <c r="HP171" s="349"/>
      <c r="HQ171" s="349"/>
      <c r="HR171" s="349"/>
      <c r="HS171" s="349"/>
      <c r="HT171" s="349"/>
      <c r="HU171" s="349"/>
      <c r="HV171" s="349"/>
      <c r="HW171" s="349"/>
      <c r="HX171" s="349"/>
      <c r="HY171" s="349"/>
      <c r="HZ171" s="349"/>
      <c r="IA171" s="349"/>
      <c r="IB171" s="349"/>
      <c r="IC171" s="349"/>
      <c r="ID171" s="349"/>
      <c r="IE171" s="349"/>
      <c r="IF171" s="349"/>
      <c r="IG171" s="349"/>
      <c r="IH171" s="349"/>
      <c r="II171" s="349"/>
      <c r="IJ171" s="349"/>
      <c r="IK171" s="349"/>
      <c r="IL171" s="349"/>
      <c r="IM171" s="349"/>
      <c r="IN171" s="349"/>
      <c r="IO171" s="349"/>
      <c r="IP171" s="349"/>
      <c r="IQ171" s="349"/>
      <c r="IR171" s="349"/>
    </row>
    <row r="172" spans="1:252" s="416" customFormat="1" x14ac:dyDescent="0.3">
      <c r="A172" s="365"/>
      <c r="B172" s="358" t="s">
        <v>144</v>
      </c>
      <c r="C172" s="358"/>
      <c r="D172" s="358"/>
      <c r="E172" s="358"/>
      <c r="F172" s="358"/>
      <c r="G172" s="358"/>
      <c r="H172" s="358"/>
      <c r="I172" s="358"/>
      <c r="J172" s="358"/>
      <c r="K172" s="358"/>
      <c r="L172" s="358"/>
      <c r="M172" s="358"/>
      <c r="N172" s="358"/>
      <c r="O172" s="358"/>
      <c r="P172" s="358"/>
      <c r="Q172" s="358"/>
      <c r="R172" s="404">
        <f>+R92</f>
        <v>124</v>
      </c>
      <c r="S172" s="361"/>
      <c r="T172" s="348"/>
      <c r="U172" s="349"/>
      <c r="V172" s="349"/>
      <c r="W172" s="349"/>
      <c r="X172" s="349"/>
      <c r="Y172" s="349"/>
      <c r="Z172" s="349"/>
      <c r="AA172" s="349"/>
      <c r="AB172" s="349"/>
      <c r="AC172" s="349"/>
      <c r="AD172" s="349"/>
      <c r="AE172" s="349"/>
      <c r="AF172" s="349"/>
      <c r="AG172" s="349"/>
      <c r="AH172" s="349"/>
      <c r="AI172" s="349"/>
      <c r="AJ172" s="349"/>
      <c r="AK172" s="349"/>
      <c r="AL172" s="349"/>
      <c r="AM172" s="349"/>
      <c r="AN172" s="349"/>
      <c r="AO172" s="349"/>
      <c r="AP172" s="349"/>
      <c r="AQ172" s="349"/>
      <c r="AR172" s="349"/>
      <c r="AS172" s="349"/>
      <c r="AT172" s="349"/>
      <c r="AU172" s="349"/>
      <c r="AV172" s="349"/>
      <c r="AW172" s="349"/>
      <c r="AX172" s="349"/>
      <c r="AY172" s="349"/>
      <c r="AZ172" s="349"/>
      <c r="BA172" s="349"/>
      <c r="BB172" s="349"/>
      <c r="BC172" s="349"/>
      <c r="BD172" s="349"/>
      <c r="BE172" s="349"/>
      <c r="BF172" s="349"/>
      <c r="BG172" s="349"/>
      <c r="BH172" s="349"/>
      <c r="BI172" s="349"/>
      <c r="BJ172" s="349"/>
      <c r="BK172" s="349"/>
      <c r="BL172" s="349"/>
      <c r="BM172" s="349"/>
      <c r="BN172" s="349"/>
      <c r="BO172" s="349"/>
      <c r="BP172" s="349"/>
      <c r="BQ172" s="349"/>
      <c r="BR172" s="349"/>
      <c r="BS172" s="349"/>
      <c r="BT172" s="349"/>
      <c r="BU172" s="349"/>
      <c r="BV172" s="349"/>
      <c r="BW172" s="349"/>
      <c r="BX172" s="349"/>
      <c r="BY172" s="349"/>
      <c r="BZ172" s="349"/>
      <c r="CA172" s="349"/>
      <c r="CB172" s="349"/>
      <c r="CC172" s="349"/>
      <c r="CD172" s="349"/>
      <c r="CE172" s="349"/>
      <c r="CF172" s="349"/>
      <c r="CG172" s="349"/>
      <c r="CH172" s="349"/>
      <c r="CI172" s="349"/>
      <c r="CJ172" s="349"/>
      <c r="CK172" s="349"/>
      <c r="CL172" s="349"/>
      <c r="CM172" s="349"/>
      <c r="CN172" s="349"/>
      <c r="CO172" s="349"/>
      <c r="CP172" s="349"/>
      <c r="CQ172" s="349"/>
      <c r="CR172" s="349"/>
      <c r="CS172" s="349"/>
      <c r="CT172" s="349"/>
      <c r="CU172" s="349"/>
      <c r="CV172" s="349"/>
      <c r="CW172" s="349"/>
      <c r="CX172" s="349"/>
      <c r="CY172" s="349"/>
      <c r="CZ172" s="349"/>
      <c r="DA172" s="349"/>
      <c r="DB172" s="349"/>
      <c r="DC172" s="349"/>
      <c r="DD172" s="349"/>
      <c r="DE172" s="349"/>
      <c r="DF172" s="349"/>
      <c r="DG172" s="349"/>
      <c r="DH172" s="349"/>
      <c r="DI172" s="349"/>
      <c r="DJ172" s="349"/>
      <c r="DK172" s="349"/>
      <c r="DL172" s="349"/>
      <c r="DM172" s="349"/>
      <c r="DN172" s="349"/>
      <c r="DO172" s="349"/>
      <c r="DP172" s="349"/>
      <c r="DQ172" s="349"/>
      <c r="DR172" s="349"/>
      <c r="DS172" s="349"/>
      <c r="DT172" s="349"/>
      <c r="DU172" s="349"/>
      <c r="DV172" s="349"/>
      <c r="DW172" s="349"/>
      <c r="DX172" s="349"/>
      <c r="DY172" s="349"/>
      <c r="DZ172" s="349"/>
      <c r="EA172" s="349"/>
      <c r="EB172" s="349"/>
      <c r="EC172" s="349"/>
      <c r="ED172" s="349"/>
      <c r="EE172" s="349"/>
      <c r="EF172" s="349"/>
      <c r="EG172" s="349"/>
      <c r="EH172" s="349"/>
      <c r="EI172" s="349"/>
      <c r="EJ172" s="349"/>
      <c r="EK172" s="349"/>
      <c r="EL172" s="349"/>
      <c r="EM172" s="349"/>
      <c r="EN172" s="349"/>
      <c r="EO172" s="349"/>
      <c r="EP172" s="349"/>
      <c r="EQ172" s="349"/>
      <c r="ER172" s="349"/>
      <c r="ES172" s="349"/>
      <c r="ET172" s="349"/>
      <c r="EU172" s="349"/>
      <c r="EV172" s="349"/>
      <c r="EW172" s="349"/>
      <c r="EX172" s="349"/>
      <c r="EY172" s="349"/>
      <c r="EZ172" s="349"/>
      <c r="FA172" s="349"/>
      <c r="FB172" s="349"/>
      <c r="FC172" s="349"/>
      <c r="FD172" s="349"/>
      <c r="FE172" s="349"/>
      <c r="FF172" s="349"/>
      <c r="FG172" s="349"/>
      <c r="FH172" s="349"/>
      <c r="FI172" s="349"/>
      <c r="FJ172" s="349"/>
      <c r="FK172" s="349"/>
      <c r="FL172" s="349"/>
      <c r="FM172" s="349"/>
      <c r="FN172" s="349"/>
      <c r="FO172" s="349"/>
      <c r="FP172" s="349"/>
      <c r="FQ172" s="349"/>
      <c r="FR172" s="349"/>
      <c r="FS172" s="349"/>
      <c r="FT172" s="349"/>
      <c r="FU172" s="349"/>
      <c r="FV172" s="349"/>
      <c r="FW172" s="349"/>
      <c r="FX172" s="349"/>
      <c r="FY172" s="349"/>
      <c r="FZ172" s="349"/>
      <c r="GA172" s="349"/>
      <c r="GB172" s="349"/>
      <c r="GC172" s="349"/>
      <c r="GD172" s="349"/>
      <c r="GE172" s="349"/>
      <c r="GF172" s="349"/>
      <c r="GG172" s="349"/>
      <c r="GH172" s="349"/>
      <c r="GI172" s="349"/>
      <c r="GJ172" s="349"/>
      <c r="GK172" s="349"/>
      <c r="GL172" s="349"/>
      <c r="GM172" s="349"/>
      <c r="GN172" s="349"/>
      <c r="GO172" s="349"/>
      <c r="GP172" s="349"/>
      <c r="GQ172" s="349"/>
      <c r="GR172" s="349"/>
      <c r="GS172" s="349"/>
      <c r="GT172" s="349"/>
      <c r="GU172" s="349"/>
      <c r="GV172" s="349"/>
      <c r="GW172" s="349"/>
      <c r="GX172" s="349"/>
      <c r="GY172" s="349"/>
      <c r="GZ172" s="349"/>
      <c r="HA172" s="349"/>
      <c r="HB172" s="349"/>
      <c r="HC172" s="349"/>
      <c r="HD172" s="349"/>
      <c r="HE172" s="349"/>
      <c r="HF172" s="349"/>
      <c r="HG172" s="349"/>
      <c r="HH172" s="349"/>
      <c r="HI172" s="349"/>
      <c r="HJ172" s="349"/>
      <c r="HK172" s="349"/>
      <c r="HL172" s="349"/>
      <c r="HM172" s="349"/>
      <c r="HN172" s="349"/>
      <c r="HO172" s="349"/>
      <c r="HP172" s="349"/>
      <c r="HQ172" s="349"/>
      <c r="HR172" s="349"/>
      <c r="HS172" s="349"/>
      <c r="HT172" s="349"/>
      <c r="HU172" s="349"/>
      <c r="HV172" s="349"/>
      <c r="HW172" s="349"/>
      <c r="HX172" s="349"/>
      <c r="HY172" s="349"/>
      <c r="HZ172" s="349"/>
      <c r="IA172" s="349"/>
      <c r="IB172" s="349"/>
      <c r="IC172" s="349"/>
      <c r="ID172" s="349"/>
      <c r="IE172" s="349"/>
      <c r="IF172" s="349"/>
      <c r="IG172" s="349"/>
      <c r="IH172" s="349"/>
      <c r="II172" s="349"/>
      <c r="IJ172" s="349"/>
      <c r="IK172" s="349"/>
      <c r="IL172" s="349"/>
      <c r="IM172" s="349"/>
      <c r="IN172" s="349"/>
      <c r="IO172" s="349"/>
      <c r="IP172" s="349"/>
      <c r="IQ172" s="349"/>
      <c r="IR172" s="349"/>
    </row>
    <row r="173" spans="1:252" s="416" customFormat="1" x14ac:dyDescent="0.3">
      <c r="A173" s="365"/>
      <c r="B173" s="358" t="s">
        <v>142</v>
      </c>
      <c r="C173" s="358"/>
      <c r="D173" s="358"/>
      <c r="E173" s="358"/>
      <c r="F173" s="358"/>
      <c r="G173" s="358"/>
      <c r="H173" s="358"/>
      <c r="I173" s="358"/>
      <c r="J173" s="358"/>
      <c r="K173" s="358"/>
      <c r="L173" s="358"/>
      <c r="M173" s="358"/>
      <c r="N173" s="358"/>
      <c r="O173" s="358"/>
      <c r="P173" s="358"/>
      <c r="Q173" s="358"/>
      <c r="R173" s="404">
        <f>R170+R171-R172</f>
        <v>1004</v>
      </c>
      <c r="S173" s="361"/>
      <c r="T173" s="348"/>
      <c r="U173" s="349"/>
      <c r="V173" s="349"/>
      <c r="W173" s="349"/>
      <c r="X173" s="349"/>
      <c r="Y173" s="349"/>
      <c r="Z173" s="349"/>
      <c r="AA173" s="349"/>
      <c r="AB173" s="349"/>
      <c r="AC173" s="349"/>
      <c r="AD173" s="349"/>
      <c r="AE173" s="349"/>
      <c r="AF173" s="349"/>
      <c r="AG173" s="349"/>
      <c r="AH173" s="349"/>
      <c r="AI173" s="349"/>
      <c r="AJ173" s="349"/>
      <c r="AK173" s="349"/>
      <c r="AL173" s="349"/>
      <c r="AM173" s="349"/>
      <c r="AN173" s="349"/>
      <c r="AO173" s="349"/>
      <c r="AP173" s="349"/>
      <c r="AQ173" s="349"/>
      <c r="AR173" s="349"/>
      <c r="AS173" s="349"/>
      <c r="AT173" s="349"/>
      <c r="AU173" s="349"/>
      <c r="AV173" s="349"/>
      <c r="AW173" s="349"/>
      <c r="AX173" s="349"/>
      <c r="AY173" s="349"/>
      <c r="AZ173" s="349"/>
      <c r="BA173" s="349"/>
      <c r="BB173" s="349"/>
      <c r="BC173" s="349"/>
      <c r="BD173" s="349"/>
      <c r="BE173" s="349"/>
      <c r="BF173" s="349"/>
      <c r="BG173" s="349"/>
      <c r="BH173" s="349"/>
      <c r="BI173" s="349"/>
      <c r="BJ173" s="349"/>
      <c r="BK173" s="349"/>
      <c r="BL173" s="349"/>
      <c r="BM173" s="349"/>
      <c r="BN173" s="349"/>
      <c r="BO173" s="349"/>
      <c r="BP173" s="349"/>
      <c r="BQ173" s="349"/>
      <c r="BR173" s="349"/>
      <c r="BS173" s="349"/>
      <c r="BT173" s="349"/>
      <c r="BU173" s="349"/>
      <c r="BV173" s="349"/>
      <c r="BW173" s="349"/>
      <c r="BX173" s="349"/>
      <c r="BY173" s="349"/>
      <c r="BZ173" s="349"/>
      <c r="CA173" s="349"/>
      <c r="CB173" s="349"/>
      <c r="CC173" s="349"/>
      <c r="CD173" s="349"/>
      <c r="CE173" s="349"/>
      <c r="CF173" s="349"/>
      <c r="CG173" s="349"/>
      <c r="CH173" s="349"/>
      <c r="CI173" s="349"/>
      <c r="CJ173" s="349"/>
      <c r="CK173" s="349"/>
      <c r="CL173" s="349"/>
      <c r="CM173" s="349"/>
      <c r="CN173" s="349"/>
      <c r="CO173" s="349"/>
      <c r="CP173" s="349"/>
      <c r="CQ173" s="349"/>
      <c r="CR173" s="349"/>
      <c r="CS173" s="349"/>
      <c r="CT173" s="349"/>
      <c r="CU173" s="349"/>
      <c r="CV173" s="349"/>
      <c r="CW173" s="349"/>
      <c r="CX173" s="349"/>
      <c r="CY173" s="349"/>
      <c r="CZ173" s="349"/>
      <c r="DA173" s="349"/>
      <c r="DB173" s="349"/>
      <c r="DC173" s="349"/>
      <c r="DD173" s="349"/>
      <c r="DE173" s="349"/>
      <c r="DF173" s="349"/>
      <c r="DG173" s="349"/>
      <c r="DH173" s="349"/>
      <c r="DI173" s="349"/>
      <c r="DJ173" s="349"/>
      <c r="DK173" s="349"/>
      <c r="DL173" s="349"/>
      <c r="DM173" s="349"/>
      <c r="DN173" s="349"/>
      <c r="DO173" s="349"/>
      <c r="DP173" s="349"/>
      <c r="DQ173" s="349"/>
      <c r="DR173" s="349"/>
      <c r="DS173" s="349"/>
      <c r="DT173" s="349"/>
      <c r="DU173" s="349"/>
      <c r="DV173" s="349"/>
      <c r="DW173" s="349"/>
      <c r="DX173" s="349"/>
      <c r="DY173" s="349"/>
      <c r="DZ173" s="349"/>
      <c r="EA173" s="349"/>
      <c r="EB173" s="349"/>
      <c r="EC173" s="349"/>
      <c r="ED173" s="349"/>
      <c r="EE173" s="349"/>
      <c r="EF173" s="349"/>
      <c r="EG173" s="349"/>
      <c r="EH173" s="349"/>
      <c r="EI173" s="349"/>
      <c r="EJ173" s="349"/>
      <c r="EK173" s="349"/>
      <c r="EL173" s="349"/>
      <c r="EM173" s="349"/>
      <c r="EN173" s="349"/>
      <c r="EO173" s="349"/>
      <c r="EP173" s="349"/>
      <c r="EQ173" s="349"/>
      <c r="ER173" s="349"/>
      <c r="ES173" s="349"/>
      <c r="ET173" s="349"/>
      <c r="EU173" s="349"/>
      <c r="EV173" s="349"/>
      <c r="EW173" s="349"/>
      <c r="EX173" s="349"/>
      <c r="EY173" s="349"/>
      <c r="EZ173" s="349"/>
      <c r="FA173" s="349"/>
      <c r="FB173" s="349"/>
      <c r="FC173" s="349"/>
      <c r="FD173" s="349"/>
      <c r="FE173" s="349"/>
      <c r="FF173" s="349"/>
      <c r="FG173" s="349"/>
      <c r="FH173" s="349"/>
      <c r="FI173" s="349"/>
      <c r="FJ173" s="349"/>
      <c r="FK173" s="349"/>
      <c r="FL173" s="349"/>
      <c r="FM173" s="349"/>
      <c r="FN173" s="349"/>
      <c r="FO173" s="349"/>
      <c r="FP173" s="349"/>
      <c r="FQ173" s="349"/>
      <c r="FR173" s="349"/>
      <c r="FS173" s="349"/>
      <c r="FT173" s="349"/>
      <c r="FU173" s="349"/>
      <c r="FV173" s="349"/>
      <c r="FW173" s="349"/>
      <c r="FX173" s="349"/>
      <c r="FY173" s="349"/>
      <c r="FZ173" s="349"/>
      <c r="GA173" s="349"/>
      <c r="GB173" s="349"/>
      <c r="GC173" s="349"/>
      <c r="GD173" s="349"/>
      <c r="GE173" s="349"/>
      <c r="GF173" s="349"/>
      <c r="GG173" s="349"/>
      <c r="GH173" s="349"/>
      <c r="GI173" s="349"/>
      <c r="GJ173" s="349"/>
      <c r="GK173" s="349"/>
      <c r="GL173" s="349"/>
      <c r="GM173" s="349"/>
      <c r="GN173" s="349"/>
      <c r="GO173" s="349"/>
      <c r="GP173" s="349"/>
      <c r="GQ173" s="349"/>
      <c r="GR173" s="349"/>
      <c r="GS173" s="349"/>
      <c r="GT173" s="349"/>
      <c r="GU173" s="349"/>
      <c r="GV173" s="349"/>
      <c r="GW173" s="349"/>
      <c r="GX173" s="349"/>
      <c r="GY173" s="349"/>
      <c r="GZ173" s="349"/>
      <c r="HA173" s="349"/>
      <c r="HB173" s="349"/>
      <c r="HC173" s="349"/>
      <c r="HD173" s="349"/>
      <c r="HE173" s="349"/>
      <c r="HF173" s="349"/>
      <c r="HG173" s="349"/>
      <c r="HH173" s="349"/>
      <c r="HI173" s="349"/>
      <c r="HJ173" s="349"/>
      <c r="HK173" s="349"/>
      <c r="HL173" s="349"/>
      <c r="HM173" s="349"/>
      <c r="HN173" s="349"/>
      <c r="HO173" s="349"/>
      <c r="HP173" s="349"/>
      <c r="HQ173" s="349"/>
      <c r="HR173" s="349"/>
      <c r="HS173" s="349"/>
      <c r="HT173" s="349"/>
      <c r="HU173" s="349"/>
      <c r="HV173" s="349"/>
      <c r="HW173" s="349"/>
      <c r="HX173" s="349"/>
      <c r="HY173" s="349"/>
      <c r="HZ173" s="349"/>
      <c r="IA173" s="349"/>
      <c r="IB173" s="349"/>
      <c r="IC173" s="349"/>
      <c r="ID173" s="349"/>
      <c r="IE173" s="349"/>
      <c r="IF173" s="349"/>
      <c r="IG173" s="349"/>
      <c r="IH173" s="349"/>
      <c r="II173" s="349"/>
      <c r="IJ173" s="349"/>
      <c r="IK173" s="349"/>
      <c r="IL173" s="349"/>
      <c r="IM173" s="349"/>
      <c r="IN173" s="349"/>
      <c r="IO173" s="349"/>
      <c r="IP173" s="349"/>
      <c r="IQ173" s="349"/>
      <c r="IR173" s="349"/>
    </row>
    <row r="174" spans="1:252" s="304" customFormat="1" ht="16.2" thickBot="1" x14ac:dyDescent="0.35">
      <c r="A174" s="278"/>
      <c r="B174" s="277"/>
      <c r="C174" s="277"/>
      <c r="D174" s="277"/>
      <c r="E174" s="277"/>
      <c r="F174" s="277"/>
      <c r="G174" s="277"/>
      <c r="H174" s="277"/>
      <c r="I174" s="277"/>
      <c r="J174" s="277"/>
      <c r="K174" s="277"/>
      <c r="L174" s="277"/>
      <c r="M174" s="277"/>
      <c r="N174" s="277"/>
      <c r="O174" s="277"/>
      <c r="P174" s="277"/>
      <c r="Q174" s="277"/>
      <c r="R174" s="297"/>
      <c r="S174" s="252"/>
      <c r="T174" s="247"/>
      <c r="U174" s="248"/>
      <c r="V174" s="248"/>
      <c r="W174" s="248"/>
      <c r="X174" s="248"/>
      <c r="Y174" s="248"/>
      <c r="Z174" s="248"/>
      <c r="AA174" s="248"/>
      <c r="AB174" s="248"/>
      <c r="AC174" s="248"/>
      <c r="AD174" s="248"/>
      <c r="AE174" s="248"/>
      <c r="AF174" s="248"/>
      <c r="AG174" s="248"/>
      <c r="AH174" s="248"/>
      <c r="AI174" s="248"/>
      <c r="AJ174" s="248"/>
      <c r="AK174" s="248"/>
      <c r="AL174" s="248"/>
      <c r="AM174" s="248"/>
      <c r="AN174" s="248"/>
      <c r="AO174" s="248"/>
      <c r="AP174" s="248"/>
      <c r="AQ174" s="248"/>
      <c r="AR174" s="248"/>
      <c r="AS174" s="248"/>
      <c r="AT174" s="248"/>
      <c r="AU174" s="248"/>
      <c r="AV174" s="248"/>
      <c r="AW174" s="248"/>
      <c r="AX174" s="248"/>
      <c r="AY174" s="248"/>
      <c r="AZ174" s="248"/>
      <c r="BA174" s="248"/>
      <c r="BB174" s="248"/>
      <c r="BC174" s="248"/>
      <c r="BD174" s="248"/>
      <c r="BE174" s="248"/>
      <c r="BF174" s="248"/>
      <c r="BG174" s="248"/>
      <c r="BH174" s="248"/>
      <c r="BI174" s="248"/>
      <c r="BJ174" s="248"/>
      <c r="BK174" s="248"/>
      <c r="BL174" s="248"/>
      <c r="BM174" s="248"/>
      <c r="BN174" s="248"/>
      <c r="BO174" s="248"/>
      <c r="BP174" s="248"/>
      <c r="BQ174" s="248"/>
      <c r="BR174" s="248"/>
      <c r="BS174" s="248"/>
      <c r="BT174" s="248"/>
      <c r="BU174" s="248"/>
      <c r="BV174" s="248"/>
      <c r="BW174" s="248"/>
      <c r="BX174" s="248"/>
      <c r="BY174" s="248"/>
      <c r="BZ174" s="248"/>
      <c r="CA174" s="248"/>
      <c r="CB174" s="248"/>
      <c r="CC174" s="248"/>
      <c r="CD174" s="248"/>
      <c r="CE174" s="248"/>
      <c r="CF174" s="248"/>
      <c r="CG174" s="248"/>
      <c r="CH174" s="248"/>
      <c r="CI174" s="248"/>
      <c r="CJ174" s="248"/>
      <c r="CK174" s="248"/>
      <c r="CL174" s="248"/>
      <c r="CM174" s="248"/>
      <c r="CN174" s="248"/>
      <c r="CO174" s="248"/>
      <c r="CP174" s="248"/>
      <c r="CQ174" s="248"/>
      <c r="CR174" s="248"/>
      <c r="CS174" s="248"/>
      <c r="CT174" s="248"/>
      <c r="CU174" s="248"/>
      <c r="CV174" s="248"/>
      <c r="CW174" s="248"/>
      <c r="CX174" s="248"/>
      <c r="CY174" s="248"/>
      <c r="CZ174" s="248"/>
      <c r="DA174" s="248"/>
      <c r="DB174" s="248"/>
      <c r="DC174" s="248"/>
      <c r="DD174" s="248"/>
      <c r="DE174" s="248"/>
      <c r="DF174" s="248"/>
      <c r="DG174" s="248"/>
      <c r="DH174" s="248"/>
      <c r="DI174" s="248"/>
      <c r="DJ174" s="248"/>
      <c r="DK174" s="248"/>
      <c r="DL174" s="248"/>
      <c r="DM174" s="248"/>
      <c r="DN174" s="248"/>
      <c r="DO174" s="248"/>
      <c r="DP174" s="248"/>
      <c r="DQ174" s="248"/>
      <c r="DR174" s="248"/>
      <c r="DS174" s="248"/>
      <c r="DT174" s="248"/>
      <c r="DU174" s="248"/>
      <c r="DV174" s="248"/>
      <c r="DW174" s="248"/>
      <c r="DX174" s="248"/>
      <c r="DY174" s="248"/>
      <c r="DZ174" s="248"/>
      <c r="EA174" s="248"/>
      <c r="EB174" s="248"/>
      <c r="EC174" s="248"/>
      <c r="ED174" s="248"/>
      <c r="EE174" s="248"/>
      <c r="EF174" s="248"/>
      <c r="EG174" s="248"/>
      <c r="EH174" s="248"/>
      <c r="EI174" s="248"/>
      <c r="EJ174" s="248"/>
      <c r="EK174" s="248"/>
      <c r="EL174" s="248"/>
      <c r="EM174" s="248"/>
      <c r="EN174" s="248"/>
      <c r="EO174" s="248"/>
      <c r="EP174" s="248"/>
      <c r="EQ174" s="248"/>
      <c r="ER174" s="248"/>
      <c r="ES174" s="248"/>
      <c r="ET174" s="248"/>
      <c r="EU174" s="248"/>
      <c r="EV174" s="248"/>
      <c r="EW174" s="248"/>
      <c r="EX174" s="248"/>
      <c r="EY174" s="248"/>
      <c r="EZ174" s="248"/>
      <c r="FA174" s="248"/>
      <c r="FB174" s="248"/>
      <c r="FC174" s="248"/>
      <c r="FD174" s="248"/>
      <c r="FE174" s="248"/>
      <c r="FF174" s="248"/>
      <c r="FG174" s="248"/>
      <c r="FH174" s="248"/>
      <c r="FI174" s="248"/>
      <c r="FJ174" s="248"/>
      <c r="FK174" s="248"/>
      <c r="FL174" s="248"/>
      <c r="FM174" s="248"/>
      <c r="FN174" s="248"/>
      <c r="FO174" s="248"/>
      <c r="FP174" s="248"/>
      <c r="FQ174" s="248"/>
      <c r="FR174" s="248"/>
      <c r="FS174" s="248"/>
      <c r="FT174" s="248"/>
      <c r="FU174" s="248"/>
      <c r="FV174" s="248"/>
      <c r="FW174" s="248"/>
      <c r="FX174" s="248"/>
      <c r="FY174" s="248"/>
      <c r="FZ174" s="248"/>
      <c r="GA174" s="248"/>
      <c r="GB174" s="248"/>
      <c r="GC174" s="248"/>
      <c r="GD174" s="248"/>
      <c r="GE174" s="248"/>
      <c r="GF174" s="248"/>
      <c r="GG174" s="248"/>
      <c r="GH174" s="248"/>
      <c r="GI174" s="248"/>
      <c r="GJ174" s="248"/>
      <c r="GK174" s="248"/>
      <c r="GL174" s="248"/>
      <c r="GM174" s="248"/>
      <c r="GN174" s="248"/>
      <c r="GO174" s="248"/>
      <c r="GP174" s="248"/>
      <c r="GQ174" s="248"/>
      <c r="GR174" s="248"/>
      <c r="GS174" s="248"/>
      <c r="GT174" s="248"/>
      <c r="GU174" s="248"/>
      <c r="GV174" s="248"/>
      <c r="GW174" s="248"/>
      <c r="GX174" s="248"/>
      <c r="GY174" s="248"/>
      <c r="GZ174" s="248"/>
      <c r="HA174" s="248"/>
      <c r="HB174" s="248"/>
      <c r="HC174" s="248"/>
      <c r="HD174" s="248"/>
      <c r="HE174" s="248"/>
      <c r="HF174" s="248"/>
      <c r="HG174" s="248"/>
      <c r="HH174" s="248"/>
      <c r="HI174" s="248"/>
      <c r="HJ174" s="248"/>
      <c r="HK174" s="248"/>
      <c r="HL174" s="248"/>
      <c r="HM174" s="248"/>
      <c r="HN174" s="248"/>
      <c r="HO174" s="248"/>
      <c r="HP174" s="248"/>
      <c r="HQ174" s="248"/>
      <c r="HR174" s="248"/>
      <c r="HS174" s="248"/>
      <c r="HT174" s="248"/>
      <c r="HU174" s="248"/>
      <c r="HV174" s="248"/>
      <c r="HW174" s="248"/>
      <c r="HX174" s="248"/>
      <c r="HY174" s="248"/>
      <c r="HZ174" s="248"/>
      <c r="IA174" s="248"/>
      <c r="IB174" s="248"/>
      <c r="IC174" s="248"/>
      <c r="ID174" s="248"/>
      <c r="IE174" s="248"/>
      <c r="IF174" s="248"/>
      <c r="IG174" s="248"/>
      <c r="IH174" s="248"/>
      <c r="II174" s="248"/>
      <c r="IJ174" s="248"/>
      <c r="IK174" s="248"/>
      <c r="IL174" s="248"/>
      <c r="IM174" s="248"/>
      <c r="IN174" s="248"/>
      <c r="IO174" s="248"/>
      <c r="IP174" s="248"/>
      <c r="IQ174" s="248"/>
      <c r="IR174" s="248"/>
    </row>
    <row r="175" spans="1:252" s="305" customFormat="1" x14ac:dyDescent="0.3">
      <c r="A175" s="244"/>
      <c r="B175" s="245"/>
      <c r="C175" s="245"/>
      <c r="D175" s="245"/>
      <c r="E175" s="245"/>
      <c r="F175" s="245"/>
      <c r="G175" s="245"/>
      <c r="H175" s="245"/>
      <c r="I175" s="245"/>
      <c r="J175" s="245"/>
      <c r="K175" s="245"/>
      <c r="L175" s="245"/>
      <c r="M175" s="245"/>
      <c r="N175" s="245"/>
      <c r="O175" s="245"/>
      <c r="P175" s="245"/>
      <c r="Q175" s="245"/>
      <c r="R175" s="301"/>
      <c r="S175" s="246"/>
      <c r="T175" s="247"/>
      <c r="U175" s="248"/>
      <c r="V175" s="248"/>
      <c r="W175" s="248"/>
      <c r="X175" s="248"/>
      <c r="Y175" s="248"/>
      <c r="Z175" s="248"/>
      <c r="AA175" s="248"/>
      <c r="AB175" s="248"/>
      <c r="AC175" s="248"/>
      <c r="AD175" s="248"/>
      <c r="AE175" s="248"/>
      <c r="AF175" s="248"/>
      <c r="AG175" s="248"/>
      <c r="AH175" s="248"/>
      <c r="AI175" s="248"/>
      <c r="AJ175" s="248"/>
      <c r="AK175" s="248"/>
      <c r="AL175" s="248"/>
      <c r="AM175" s="248"/>
      <c r="AN175" s="248"/>
      <c r="AO175" s="248"/>
      <c r="AP175" s="248"/>
      <c r="AQ175" s="248"/>
      <c r="AR175" s="248"/>
      <c r="AS175" s="248"/>
      <c r="AT175" s="248"/>
      <c r="AU175" s="248"/>
      <c r="AV175" s="248"/>
      <c r="AW175" s="248"/>
      <c r="AX175" s="248"/>
      <c r="AY175" s="248"/>
      <c r="AZ175" s="248"/>
      <c r="BA175" s="248"/>
      <c r="BB175" s="248"/>
      <c r="BC175" s="248"/>
      <c r="BD175" s="248"/>
      <c r="BE175" s="248"/>
      <c r="BF175" s="248"/>
      <c r="BG175" s="248"/>
      <c r="BH175" s="248"/>
      <c r="BI175" s="248"/>
      <c r="BJ175" s="248"/>
      <c r="BK175" s="248"/>
      <c r="BL175" s="248"/>
      <c r="BM175" s="248"/>
      <c r="BN175" s="248"/>
      <c r="BO175" s="248"/>
      <c r="BP175" s="248"/>
      <c r="BQ175" s="248"/>
      <c r="BR175" s="248"/>
      <c r="BS175" s="248"/>
      <c r="BT175" s="248"/>
      <c r="BU175" s="248"/>
      <c r="BV175" s="248"/>
      <c r="BW175" s="248"/>
      <c r="BX175" s="248"/>
      <c r="BY175" s="248"/>
      <c r="BZ175" s="248"/>
      <c r="CA175" s="248"/>
      <c r="CB175" s="248"/>
      <c r="CC175" s="248"/>
      <c r="CD175" s="248"/>
      <c r="CE175" s="248"/>
      <c r="CF175" s="248"/>
      <c r="CG175" s="248"/>
      <c r="CH175" s="248"/>
      <c r="CI175" s="248"/>
      <c r="CJ175" s="248"/>
      <c r="CK175" s="248"/>
      <c r="CL175" s="248"/>
      <c r="CM175" s="248"/>
      <c r="CN175" s="248"/>
      <c r="CO175" s="248"/>
      <c r="CP175" s="248"/>
      <c r="CQ175" s="248"/>
      <c r="CR175" s="248"/>
      <c r="CS175" s="248"/>
      <c r="CT175" s="248"/>
      <c r="CU175" s="248"/>
      <c r="CV175" s="248"/>
      <c r="CW175" s="248"/>
      <c r="CX175" s="248"/>
      <c r="CY175" s="248"/>
      <c r="CZ175" s="248"/>
      <c r="DA175" s="248"/>
      <c r="DB175" s="248"/>
      <c r="DC175" s="248"/>
      <c r="DD175" s="248"/>
      <c r="DE175" s="248"/>
      <c r="DF175" s="248"/>
      <c r="DG175" s="248"/>
      <c r="DH175" s="248"/>
      <c r="DI175" s="248"/>
      <c r="DJ175" s="248"/>
      <c r="DK175" s="248"/>
      <c r="DL175" s="248"/>
      <c r="DM175" s="248"/>
      <c r="DN175" s="248"/>
      <c r="DO175" s="248"/>
      <c r="DP175" s="248"/>
      <c r="DQ175" s="248"/>
      <c r="DR175" s="248"/>
      <c r="DS175" s="248"/>
      <c r="DT175" s="248"/>
      <c r="DU175" s="248"/>
      <c r="DV175" s="248"/>
      <c r="DW175" s="248"/>
      <c r="DX175" s="248"/>
      <c r="DY175" s="248"/>
      <c r="DZ175" s="248"/>
      <c r="EA175" s="248"/>
      <c r="EB175" s="248"/>
      <c r="EC175" s="248"/>
      <c r="ED175" s="248"/>
      <c r="EE175" s="248"/>
      <c r="EF175" s="248"/>
      <c r="EG175" s="248"/>
      <c r="EH175" s="248"/>
      <c r="EI175" s="248"/>
      <c r="EJ175" s="248"/>
      <c r="EK175" s="248"/>
      <c r="EL175" s="248"/>
      <c r="EM175" s="248"/>
      <c r="EN175" s="248"/>
      <c r="EO175" s="248"/>
      <c r="EP175" s="248"/>
      <c r="EQ175" s="248"/>
      <c r="ER175" s="248"/>
      <c r="ES175" s="248"/>
      <c r="ET175" s="248"/>
      <c r="EU175" s="248"/>
      <c r="EV175" s="248"/>
      <c r="EW175" s="248"/>
      <c r="EX175" s="248"/>
      <c r="EY175" s="248"/>
      <c r="EZ175" s="248"/>
      <c r="FA175" s="248"/>
      <c r="FB175" s="248"/>
      <c r="FC175" s="248"/>
      <c r="FD175" s="248"/>
      <c r="FE175" s="248"/>
      <c r="FF175" s="248"/>
      <c r="FG175" s="248"/>
      <c r="FH175" s="248"/>
      <c r="FI175" s="248"/>
      <c r="FJ175" s="248"/>
      <c r="FK175" s="248"/>
      <c r="FL175" s="248"/>
      <c r="FM175" s="248"/>
      <c r="FN175" s="248"/>
      <c r="FO175" s="248"/>
      <c r="FP175" s="248"/>
      <c r="FQ175" s="248"/>
      <c r="FR175" s="248"/>
      <c r="FS175" s="248"/>
      <c r="FT175" s="248"/>
      <c r="FU175" s="248"/>
      <c r="FV175" s="248"/>
      <c r="FW175" s="248"/>
      <c r="FX175" s="248"/>
      <c r="FY175" s="248"/>
      <c r="FZ175" s="248"/>
      <c r="GA175" s="248"/>
      <c r="GB175" s="248"/>
      <c r="GC175" s="248"/>
      <c r="GD175" s="248"/>
      <c r="GE175" s="248"/>
      <c r="GF175" s="248"/>
      <c r="GG175" s="248"/>
      <c r="GH175" s="248"/>
      <c r="GI175" s="248"/>
      <c r="GJ175" s="248"/>
      <c r="GK175" s="248"/>
      <c r="GL175" s="248"/>
      <c r="GM175" s="248"/>
      <c r="GN175" s="248"/>
      <c r="GO175" s="248"/>
      <c r="GP175" s="248"/>
      <c r="GQ175" s="248"/>
      <c r="GR175" s="248"/>
      <c r="GS175" s="248"/>
      <c r="GT175" s="248"/>
      <c r="GU175" s="248"/>
      <c r="GV175" s="248"/>
      <c r="GW175" s="248"/>
      <c r="GX175" s="248"/>
      <c r="GY175" s="248"/>
      <c r="GZ175" s="248"/>
      <c r="HA175" s="248"/>
      <c r="HB175" s="248"/>
      <c r="HC175" s="248"/>
      <c r="HD175" s="248"/>
      <c r="HE175" s="248"/>
      <c r="HF175" s="248"/>
      <c r="HG175" s="248"/>
      <c r="HH175" s="248"/>
      <c r="HI175" s="248"/>
      <c r="HJ175" s="248"/>
      <c r="HK175" s="248"/>
      <c r="HL175" s="248"/>
      <c r="HM175" s="248"/>
      <c r="HN175" s="248"/>
      <c r="HO175" s="248"/>
      <c r="HP175" s="248"/>
      <c r="HQ175" s="248"/>
      <c r="HR175" s="248"/>
      <c r="HS175" s="248"/>
      <c r="HT175" s="248"/>
      <c r="HU175" s="248"/>
      <c r="HV175" s="248"/>
      <c r="HW175" s="248"/>
      <c r="HX175" s="248"/>
      <c r="HY175" s="248"/>
      <c r="HZ175" s="248"/>
      <c r="IA175" s="248"/>
      <c r="IB175" s="248"/>
      <c r="IC175" s="248"/>
      <c r="ID175" s="248"/>
      <c r="IE175" s="248"/>
      <c r="IF175" s="248"/>
      <c r="IG175" s="248"/>
      <c r="IH175" s="248"/>
      <c r="II175" s="248"/>
      <c r="IJ175" s="248"/>
      <c r="IK175" s="248"/>
      <c r="IL175" s="248"/>
      <c r="IM175" s="248"/>
      <c r="IN175" s="248"/>
      <c r="IO175" s="248"/>
      <c r="IP175" s="248"/>
      <c r="IQ175" s="248"/>
      <c r="IR175" s="248"/>
    </row>
    <row r="176" spans="1:252" x14ac:dyDescent="0.3">
      <c r="A176" s="249"/>
      <c r="B176" s="296" t="s">
        <v>44</v>
      </c>
      <c r="C176" s="251"/>
      <c r="D176" s="251"/>
      <c r="E176" s="251"/>
      <c r="F176" s="251"/>
      <c r="G176" s="251"/>
      <c r="H176" s="251"/>
      <c r="I176" s="251"/>
      <c r="J176" s="251"/>
      <c r="K176" s="251"/>
      <c r="L176" s="251"/>
      <c r="M176" s="251"/>
      <c r="N176" s="251"/>
      <c r="O176" s="251"/>
      <c r="P176" s="251"/>
      <c r="Q176" s="251"/>
      <c r="R176" s="279"/>
      <c r="S176" s="252"/>
      <c r="T176" s="247"/>
    </row>
    <row r="177" spans="1:20" x14ac:dyDescent="0.3">
      <c r="A177" s="249"/>
      <c r="B177" s="295"/>
      <c r="C177" s="251"/>
      <c r="D177" s="251"/>
      <c r="E177" s="251"/>
      <c r="F177" s="251"/>
      <c r="G177" s="251"/>
      <c r="H177" s="251"/>
      <c r="I177" s="251"/>
      <c r="J177" s="251"/>
      <c r="K177" s="251"/>
      <c r="L177" s="251"/>
      <c r="M177" s="251"/>
      <c r="N177" s="251"/>
      <c r="O177" s="251"/>
      <c r="P177" s="251"/>
      <c r="Q177" s="251"/>
      <c r="R177" s="279"/>
      <c r="S177" s="252"/>
      <c r="T177" s="247"/>
    </row>
    <row r="178" spans="1:20" s="349" customFormat="1" x14ac:dyDescent="0.3">
      <c r="A178" s="365"/>
      <c r="B178" s="358" t="s">
        <v>172</v>
      </c>
      <c r="C178" s="358"/>
      <c r="D178" s="358"/>
      <c r="E178" s="358"/>
      <c r="F178" s="358"/>
      <c r="G178" s="358"/>
      <c r="H178" s="358"/>
      <c r="I178" s="358"/>
      <c r="J178" s="358"/>
      <c r="K178" s="358"/>
      <c r="L178" s="358"/>
      <c r="M178" s="358"/>
      <c r="N178" s="358"/>
      <c r="O178" s="358"/>
      <c r="P178" s="358"/>
      <c r="Q178" s="358"/>
      <c r="R178" s="404">
        <f>+R67</f>
        <v>80225</v>
      </c>
      <c r="S178" s="361"/>
      <c r="T178" s="348"/>
    </row>
    <row r="179" spans="1:20" s="349" customFormat="1" x14ac:dyDescent="0.3">
      <c r="A179" s="365"/>
      <c r="B179" s="358" t="s">
        <v>173</v>
      </c>
      <c r="C179" s="358"/>
      <c r="D179" s="358"/>
      <c r="E179" s="358"/>
      <c r="F179" s="358"/>
      <c r="G179" s="358"/>
      <c r="H179" s="358"/>
      <c r="I179" s="358"/>
      <c r="J179" s="358"/>
      <c r="K179" s="358"/>
      <c r="L179" s="358"/>
      <c r="M179" s="358"/>
      <c r="N179" s="358"/>
      <c r="O179" s="358"/>
      <c r="P179" s="358"/>
      <c r="Q179" s="358"/>
      <c r="R179" s="404">
        <f>+R77</f>
        <v>0</v>
      </c>
      <c r="S179" s="361"/>
      <c r="T179" s="348"/>
    </row>
    <row r="180" spans="1:20" s="349" customFormat="1" x14ac:dyDescent="0.3">
      <c r="A180" s="365"/>
      <c r="B180" s="358" t="s">
        <v>216</v>
      </c>
      <c r="C180" s="358"/>
      <c r="D180" s="358"/>
      <c r="E180" s="358"/>
      <c r="F180" s="358"/>
      <c r="G180" s="358"/>
      <c r="H180" s="358"/>
      <c r="I180" s="358"/>
      <c r="J180" s="358"/>
      <c r="K180" s="358"/>
      <c r="L180" s="358"/>
      <c r="M180" s="358"/>
      <c r="N180" s="358"/>
      <c r="O180" s="358"/>
      <c r="P180" s="358"/>
      <c r="Q180" s="358"/>
      <c r="R180" s="404">
        <f>+R78</f>
        <v>0</v>
      </c>
      <c r="S180" s="361"/>
      <c r="T180" s="348"/>
    </row>
    <row r="181" spans="1:20" s="349" customFormat="1" x14ac:dyDescent="0.3">
      <c r="A181" s="365"/>
      <c r="B181" s="358" t="s">
        <v>126</v>
      </c>
      <c r="C181" s="358"/>
      <c r="D181" s="358"/>
      <c r="E181" s="358"/>
      <c r="F181" s="358"/>
      <c r="G181" s="358"/>
      <c r="H181" s="358"/>
      <c r="I181" s="358"/>
      <c r="J181" s="358"/>
      <c r="K181" s="358"/>
      <c r="L181" s="358"/>
      <c r="M181" s="358"/>
      <c r="N181" s="358"/>
      <c r="O181" s="358"/>
      <c r="P181" s="358"/>
      <c r="Q181" s="358"/>
      <c r="R181" s="404">
        <f>+R178+R179+R180</f>
        <v>80225</v>
      </c>
      <c r="S181" s="361"/>
      <c r="T181" s="348"/>
    </row>
    <row r="182" spans="1:20" s="349" customFormat="1" x14ac:dyDescent="0.3">
      <c r="A182" s="365"/>
      <c r="B182" s="358" t="s">
        <v>45</v>
      </c>
      <c r="C182" s="358"/>
      <c r="D182" s="358"/>
      <c r="E182" s="358"/>
      <c r="F182" s="358"/>
      <c r="G182" s="358"/>
      <c r="H182" s="358"/>
      <c r="I182" s="358"/>
      <c r="J182" s="358"/>
      <c r="K182" s="358"/>
      <c r="L182" s="358"/>
      <c r="M182" s="358"/>
      <c r="N182" s="358"/>
      <c r="O182" s="358"/>
      <c r="P182" s="358"/>
      <c r="Q182" s="358"/>
      <c r="R182" s="404">
        <f>R80</f>
        <v>80225</v>
      </c>
      <c r="S182" s="361"/>
      <c r="T182" s="348"/>
    </row>
    <row r="183" spans="1:20" ht="16.2" thickBot="1" x14ac:dyDescent="0.35">
      <c r="A183" s="249"/>
      <c r="B183" s="277"/>
      <c r="C183" s="277"/>
      <c r="D183" s="277"/>
      <c r="E183" s="277"/>
      <c r="F183" s="277"/>
      <c r="G183" s="277"/>
      <c r="H183" s="277"/>
      <c r="I183" s="277"/>
      <c r="J183" s="277"/>
      <c r="K183" s="277"/>
      <c r="L183" s="277"/>
      <c r="M183" s="277"/>
      <c r="N183" s="277"/>
      <c r="O183" s="277"/>
      <c r="P183" s="277"/>
      <c r="Q183" s="277"/>
      <c r="R183" s="297"/>
      <c r="S183" s="252"/>
      <c r="T183" s="247"/>
    </row>
    <row r="184" spans="1:20" x14ac:dyDescent="0.3">
      <c r="A184" s="244"/>
      <c r="B184" s="245"/>
      <c r="C184" s="245"/>
      <c r="D184" s="245"/>
      <c r="E184" s="245"/>
      <c r="F184" s="245"/>
      <c r="G184" s="245"/>
      <c r="H184" s="245"/>
      <c r="I184" s="245"/>
      <c r="J184" s="245"/>
      <c r="K184" s="245"/>
      <c r="L184" s="245"/>
      <c r="M184" s="245"/>
      <c r="N184" s="245"/>
      <c r="O184" s="245"/>
      <c r="P184" s="245"/>
      <c r="Q184" s="245"/>
      <c r="R184" s="301"/>
      <c r="S184" s="246"/>
      <c r="T184" s="247"/>
    </row>
    <row r="185" spans="1:20" s="273" customFormat="1" x14ac:dyDescent="0.3">
      <c r="A185" s="280"/>
      <c r="B185" s="296" t="s">
        <v>46</v>
      </c>
      <c r="C185" s="306"/>
      <c r="D185" s="307"/>
      <c r="E185" s="307"/>
      <c r="F185" s="307"/>
      <c r="G185" s="307"/>
      <c r="H185" s="307"/>
      <c r="I185" s="307"/>
      <c r="J185" s="307"/>
      <c r="K185" s="307"/>
      <c r="L185" s="307"/>
      <c r="M185" s="307"/>
      <c r="N185" s="307"/>
      <c r="O185" s="307" t="s">
        <v>82</v>
      </c>
      <c r="P185" s="307" t="s">
        <v>170</v>
      </c>
      <c r="Q185" s="254"/>
      <c r="R185" s="308" t="s">
        <v>94</v>
      </c>
      <c r="S185" s="309"/>
      <c r="T185" s="272"/>
    </row>
    <row r="186" spans="1:20" s="349" customFormat="1" x14ac:dyDescent="0.3">
      <c r="A186" s="365"/>
      <c r="B186" s="358" t="s">
        <v>47</v>
      </c>
      <c r="C186" s="358"/>
      <c r="D186" s="358"/>
      <c r="E186" s="358"/>
      <c r="F186" s="358"/>
      <c r="G186" s="358"/>
      <c r="H186" s="358"/>
      <c r="I186" s="358"/>
      <c r="J186" s="358"/>
      <c r="K186" s="358"/>
      <c r="L186" s="358"/>
      <c r="M186" s="358"/>
      <c r="N186" s="358"/>
      <c r="O186" s="404">
        <f>+R31*0.08</f>
        <v>24000.720000000001</v>
      </c>
      <c r="P186" s="383"/>
      <c r="Q186" s="358"/>
      <c r="R186" s="404"/>
      <c r="S186" s="361"/>
      <c r="T186" s="348"/>
    </row>
    <row r="187" spans="1:20" s="349" customFormat="1" x14ac:dyDescent="0.3">
      <c r="A187" s="365"/>
      <c r="B187" s="358" t="s">
        <v>48</v>
      </c>
      <c r="C187" s="358"/>
      <c r="D187" s="358"/>
      <c r="E187" s="358"/>
      <c r="F187" s="358"/>
      <c r="G187" s="358"/>
      <c r="H187" s="358"/>
      <c r="I187" s="358"/>
      <c r="J187" s="358"/>
      <c r="K187" s="358"/>
      <c r="L187" s="358"/>
      <c r="M187" s="358"/>
      <c r="N187" s="358"/>
      <c r="O187" s="404">
        <f>+'Feb 18'!O189</f>
        <v>544</v>
      </c>
      <c r="P187" s="404">
        <f>+'Feb 18'!P189</f>
        <v>694</v>
      </c>
      <c r="Q187" s="358"/>
      <c r="R187" s="404">
        <f>O187+P187</f>
        <v>1238</v>
      </c>
      <c r="S187" s="361"/>
      <c r="T187" s="348"/>
    </row>
    <row r="188" spans="1:20" s="349" customFormat="1" x14ac:dyDescent="0.3">
      <c r="A188" s="365"/>
      <c r="B188" s="358" t="s">
        <v>49</v>
      </c>
      <c r="C188" s="358"/>
      <c r="D188" s="358"/>
      <c r="E188" s="358"/>
      <c r="F188" s="358"/>
      <c r="G188" s="358"/>
      <c r="H188" s="358"/>
      <c r="I188" s="358"/>
      <c r="J188" s="358"/>
      <c r="K188" s="358"/>
      <c r="L188" s="358"/>
      <c r="M188" s="358"/>
      <c r="N188" s="358"/>
      <c r="O188" s="403">
        <v>0</v>
      </c>
      <c r="P188" s="403">
        <v>0</v>
      </c>
      <c r="Q188" s="358"/>
      <c r="R188" s="404">
        <f>O188+P188</f>
        <v>0</v>
      </c>
      <c r="S188" s="361"/>
      <c r="T188" s="348"/>
    </row>
    <row r="189" spans="1:20" s="349" customFormat="1" x14ac:dyDescent="0.3">
      <c r="A189" s="365"/>
      <c r="B189" s="358" t="s">
        <v>50</v>
      </c>
      <c r="C189" s="358"/>
      <c r="D189" s="358"/>
      <c r="E189" s="358"/>
      <c r="F189" s="358"/>
      <c r="G189" s="358"/>
      <c r="H189" s="358"/>
      <c r="I189" s="358"/>
      <c r="J189" s="358"/>
      <c r="K189" s="358"/>
      <c r="L189" s="358"/>
      <c r="M189" s="358"/>
      <c r="N189" s="358"/>
      <c r="O189" s="404">
        <f>O187+O188</f>
        <v>544</v>
      </c>
      <c r="P189" s="404">
        <f>P188+P187</f>
        <v>694</v>
      </c>
      <c r="Q189" s="358"/>
      <c r="R189" s="404">
        <f>O189+P189</f>
        <v>1238</v>
      </c>
      <c r="S189" s="361"/>
      <c r="T189" s="348"/>
    </row>
    <row r="190" spans="1:20" s="349" customFormat="1" x14ac:dyDescent="0.3">
      <c r="A190" s="365"/>
      <c r="B190" s="358" t="s">
        <v>51</v>
      </c>
      <c r="C190" s="358"/>
      <c r="D190" s="358"/>
      <c r="E190" s="358"/>
      <c r="F190" s="358"/>
      <c r="G190" s="358"/>
      <c r="H190" s="358"/>
      <c r="I190" s="358"/>
      <c r="J190" s="358"/>
      <c r="K190" s="358"/>
      <c r="L190" s="358"/>
      <c r="M190" s="358"/>
      <c r="N190" s="358"/>
      <c r="O190" s="404">
        <f>O186-O189-P189</f>
        <v>22762.720000000001</v>
      </c>
      <c r="P190" s="383"/>
      <c r="Q190" s="358"/>
      <c r="R190" s="404"/>
      <c r="S190" s="361"/>
      <c r="T190" s="348"/>
    </row>
    <row r="191" spans="1:20" ht="16.2" thickBot="1" x14ac:dyDescent="0.35">
      <c r="A191" s="249"/>
      <c r="B191" s="277"/>
      <c r="C191" s="277"/>
      <c r="D191" s="277"/>
      <c r="E191" s="277"/>
      <c r="F191" s="277"/>
      <c r="G191" s="277"/>
      <c r="H191" s="277"/>
      <c r="I191" s="277"/>
      <c r="J191" s="277"/>
      <c r="K191" s="277"/>
      <c r="L191" s="277"/>
      <c r="M191" s="277"/>
      <c r="N191" s="277"/>
      <c r="O191" s="277"/>
      <c r="P191" s="277"/>
      <c r="Q191" s="277"/>
      <c r="R191" s="297"/>
      <c r="S191" s="252"/>
      <c r="T191" s="247"/>
    </row>
    <row r="192" spans="1:20" x14ac:dyDescent="0.3">
      <c r="A192" s="244"/>
      <c r="B192" s="245"/>
      <c r="C192" s="245"/>
      <c r="D192" s="245"/>
      <c r="E192" s="245"/>
      <c r="F192" s="245"/>
      <c r="G192" s="245"/>
      <c r="H192" s="245"/>
      <c r="I192" s="245"/>
      <c r="J192" s="245"/>
      <c r="K192" s="245"/>
      <c r="L192" s="245"/>
      <c r="M192" s="245"/>
      <c r="N192" s="245"/>
      <c r="O192" s="245"/>
      <c r="P192" s="245"/>
      <c r="Q192" s="245"/>
      <c r="R192" s="301"/>
      <c r="S192" s="246"/>
      <c r="T192" s="247"/>
    </row>
    <row r="193" spans="1:20" x14ac:dyDescent="0.3">
      <c r="A193" s="249"/>
      <c r="B193" s="296" t="s">
        <v>52</v>
      </c>
      <c r="C193" s="251"/>
      <c r="D193" s="251"/>
      <c r="E193" s="251"/>
      <c r="F193" s="251"/>
      <c r="G193" s="251"/>
      <c r="H193" s="251"/>
      <c r="I193" s="251"/>
      <c r="J193" s="251"/>
      <c r="K193" s="251"/>
      <c r="L193" s="251"/>
      <c r="M193" s="251"/>
      <c r="N193" s="251"/>
      <c r="O193" s="251"/>
      <c r="P193" s="251"/>
      <c r="Q193" s="251"/>
      <c r="R193" s="310"/>
      <c r="S193" s="252"/>
      <c r="T193" s="247"/>
    </row>
    <row r="194" spans="1:20" s="349" customFormat="1" x14ac:dyDescent="0.3">
      <c r="A194" s="365"/>
      <c r="B194" s="358" t="s">
        <v>53</v>
      </c>
      <c r="C194" s="358"/>
      <c r="D194" s="358"/>
      <c r="E194" s="358"/>
      <c r="F194" s="358"/>
      <c r="G194" s="358"/>
      <c r="H194" s="358"/>
      <c r="I194" s="358"/>
      <c r="J194" s="358"/>
      <c r="K194" s="358"/>
      <c r="L194" s="358"/>
      <c r="M194" s="358"/>
      <c r="N194" s="358"/>
      <c r="O194" s="358"/>
      <c r="P194" s="358"/>
      <c r="Q194" s="358"/>
      <c r="R194" s="417">
        <f>(R100+R102+R103+R104+R105)/-(R106+R107)</f>
        <v>5.0826086956521737</v>
      </c>
      <c r="S194" s="361" t="s">
        <v>95</v>
      </c>
      <c r="T194" s="348"/>
    </row>
    <row r="195" spans="1:20" s="349" customFormat="1" x14ac:dyDescent="0.3">
      <c r="A195" s="365"/>
      <c r="B195" s="358" t="s">
        <v>54</v>
      </c>
      <c r="C195" s="358"/>
      <c r="D195" s="358"/>
      <c r="E195" s="358"/>
      <c r="F195" s="358"/>
      <c r="G195" s="358"/>
      <c r="H195" s="358"/>
      <c r="I195" s="358"/>
      <c r="J195" s="358"/>
      <c r="K195" s="358"/>
      <c r="L195" s="358"/>
      <c r="M195" s="358"/>
      <c r="N195" s="358"/>
      <c r="O195" s="358"/>
      <c r="P195" s="358"/>
      <c r="Q195" s="358"/>
      <c r="R195" s="418">
        <v>3.52</v>
      </c>
      <c r="S195" s="361" t="s">
        <v>95</v>
      </c>
      <c r="T195" s="348"/>
    </row>
    <row r="196" spans="1:20" s="349" customFormat="1" x14ac:dyDescent="0.3">
      <c r="A196" s="365"/>
      <c r="B196" s="358" t="s">
        <v>183</v>
      </c>
      <c r="C196" s="358"/>
      <c r="D196" s="358"/>
      <c r="E196" s="358"/>
      <c r="F196" s="358"/>
      <c r="G196" s="358"/>
      <c r="H196" s="358"/>
      <c r="I196" s="358"/>
      <c r="J196" s="358"/>
      <c r="K196" s="358"/>
      <c r="L196" s="358"/>
      <c r="M196" s="358"/>
      <c r="N196" s="358"/>
      <c r="O196" s="358"/>
      <c r="P196" s="358"/>
      <c r="Q196" s="358"/>
      <c r="R196" s="417">
        <f>(R100+R102+R103+R104+R105+R106+R107)/-(R108)</f>
        <v>15.915254237288135</v>
      </c>
      <c r="S196" s="361" t="s">
        <v>95</v>
      </c>
      <c r="T196" s="348"/>
    </row>
    <row r="197" spans="1:20" s="349" customFormat="1" x14ac:dyDescent="0.3">
      <c r="A197" s="365"/>
      <c r="B197" s="358" t="s">
        <v>184</v>
      </c>
      <c r="C197" s="358"/>
      <c r="D197" s="358"/>
      <c r="E197" s="358"/>
      <c r="F197" s="358"/>
      <c r="G197" s="358"/>
      <c r="H197" s="358"/>
      <c r="I197" s="358"/>
      <c r="J197" s="358"/>
      <c r="K197" s="358"/>
      <c r="L197" s="358"/>
      <c r="M197" s="358"/>
      <c r="N197" s="358"/>
      <c r="O197" s="358"/>
      <c r="P197" s="358"/>
      <c r="Q197" s="358"/>
      <c r="R197" s="418">
        <v>32.33</v>
      </c>
      <c r="S197" s="361" t="s">
        <v>95</v>
      </c>
      <c r="T197" s="348"/>
    </row>
    <row r="198" spans="1:20" s="349" customFormat="1" x14ac:dyDescent="0.3">
      <c r="A198" s="365"/>
      <c r="B198" s="358" t="s">
        <v>185</v>
      </c>
      <c r="C198" s="358"/>
      <c r="D198" s="358"/>
      <c r="E198" s="358"/>
      <c r="F198" s="358"/>
      <c r="G198" s="358"/>
      <c r="H198" s="358"/>
      <c r="I198" s="358"/>
      <c r="J198" s="358"/>
      <c r="K198" s="358"/>
      <c r="L198" s="358"/>
      <c r="M198" s="358"/>
      <c r="N198" s="358"/>
      <c r="O198" s="358"/>
      <c r="P198" s="358"/>
      <c r="Q198" s="358"/>
      <c r="R198" s="417">
        <f>(R100+R102+R103+R104+R105+R106+R107+R108)/-(R109)</f>
        <v>12.941176470588236</v>
      </c>
      <c r="S198" s="361" t="s">
        <v>95</v>
      </c>
      <c r="T198" s="348"/>
    </row>
    <row r="199" spans="1:20" s="349" customFormat="1" x14ac:dyDescent="0.3">
      <c r="A199" s="365"/>
      <c r="B199" s="358" t="s">
        <v>186</v>
      </c>
      <c r="C199" s="358"/>
      <c r="D199" s="358"/>
      <c r="E199" s="358"/>
      <c r="F199" s="358"/>
      <c r="G199" s="358"/>
      <c r="H199" s="358"/>
      <c r="I199" s="358"/>
      <c r="J199" s="358"/>
      <c r="K199" s="358"/>
      <c r="L199" s="358"/>
      <c r="M199" s="358"/>
      <c r="N199" s="358"/>
      <c r="O199" s="358"/>
      <c r="P199" s="358"/>
      <c r="Q199" s="358"/>
      <c r="R199" s="418">
        <v>26.89</v>
      </c>
      <c r="S199" s="361" t="s">
        <v>95</v>
      </c>
      <c r="T199" s="348"/>
    </row>
    <row r="200" spans="1:20" s="349" customFormat="1" x14ac:dyDescent="0.3">
      <c r="A200" s="365"/>
      <c r="B200" s="358" t="s">
        <v>257</v>
      </c>
      <c r="C200" s="358"/>
      <c r="D200" s="358"/>
      <c r="E200" s="358"/>
      <c r="F200" s="358"/>
      <c r="G200" s="358"/>
      <c r="H200" s="358"/>
      <c r="I200" s="358"/>
      <c r="J200" s="358"/>
      <c r="K200" s="358"/>
      <c r="L200" s="358"/>
      <c r="M200" s="358"/>
      <c r="N200" s="358"/>
      <c r="O200" s="358"/>
      <c r="P200" s="358"/>
      <c r="Q200" s="358"/>
      <c r="R200" s="417">
        <f>(R100+R102+R103+R104+R105+R106+R107+R108+R109+R110+R111+R112+R113+R114)/-(R115)</f>
        <v>16.163265306122447</v>
      </c>
      <c r="S200" s="361" t="s">
        <v>95</v>
      </c>
      <c r="T200" s="348"/>
    </row>
    <row r="201" spans="1:20" s="349" customFormat="1" x14ac:dyDescent="0.3">
      <c r="A201" s="365"/>
      <c r="B201" s="358" t="s">
        <v>258</v>
      </c>
      <c r="C201" s="358"/>
      <c r="D201" s="358"/>
      <c r="E201" s="358"/>
      <c r="F201" s="358"/>
      <c r="G201" s="358"/>
      <c r="H201" s="358"/>
      <c r="I201" s="358"/>
      <c r="J201" s="358"/>
      <c r="K201" s="358"/>
      <c r="L201" s="358"/>
      <c r="M201" s="358"/>
      <c r="N201" s="358"/>
      <c r="O201" s="358"/>
      <c r="P201" s="358"/>
      <c r="Q201" s="358"/>
      <c r="R201" s="418">
        <v>35.14</v>
      </c>
      <c r="S201" s="361" t="s">
        <v>95</v>
      </c>
      <c r="T201" s="348"/>
    </row>
    <row r="202" spans="1:20" s="349" customFormat="1" x14ac:dyDescent="0.3">
      <c r="A202" s="365"/>
      <c r="B202" s="358"/>
      <c r="C202" s="358"/>
      <c r="D202" s="358"/>
      <c r="E202" s="358"/>
      <c r="F202" s="358"/>
      <c r="G202" s="358"/>
      <c r="H202" s="358"/>
      <c r="I202" s="358"/>
      <c r="J202" s="358"/>
      <c r="K202" s="358"/>
      <c r="L202" s="358"/>
      <c r="M202" s="358"/>
      <c r="N202" s="358"/>
      <c r="O202" s="358"/>
      <c r="P202" s="358"/>
      <c r="Q202" s="358"/>
      <c r="R202" s="358"/>
      <c r="S202" s="361"/>
      <c r="T202" s="348"/>
    </row>
    <row r="203" spans="1:20" s="349" customFormat="1" x14ac:dyDescent="0.3">
      <c r="A203" s="344"/>
      <c r="B203" s="393"/>
      <c r="C203" s="393"/>
      <c r="D203" s="393"/>
      <c r="E203" s="393"/>
      <c r="F203" s="393"/>
      <c r="G203" s="393"/>
      <c r="H203" s="393"/>
      <c r="I203" s="393"/>
      <c r="J203" s="393"/>
      <c r="K203" s="393"/>
      <c r="L203" s="393"/>
      <c r="M203" s="393"/>
      <c r="N203" s="393"/>
      <c r="O203" s="393"/>
      <c r="P203" s="393"/>
      <c r="Q203" s="393"/>
      <c r="R203" s="393"/>
      <c r="S203" s="347"/>
      <c r="T203" s="348"/>
    </row>
    <row r="204" spans="1:20" s="349" customFormat="1" x14ac:dyDescent="0.3">
      <c r="A204" s="344"/>
      <c r="B204" s="346"/>
      <c r="C204" s="346"/>
      <c r="D204" s="346"/>
      <c r="E204" s="346"/>
      <c r="F204" s="346"/>
      <c r="G204" s="346"/>
      <c r="H204" s="346"/>
      <c r="I204" s="346"/>
      <c r="J204" s="346"/>
      <c r="K204" s="346"/>
      <c r="L204" s="346"/>
      <c r="M204" s="346"/>
      <c r="N204" s="346"/>
      <c r="O204" s="346"/>
      <c r="P204" s="346"/>
      <c r="Q204" s="346"/>
      <c r="R204" s="346"/>
      <c r="S204" s="347"/>
      <c r="T204" s="348"/>
    </row>
    <row r="205" spans="1:20" s="349" customFormat="1" ht="18.600000000000001" thickBot="1" x14ac:dyDescent="0.4">
      <c r="A205" s="398"/>
      <c r="B205" s="399" t="str">
        <f>B132</f>
        <v>PM22 INVESTOR REPORT QUARTER ENDING MAY 2018</v>
      </c>
      <c r="C205" s="400"/>
      <c r="D205" s="400"/>
      <c r="E205" s="400"/>
      <c r="F205" s="400"/>
      <c r="G205" s="400"/>
      <c r="H205" s="400"/>
      <c r="I205" s="400"/>
      <c r="J205" s="400"/>
      <c r="K205" s="400"/>
      <c r="L205" s="400"/>
      <c r="M205" s="400"/>
      <c r="N205" s="400"/>
      <c r="O205" s="400"/>
      <c r="P205" s="400"/>
      <c r="Q205" s="400"/>
      <c r="R205" s="400"/>
      <c r="S205" s="402"/>
      <c r="T205" s="348"/>
    </row>
    <row r="206" spans="1:20" x14ac:dyDescent="0.3">
      <c r="A206" s="456"/>
      <c r="B206" s="457" t="s">
        <v>55</v>
      </c>
      <c r="C206" s="461"/>
      <c r="D206" s="462"/>
      <c r="E206" s="462"/>
      <c r="F206" s="462"/>
      <c r="G206" s="462"/>
      <c r="H206" s="462"/>
      <c r="I206" s="462"/>
      <c r="J206" s="462"/>
      <c r="K206" s="462"/>
      <c r="L206" s="462"/>
      <c r="M206" s="462"/>
      <c r="N206" s="462"/>
      <c r="O206" s="462"/>
      <c r="P206" s="462">
        <v>43251</v>
      </c>
      <c r="Q206" s="458"/>
      <c r="R206" s="458"/>
      <c r="S206" s="460"/>
      <c r="T206" s="247"/>
    </row>
    <row r="207" spans="1:20" x14ac:dyDescent="0.3">
      <c r="A207" s="312"/>
      <c r="B207" s="313"/>
      <c r="C207" s="314"/>
      <c r="D207" s="315"/>
      <c r="E207" s="315"/>
      <c r="F207" s="315"/>
      <c r="G207" s="315"/>
      <c r="H207" s="315"/>
      <c r="I207" s="315"/>
      <c r="J207" s="315"/>
      <c r="K207" s="315"/>
      <c r="L207" s="315"/>
      <c r="M207" s="315"/>
      <c r="N207" s="315"/>
      <c r="O207" s="315"/>
      <c r="P207" s="315"/>
      <c r="Q207" s="251"/>
      <c r="R207" s="251"/>
      <c r="S207" s="252"/>
      <c r="T207" s="247"/>
    </row>
    <row r="208" spans="1:20" s="349" customFormat="1" x14ac:dyDescent="0.3">
      <c r="A208" s="365"/>
      <c r="B208" s="358" t="s">
        <v>56</v>
      </c>
      <c r="C208" s="419"/>
      <c r="D208" s="387"/>
      <c r="E208" s="387"/>
      <c r="F208" s="387"/>
      <c r="G208" s="387"/>
      <c r="H208" s="387"/>
      <c r="I208" s="387"/>
      <c r="J208" s="387"/>
      <c r="K208" s="387"/>
      <c r="L208" s="387"/>
      <c r="M208" s="387"/>
      <c r="N208" s="387"/>
      <c r="O208" s="387"/>
      <c r="P208" s="379">
        <v>4.079E-2</v>
      </c>
      <c r="Q208" s="358"/>
      <c r="R208" s="358"/>
      <c r="S208" s="361"/>
      <c r="T208" s="348"/>
    </row>
    <row r="209" spans="1:20" s="349" customFormat="1" x14ac:dyDescent="0.3">
      <c r="A209" s="365"/>
      <c r="B209" s="358" t="s">
        <v>158</v>
      </c>
      <c r="C209" s="419"/>
      <c r="D209" s="387"/>
      <c r="E209" s="387"/>
      <c r="F209" s="387"/>
      <c r="G209" s="387"/>
      <c r="H209" s="387"/>
      <c r="I209" s="387"/>
      <c r="J209" s="387"/>
      <c r="K209" s="387"/>
      <c r="L209" s="387"/>
      <c r="M209" s="387"/>
      <c r="N209" s="387"/>
      <c r="O209" s="387"/>
      <c r="P209" s="379">
        <v>1.5340718167454973E-2</v>
      </c>
      <c r="Q209" s="358"/>
      <c r="R209" s="358"/>
      <c r="S209" s="361"/>
      <c r="T209" s="348"/>
    </row>
    <row r="210" spans="1:20" s="349" customFormat="1" x14ac:dyDescent="0.3">
      <c r="A210" s="365"/>
      <c r="B210" s="358" t="s">
        <v>57</v>
      </c>
      <c r="C210" s="419"/>
      <c r="D210" s="387"/>
      <c r="E210" s="387"/>
      <c r="F210" s="387"/>
      <c r="G210" s="387"/>
      <c r="H210" s="387"/>
      <c r="I210" s="387"/>
      <c r="J210" s="387"/>
      <c r="K210" s="387"/>
      <c r="L210" s="387"/>
      <c r="M210" s="387"/>
      <c r="N210" s="387"/>
      <c r="O210" s="387"/>
      <c r="P210" s="379">
        <f>P208-P209</f>
        <v>2.5449281832545027E-2</v>
      </c>
      <c r="Q210" s="358"/>
      <c r="R210" s="358"/>
      <c r="S210" s="361"/>
      <c r="T210" s="348"/>
    </row>
    <row r="211" spans="1:20" s="349" customFormat="1" x14ac:dyDescent="0.3">
      <c r="A211" s="365"/>
      <c r="B211" s="358" t="s">
        <v>161</v>
      </c>
      <c r="C211" s="419"/>
      <c r="D211" s="387"/>
      <c r="E211" s="387"/>
      <c r="F211" s="387"/>
      <c r="G211" s="387"/>
      <c r="H211" s="387"/>
      <c r="I211" s="387"/>
      <c r="J211" s="387"/>
      <c r="K211" s="387"/>
      <c r="L211" s="387"/>
      <c r="M211" s="387"/>
      <c r="N211" s="387"/>
      <c r="O211" s="387"/>
      <c r="P211" s="379">
        <v>4.6059099999999999E-2</v>
      </c>
      <c r="Q211" s="358"/>
      <c r="R211" s="358"/>
      <c r="S211" s="361"/>
      <c r="T211" s="348"/>
    </row>
    <row r="212" spans="1:20" s="349" customFormat="1" x14ac:dyDescent="0.3">
      <c r="A212" s="365"/>
      <c r="B212" s="358" t="s">
        <v>58</v>
      </c>
      <c r="C212" s="419"/>
      <c r="D212" s="387"/>
      <c r="E212" s="387"/>
      <c r="F212" s="387"/>
      <c r="G212" s="387"/>
      <c r="H212" s="387"/>
      <c r="I212" s="387"/>
      <c r="J212" s="387"/>
      <c r="K212" s="387"/>
      <c r="L212" s="387"/>
      <c r="M212" s="387"/>
      <c r="N212" s="387"/>
      <c r="O212" s="387"/>
      <c r="P212" s="379">
        <v>4.922E-2</v>
      </c>
      <c r="Q212" s="358"/>
      <c r="R212" s="358"/>
      <c r="S212" s="361"/>
      <c r="T212" s="348"/>
    </row>
    <row r="213" spans="1:20" s="349" customFormat="1" x14ac:dyDescent="0.3">
      <c r="A213" s="365"/>
      <c r="B213" s="358" t="s">
        <v>159</v>
      </c>
      <c r="C213" s="419"/>
      <c r="D213" s="387"/>
      <c r="E213" s="387"/>
      <c r="F213" s="387"/>
      <c r="G213" s="387"/>
      <c r="H213" s="387"/>
      <c r="I213" s="387"/>
      <c r="J213" s="387"/>
      <c r="K213" s="387"/>
      <c r="L213" s="387"/>
      <c r="M213" s="387"/>
      <c r="N213" s="387"/>
      <c r="O213" s="387"/>
      <c r="P213" s="379">
        <f>R40</f>
        <v>1.755155388461899E-2</v>
      </c>
      <c r="Q213" s="358"/>
      <c r="R213" s="358"/>
      <c r="S213" s="361"/>
      <c r="T213" s="348"/>
    </row>
    <row r="214" spans="1:20" s="349" customFormat="1" x14ac:dyDescent="0.3">
      <c r="A214" s="365"/>
      <c r="B214" s="358" t="s">
        <v>59</v>
      </c>
      <c r="C214" s="419"/>
      <c r="D214" s="387"/>
      <c r="E214" s="387"/>
      <c r="F214" s="387"/>
      <c r="G214" s="387"/>
      <c r="H214" s="387"/>
      <c r="I214" s="387"/>
      <c r="J214" s="387"/>
      <c r="K214" s="387"/>
      <c r="L214" s="387"/>
      <c r="M214" s="387"/>
      <c r="N214" s="387"/>
      <c r="O214" s="387"/>
      <c r="P214" s="379">
        <f>P212-P213</f>
        <v>3.1668446115381013E-2</v>
      </c>
      <c r="Q214" s="358"/>
      <c r="R214" s="358"/>
      <c r="S214" s="361"/>
      <c r="T214" s="348"/>
    </row>
    <row r="215" spans="1:20" s="349" customFormat="1" x14ac:dyDescent="0.3">
      <c r="A215" s="365"/>
      <c r="B215" s="358" t="s">
        <v>139</v>
      </c>
      <c r="C215" s="419"/>
      <c r="D215" s="387"/>
      <c r="E215" s="387"/>
      <c r="F215" s="387"/>
      <c r="G215" s="387"/>
      <c r="H215" s="387"/>
      <c r="I215" s="387"/>
      <c r="J215" s="387"/>
      <c r="K215" s="387"/>
      <c r="L215" s="387"/>
      <c r="M215" s="387"/>
      <c r="N215" s="387"/>
      <c r="O215" s="387"/>
      <c r="P215" s="379">
        <f>(+R100+R102)/H80</f>
        <v>1.3486616708177893E-2</v>
      </c>
      <c r="Q215" s="358"/>
      <c r="R215" s="358"/>
      <c r="S215" s="361"/>
      <c r="T215" s="348"/>
    </row>
    <row r="216" spans="1:20" s="349" customFormat="1" x14ac:dyDescent="0.3">
      <c r="A216" s="365"/>
      <c r="B216" s="358" t="s">
        <v>132</v>
      </c>
      <c r="C216" s="419"/>
      <c r="D216" s="387"/>
      <c r="E216" s="387"/>
      <c r="F216" s="387"/>
      <c r="G216" s="387"/>
      <c r="H216" s="387"/>
      <c r="I216" s="387"/>
      <c r="J216" s="387"/>
      <c r="K216" s="387"/>
      <c r="L216" s="387"/>
      <c r="M216" s="387"/>
      <c r="N216" s="387"/>
      <c r="O216" s="387"/>
      <c r="P216" s="420">
        <v>52124</v>
      </c>
      <c r="Q216" s="358"/>
      <c r="R216" s="358"/>
      <c r="S216" s="361"/>
      <c r="T216" s="348"/>
    </row>
    <row r="217" spans="1:20" s="349" customFormat="1" x14ac:dyDescent="0.3">
      <c r="A217" s="365"/>
      <c r="B217" s="358" t="s">
        <v>187</v>
      </c>
      <c r="C217" s="419"/>
      <c r="D217" s="387"/>
      <c r="E217" s="387"/>
      <c r="F217" s="387"/>
      <c r="G217" s="387"/>
      <c r="H217" s="387"/>
      <c r="I217" s="387"/>
      <c r="J217" s="387"/>
      <c r="K217" s="387"/>
      <c r="L217" s="387"/>
      <c r="M217" s="387"/>
      <c r="N217" s="387"/>
      <c r="O217" s="387"/>
      <c r="P217" s="420">
        <v>15599</v>
      </c>
      <c r="Q217" s="358"/>
      <c r="R217" s="358"/>
      <c r="S217" s="361"/>
      <c r="T217" s="348"/>
    </row>
    <row r="218" spans="1:20" s="349" customFormat="1" x14ac:dyDescent="0.3">
      <c r="A218" s="365"/>
      <c r="B218" s="358" t="s">
        <v>188</v>
      </c>
      <c r="C218" s="419"/>
      <c r="D218" s="387"/>
      <c r="E218" s="387"/>
      <c r="F218" s="387"/>
      <c r="G218" s="387"/>
      <c r="H218" s="387"/>
      <c r="I218" s="387"/>
      <c r="J218" s="387"/>
      <c r="K218" s="387"/>
      <c r="L218" s="387"/>
      <c r="M218" s="387"/>
      <c r="N218" s="387"/>
      <c r="O218" s="387"/>
      <c r="P218" s="420">
        <v>15599</v>
      </c>
      <c r="Q218" s="358"/>
      <c r="R218" s="358"/>
      <c r="S218" s="361"/>
      <c r="T218" s="348"/>
    </row>
    <row r="219" spans="1:20" s="349" customFormat="1" x14ac:dyDescent="0.3">
      <c r="A219" s="365"/>
      <c r="B219" s="358" t="s">
        <v>259</v>
      </c>
      <c r="C219" s="419"/>
      <c r="D219" s="387"/>
      <c r="E219" s="387"/>
      <c r="F219" s="387"/>
      <c r="G219" s="387"/>
      <c r="H219" s="387"/>
      <c r="I219" s="387"/>
      <c r="J219" s="387"/>
      <c r="K219" s="387"/>
      <c r="L219" s="387"/>
      <c r="M219" s="387"/>
      <c r="N219" s="387"/>
      <c r="O219" s="387"/>
      <c r="P219" s="420">
        <v>15599</v>
      </c>
      <c r="Q219" s="358"/>
      <c r="R219" s="358"/>
      <c r="S219" s="361"/>
      <c r="T219" s="348"/>
    </row>
    <row r="220" spans="1:20" s="349" customFormat="1" x14ac:dyDescent="0.3">
      <c r="A220" s="365"/>
      <c r="B220" s="358" t="s">
        <v>60</v>
      </c>
      <c r="C220" s="419"/>
      <c r="D220" s="387"/>
      <c r="E220" s="387"/>
      <c r="F220" s="387"/>
      <c r="G220" s="387"/>
      <c r="H220" s="387"/>
      <c r="I220" s="387"/>
      <c r="J220" s="387"/>
      <c r="K220" s="387"/>
      <c r="L220" s="387"/>
      <c r="M220" s="387"/>
      <c r="N220" s="387"/>
      <c r="O220" s="387"/>
      <c r="P220" s="385">
        <v>20.55</v>
      </c>
      <c r="Q220" s="358" t="s">
        <v>90</v>
      </c>
      <c r="R220" s="358"/>
      <c r="S220" s="361"/>
      <c r="T220" s="348"/>
    </row>
    <row r="221" spans="1:20" s="349" customFormat="1" x14ac:dyDescent="0.3">
      <c r="A221" s="365"/>
      <c r="B221" s="358" t="s">
        <v>61</v>
      </c>
      <c r="C221" s="419"/>
      <c r="D221" s="387"/>
      <c r="E221" s="387"/>
      <c r="F221" s="387"/>
      <c r="G221" s="387"/>
      <c r="H221" s="387"/>
      <c r="I221" s="387"/>
      <c r="J221" s="387"/>
      <c r="K221" s="387"/>
      <c r="L221" s="387"/>
      <c r="M221" s="387"/>
      <c r="N221" s="387"/>
      <c r="O221" s="387"/>
      <c r="P221" s="385">
        <v>17.29</v>
      </c>
      <c r="Q221" s="358" t="s">
        <v>90</v>
      </c>
      <c r="R221" s="358"/>
      <c r="S221" s="361"/>
      <c r="T221" s="348"/>
    </row>
    <row r="222" spans="1:20" s="349" customFormat="1" x14ac:dyDescent="0.3">
      <c r="A222" s="365"/>
      <c r="B222" s="358" t="s">
        <v>62</v>
      </c>
      <c r="C222" s="419"/>
      <c r="D222" s="387"/>
      <c r="E222" s="387"/>
      <c r="F222" s="387"/>
      <c r="G222" s="387"/>
      <c r="H222" s="387"/>
      <c r="I222" s="387"/>
      <c r="J222" s="387"/>
      <c r="K222" s="387"/>
      <c r="L222" s="387"/>
      <c r="M222" s="387"/>
      <c r="N222" s="387"/>
      <c r="O222" s="387"/>
      <c r="P222" s="379">
        <f>(+J64+L64+P64)/H64</f>
        <v>0.12744852789228109</v>
      </c>
      <c r="Q222" s="358"/>
      <c r="R222" s="358"/>
      <c r="S222" s="361"/>
      <c r="T222" s="348"/>
    </row>
    <row r="223" spans="1:20" s="349" customFormat="1" x14ac:dyDescent="0.3">
      <c r="A223" s="365"/>
      <c r="B223" s="358" t="s">
        <v>63</v>
      </c>
      <c r="C223" s="419"/>
      <c r="D223" s="387"/>
      <c r="E223" s="387"/>
      <c r="F223" s="387"/>
      <c r="G223" s="387"/>
      <c r="H223" s="387"/>
      <c r="I223" s="387"/>
      <c r="J223" s="387"/>
      <c r="K223" s="387"/>
      <c r="L223" s="387"/>
      <c r="M223" s="387"/>
      <c r="N223" s="387"/>
      <c r="O223" s="387"/>
      <c r="P223" s="379">
        <v>0.33479999999999999</v>
      </c>
      <c r="Q223" s="358"/>
      <c r="R223" s="358"/>
      <c r="S223" s="361"/>
      <c r="T223" s="348"/>
    </row>
    <row r="224" spans="1:20" x14ac:dyDescent="0.3">
      <c r="A224" s="312"/>
      <c r="B224" s="316"/>
      <c r="C224" s="316"/>
      <c r="D224" s="277"/>
      <c r="E224" s="277"/>
      <c r="F224" s="277"/>
      <c r="G224" s="277"/>
      <c r="H224" s="277"/>
      <c r="I224" s="277"/>
      <c r="J224" s="277"/>
      <c r="K224" s="277"/>
      <c r="L224" s="277"/>
      <c r="M224" s="277"/>
      <c r="N224" s="277"/>
      <c r="O224" s="277"/>
      <c r="P224" s="297"/>
      <c r="Q224" s="277"/>
      <c r="R224" s="317"/>
      <c r="S224" s="252"/>
      <c r="T224" s="247"/>
    </row>
    <row r="225" spans="1:20" x14ac:dyDescent="0.3">
      <c r="A225" s="463"/>
      <c r="B225" s="452" t="s">
        <v>64</v>
      </c>
      <c r="C225" s="453"/>
      <c r="D225" s="453"/>
      <c r="E225" s="453"/>
      <c r="F225" s="453"/>
      <c r="G225" s="453"/>
      <c r="H225" s="453"/>
      <c r="I225" s="453"/>
      <c r="J225" s="453"/>
      <c r="K225" s="453"/>
      <c r="L225" s="453"/>
      <c r="M225" s="453"/>
      <c r="N225" s="453"/>
      <c r="O225" s="453" t="s">
        <v>83</v>
      </c>
      <c r="P225" s="469" t="s">
        <v>88</v>
      </c>
      <c r="Q225" s="447"/>
      <c r="R225" s="447"/>
      <c r="S225" s="445"/>
      <c r="T225" s="247"/>
    </row>
    <row r="226" spans="1:20" s="349" customFormat="1" x14ac:dyDescent="0.3">
      <c r="A226" s="464"/>
      <c r="B226" s="393" t="s">
        <v>65</v>
      </c>
      <c r="C226" s="408"/>
      <c r="D226" s="465"/>
      <c r="E226" s="465"/>
      <c r="F226" s="465"/>
      <c r="G226" s="465"/>
      <c r="H226" s="465"/>
      <c r="I226" s="465"/>
      <c r="J226" s="465"/>
      <c r="K226" s="465"/>
      <c r="L226" s="465"/>
      <c r="M226" s="465"/>
      <c r="N226" s="465"/>
      <c r="O226" s="465">
        <v>0</v>
      </c>
      <c r="P226" s="466">
        <v>0</v>
      </c>
      <c r="Q226" s="393"/>
      <c r="R226" s="467"/>
      <c r="S226" s="468"/>
      <c r="T226" s="348"/>
    </row>
    <row r="227" spans="1:20" s="349" customFormat="1" x14ac:dyDescent="0.3">
      <c r="A227" s="421"/>
      <c r="B227" s="358" t="s">
        <v>113</v>
      </c>
      <c r="C227" s="403"/>
      <c r="D227" s="366"/>
      <c r="E227" s="366"/>
      <c r="F227" s="366"/>
      <c r="G227" s="366"/>
      <c r="H227" s="366"/>
      <c r="I227" s="366"/>
      <c r="J227" s="366"/>
      <c r="K227" s="366"/>
      <c r="L227" s="366"/>
      <c r="M227" s="366"/>
      <c r="N227" s="366"/>
      <c r="O227" s="422">
        <f>+N279</f>
        <v>0</v>
      </c>
      <c r="P227" s="423">
        <f>+P279</f>
        <v>0</v>
      </c>
      <c r="Q227" s="358"/>
      <c r="R227" s="424"/>
      <c r="S227" s="425"/>
      <c r="T227" s="348"/>
    </row>
    <row r="228" spans="1:20" s="349" customFormat="1" x14ac:dyDescent="0.3">
      <c r="A228" s="421"/>
      <c r="B228" s="358" t="s">
        <v>66</v>
      </c>
      <c r="C228" s="403"/>
      <c r="D228" s="366"/>
      <c r="E228" s="366"/>
      <c r="F228" s="366"/>
      <c r="G228" s="366"/>
      <c r="H228" s="366"/>
      <c r="I228" s="366"/>
      <c r="J228" s="366"/>
      <c r="K228" s="366"/>
      <c r="L228" s="366"/>
      <c r="M228" s="366"/>
      <c r="N228" s="366"/>
      <c r="O228" s="422">
        <f>+N291</f>
        <v>0</v>
      </c>
      <c r="P228" s="423">
        <f>+P291</f>
        <v>0</v>
      </c>
      <c r="Q228" s="358"/>
      <c r="R228" s="424"/>
      <c r="S228" s="425"/>
      <c r="T228" s="348"/>
    </row>
    <row r="229" spans="1:20" x14ac:dyDescent="0.3">
      <c r="A229" s="318"/>
      <c r="B229" s="266" t="s">
        <v>284</v>
      </c>
      <c r="C229" s="321"/>
      <c r="D229" s="291"/>
      <c r="E229" s="291"/>
      <c r="F229" s="291"/>
      <c r="G229" s="291"/>
      <c r="H229" s="291"/>
      <c r="I229" s="291"/>
      <c r="J229" s="291"/>
      <c r="K229" s="291"/>
      <c r="L229" s="291"/>
      <c r="M229" s="291"/>
      <c r="N229" s="291"/>
      <c r="O229" s="263"/>
      <c r="P229" s="423">
        <f>+P64</f>
        <v>3515</v>
      </c>
      <c r="Q229" s="291"/>
      <c r="R229" s="322"/>
      <c r="S229" s="320"/>
      <c r="T229" s="247"/>
    </row>
    <row r="230" spans="1:20" x14ac:dyDescent="0.3">
      <c r="A230" s="318"/>
      <c r="B230" s="266" t="s">
        <v>140</v>
      </c>
      <c r="C230" s="321"/>
      <c r="D230" s="291"/>
      <c r="E230" s="291"/>
      <c r="F230" s="291"/>
      <c r="G230" s="291"/>
      <c r="H230" s="291"/>
      <c r="I230" s="291"/>
      <c r="J230" s="291"/>
      <c r="K230" s="291"/>
      <c r="L230" s="291"/>
      <c r="M230" s="291"/>
      <c r="N230" s="291"/>
      <c r="O230" s="263"/>
      <c r="P230" s="423">
        <f>-J77</f>
        <v>0</v>
      </c>
      <c r="Q230" s="291"/>
      <c r="R230" s="322"/>
      <c r="S230" s="320"/>
      <c r="T230" s="247"/>
    </row>
    <row r="231" spans="1:20" x14ac:dyDescent="0.3">
      <c r="A231" s="323"/>
      <c r="B231" s="266" t="s">
        <v>67</v>
      </c>
      <c r="C231" s="324"/>
      <c r="D231" s="291"/>
      <c r="E231" s="291"/>
      <c r="F231" s="291"/>
      <c r="G231" s="291"/>
      <c r="H231" s="291"/>
      <c r="I231" s="291"/>
      <c r="J231" s="291"/>
      <c r="K231" s="291"/>
      <c r="L231" s="291"/>
      <c r="M231" s="291"/>
      <c r="N231" s="291"/>
      <c r="O231" s="263"/>
      <c r="P231" s="319"/>
      <c r="Q231" s="291"/>
      <c r="R231" s="322"/>
      <c r="S231" s="325"/>
      <c r="T231" s="247"/>
    </row>
    <row r="232" spans="1:20" s="349" customFormat="1" x14ac:dyDescent="0.3">
      <c r="A232" s="426"/>
      <c r="B232" s="358" t="s">
        <v>68</v>
      </c>
      <c r="C232" s="358"/>
      <c r="D232" s="358"/>
      <c r="E232" s="358"/>
      <c r="F232" s="358"/>
      <c r="G232" s="358"/>
      <c r="H232" s="358"/>
      <c r="I232" s="358"/>
      <c r="J232" s="358"/>
      <c r="K232" s="358"/>
      <c r="L232" s="358"/>
      <c r="M232" s="358"/>
      <c r="N232" s="358"/>
      <c r="O232" s="366"/>
      <c r="P232" s="423">
        <f>R162</f>
        <v>0</v>
      </c>
      <c r="Q232" s="358"/>
      <c r="R232" s="424"/>
      <c r="S232" s="427"/>
      <c r="T232" s="348"/>
    </row>
    <row r="233" spans="1:20" s="349" customFormat="1" x14ac:dyDescent="0.3">
      <c r="A233" s="421"/>
      <c r="B233" s="358" t="s">
        <v>69</v>
      </c>
      <c r="C233" s="403"/>
      <c r="D233" s="358"/>
      <c r="E233" s="358"/>
      <c r="F233" s="358"/>
      <c r="G233" s="358"/>
      <c r="H233" s="358"/>
      <c r="I233" s="358"/>
      <c r="J233" s="358"/>
      <c r="K233" s="358"/>
      <c r="L233" s="358"/>
      <c r="M233" s="358"/>
      <c r="N233" s="358"/>
      <c r="O233" s="366"/>
      <c r="P233" s="423">
        <f>'Feb 18'!P233+P232</f>
        <v>0</v>
      </c>
      <c r="Q233" s="358"/>
      <c r="R233" s="424"/>
      <c r="S233" s="427"/>
      <c r="T233" s="348"/>
    </row>
    <row r="234" spans="1:20" x14ac:dyDescent="0.3">
      <c r="A234" s="323"/>
      <c r="B234" s="266" t="s">
        <v>151</v>
      </c>
      <c r="C234" s="324"/>
      <c r="D234" s="291"/>
      <c r="E234" s="291"/>
      <c r="F234" s="291"/>
      <c r="G234" s="291"/>
      <c r="H234" s="291"/>
      <c r="I234" s="291"/>
      <c r="J234" s="291"/>
      <c r="K234" s="291"/>
      <c r="L234" s="291"/>
      <c r="M234" s="291"/>
      <c r="N234" s="291"/>
      <c r="O234" s="264"/>
      <c r="P234" s="319"/>
      <c r="Q234" s="291"/>
      <c r="R234" s="322"/>
      <c r="S234" s="325"/>
      <c r="T234" s="247"/>
    </row>
    <row r="235" spans="1:20" s="349" customFormat="1" x14ac:dyDescent="0.3">
      <c r="A235" s="426"/>
      <c r="B235" s="358" t="s">
        <v>160</v>
      </c>
      <c r="C235" s="358"/>
      <c r="D235" s="358"/>
      <c r="E235" s="358"/>
      <c r="F235" s="358"/>
      <c r="G235" s="358"/>
      <c r="H235" s="358"/>
      <c r="I235" s="358"/>
      <c r="J235" s="358"/>
      <c r="K235" s="358"/>
      <c r="L235" s="358"/>
      <c r="M235" s="358"/>
      <c r="N235" s="358"/>
      <c r="O235" s="366">
        <v>0</v>
      </c>
      <c r="P235" s="423">
        <v>0</v>
      </c>
      <c r="Q235" s="358"/>
      <c r="R235" s="424"/>
      <c r="S235" s="427"/>
      <c r="T235" s="348"/>
    </row>
    <row r="236" spans="1:20" s="349" customFormat="1" x14ac:dyDescent="0.3">
      <c r="A236" s="421"/>
      <c r="B236" s="358" t="s">
        <v>70</v>
      </c>
      <c r="C236" s="383"/>
      <c r="D236" s="358"/>
      <c r="E236" s="358"/>
      <c r="F236" s="358"/>
      <c r="G236" s="358"/>
      <c r="H236" s="358"/>
      <c r="I236" s="358"/>
      <c r="J236" s="358"/>
      <c r="K236" s="358"/>
      <c r="L236" s="358"/>
      <c r="M236" s="358"/>
      <c r="N236" s="358"/>
      <c r="O236" s="358"/>
      <c r="P236" s="428">
        <v>0</v>
      </c>
      <c r="Q236" s="358"/>
      <c r="R236" s="424"/>
      <c r="S236" s="427"/>
      <c r="T236" s="348"/>
    </row>
    <row r="237" spans="1:20" s="349" customFormat="1" x14ac:dyDescent="0.3">
      <c r="A237" s="421"/>
      <c r="B237" s="358" t="s">
        <v>71</v>
      </c>
      <c r="C237" s="383"/>
      <c r="D237" s="358"/>
      <c r="E237" s="358"/>
      <c r="F237" s="358"/>
      <c r="G237" s="358"/>
      <c r="H237" s="358"/>
      <c r="I237" s="358"/>
      <c r="J237" s="358"/>
      <c r="K237" s="358"/>
      <c r="L237" s="358"/>
      <c r="M237" s="358"/>
      <c r="N237" s="358"/>
      <c r="O237" s="358"/>
      <c r="P237" s="428">
        <v>0</v>
      </c>
      <c r="Q237" s="358"/>
      <c r="R237" s="424"/>
      <c r="S237" s="427"/>
      <c r="T237" s="348"/>
    </row>
    <row r="238" spans="1:20" x14ac:dyDescent="0.3">
      <c r="A238" s="318"/>
      <c r="B238" s="266" t="s">
        <v>136</v>
      </c>
      <c r="C238" s="326"/>
      <c r="D238" s="291"/>
      <c r="E238" s="291"/>
      <c r="F238" s="291"/>
      <c r="G238" s="291"/>
      <c r="H238" s="291"/>
      <c r="I238" s="291"/>
      <c r="J238" s="291"/>
      <c r="K238" s="291"/>
      <c r="L238" s="291"/>
      <c r="M238" s="291"/>
      <c r="N238" s="291"/>
      <c r="O238" s="263"/>
      <c r="P238" s="327"/>
      <c r="Q238" s="291"/>
      <c r="R238" s="322"/>
      <c r="S238" s="325"/>
      <c r="T238" s="247"/>
    </row>
    <row r="239" spans="1:20" s="349" customFormat="1" x14ac:dyDescent="0.3">
      <c r="A239" s="421"/>
      <c r="B239" s="358" t="s">
        <v>160</v>
      </c>
      <c r="C239" s="383"/>
      <c r="D239" s="358"/>
      <c r="E239" s="358"/>
      <c r="F239" s="358"/>
      <c r="G239" s="358"/>
      <c r="H239" s="358"/>
      <c r="I239" s="358"/>
      <c r="J239" s="358"/>
      <c r="K239" s="358"/>
      <c r="L239" s="358"/>
      <c r="M239" s="358"/>
      <c r="N239" s="358"/>
      <c r="O239" s="366">
        <v>0</v>
      </c>
      <c r="P239" s="423">
        <v>0</v>
      </c>
      <c r="Q239" s="358"/>
      <c r="R239" s="424"/>
      <c r="S239" s="427"/>
      <c r="T239" s="348"/>
    </row>
    <row r="240" spans="1:20" s="349" customFormat="1" x14ac:dyDescent="0.3">
      <c r="A240" s="421"/>
      <c r="B240" s="358" t="s">
        <v>137</v>
      </c>
      <c r="C240" s="383"/>
      <c r="D240" s="358"/>
      <c r="E240" s="358"/>
      <c r="F240" s="358"/>
      <c r="G240" s="358"/>
      <c r="H240" s="358"/>
      <c r="I240" s="358"/>
      <c r="J240" s="358"/>
      <c r="K240" s="358"/>
      <c r="L240" s="358"/>
      <c r="M240" s="358"/>
      <c r="N240" s="358"/>
      <c r="O240" s="358"/>
      <c r="P240" s="428">
        <v>0</v>
      </c>
      <c r="Q240" s="358"/>
      <c r="R240" s="424"/>
      <c r="S240" s="427"/>
      <c r="T240" s="348"/>
    </row>
    <row r="241" spans="1:20" x14ac:dyDescent="0.3">
      <c r="A241" s="318"/>
      <c r="B241" s="324"/>
      <c r="C241" s="326"/>
      <c r="D241" s="291"/>
      <c r="E241" s="291"/>
      <c r="F241" s="291"/>
      <c r="G241" s="291"/>
      <c r="H241" s="291"/>
      <c r="I241" s="291"/>
      <c r="J241" s="291"/>
      <c r="K241" s="291"/>
      <c r="L241" s="291"/>
      <c r="M241" s="291"/>
      <c r="N241" s="291"/>
      <c r="O241" s="263"/>
      <c r="P241" s="327"/>
      <c r="Q241" s="291"/>
      <c r="R241" s="322"/>
      <c r="S241" s="325"/>
      <c r="T241" s="247"/>
    </row>
    <row r="242" spans="1:20" x14ac:dyDescent="0.3">
      <c r="A242" s="318"/>
      <c r="B242" s="324"/>
      <c r="C242" s="326"/>
      <c r="D242" s="291"/>
      <c r="E242" s="291"/>
      <c r="F242" s="291"/>
      <c r="G242" s="291"/>
      <c r="H242" s="291"/>
      <c r="I242" s="291"/>
      <c r="J242" s="291"/>
      <c r="K242" s="291"/>
      <c r="L242" s="291"/>
      <c r="M242" s="291"/>
      <c r="N242" s="291"/>
      <c r="O242" s="291"/>
      <c r="P242" s="328"/>
      <c r="Q242" s="291"/>
      <c r="R242" s="322"/>
      <c r="S242" s="325"/>
      <c r="T242" s="247"/>
    </row>
    <row r="243" spans="1:20" ht="18" x14ac:dyDescent="0.35">
      <c r="A243" s="318"/>
      <c r="B243" s="329" t="s">
        <v>129</v>
      </c>
      <c r="C243" s="326"/>
      <c r="D243" s="291"/>
      <c r="E243" s="291"/>
      <c r="F243" s="291"/>
      <c r="G243" s="291"/>
      <c r="H243" s="291"/>
      <c r="I243" s="291"/>
      <c r="J243" s="291"/>
      <c r="K243" s="291"/>
      <c r="L243" s="330"/>
      <c r="M243" s="291"/>
      <c r="N243" s="342" t="s">
        <v>291</v>
      </c>
      <c r="O243" s="330"/>
      <c r="P243" s="328"/>
      <c r="Q243" s="291"/>
      <c r="R243" s="322"/>
      <c r="S243" s="325"/>
      <c r="T243" s="247"/>
    </row>
    <row r="244" spans="1:20" ht="18" x14ac:dyDescent="0.35">
      <c r="A244" s="331"/>
      <c r="B244" s="332"/>
      <c r="C244" s="333"/>
      <c r="D244" s="277"/>
      <c r="E244" s="277"/>
      <c r="F244" s="277"/>
      <c r="G244" s="277"/>
      <c r="H244" s="277"/>
      <c r="I244" s="277"/>
      <c r="J244" s="277"/>
      <c r="K244" s="277"/>
      <c r="L244" s="334"/>
      <c r="M244" s="277"/>
      <c r="N244" s="277"/>
      <c r="O244" s="277"/>
      <c r="P244" s="335"/>
      <c r="Q244" s="277"/>
      <c r="R244" s="317"/>
      <c r="S244" s="336"/>
      <c r="T244" s="247"/>
    </row>
    <row r="245" spans="1:20" x14ac:dyDescent="0.3">
      <c r="A245" s="443"/>
      <c r="B245" s="452" t="s">
        <v>152</v>
      </c>
      <c r="C245" s="453"/>
      <c r="D245" s="453"/>
      <c r="E245" s="453"/>
      <c r="F245" s="453"/>
      <c r="G245" s="453"/>
      <c r="H245" s="453"/>
      <c r="I245" s="453"/>
      <c r="J245" s="453"/>
      <c r="K245" s="453"/>
      <c r="L245" s="453"/>
      <c r="M245" s="453"/>
      <c r="N245" s="469" t="s">
        <v>83</v>
      </c>
      <c r="O245" s="453" t="s">
        <v>84</v>
      </c>
      <c r="P245" s="469" t="s">
        <v>89</v>
      </c>
      <c r="Q245" s="453" t="s">
        <v>84</v>
      </c>
      <c r="R245" s="447"/>
      <c r="S245" s="470"/>
      <c r="T245" s="247"/>
    </row>
    <row r="246" spans="1:20" s="349" customFormat="1" x14ac:dyDescent="0.3">
      <c r="A246" s="344"/>
      <c r="B246" s="408" t="s">
        <v>72</v>
      </c>
      <c r="C246" s="471"/>
      <c r="D246" s="471"/>
      <c r="E246" s="471"/>
      <c r="F246" s="471"/>
      <c r="G246" s="471"/>
      <c r="H246" s="471"/>
      <c r="I246" s="471"/>
      <c r="J246" s="471"/>
      <c r="K246" s="471"/>
      <c r="L246" s="471"/>
      <c r="M246" s="471"/>
      <c r="N246" s="408">
        <f>+N258+N270+N282</f>
        <v>510</v>
      </c>
      <c r="O246" s="472">
        <f>N246/$N$255</f>
        <v>0.99804305283757333</v>
      </c>
      <c r="P246" s="411">
        <f t="shared" ref="P246:P253" si="5">+P258+P270+P282</f>
        <v>79840</v>
      </c>
      <c r="Q246" s="472">
        <f t="shared" ref="Q246:Q253" si="6">P246/$P$255</f>
        <v>0.99520099719538802</v>
      </c>
      <c r="R246" s="467"/>
      <c r="S246" s="473"/>
      <c r="T246" s="348"/>
    </row>
    <row r="247" spans="1:20" s="349" customFormat="1" x14ac:dyDescent="0.3">
      <c r="A247" s="365"/>
      <c r="B247" s="403" t="s">
        <v>73</v>
      </c>
      <c r="C247" s="429"/>
      <c r="D247" s="429"/>
      <c r="E247" s="429"/>
      <c r="F247" s="429"/>
      <c r="G247" s="429"/>
      <c r="H247" s="429"/>
      <c r="I247" s="429"/>
      <c r="J247" s="429"/>
      <c r="K247" s="429"/>
      <c r="L247" s="429"/>
      <c r="M247" s="429"/>
      <c r="N247" s="403">
        <f t="shared" ref="N247:N253" si="7">+N259+N271+N283</f>
        <v>0</v>
      </c>
      <c r="O247" s="430">
        <f t="shared" ref="O247:O253" si="8">N247/$N$255</f>
        <v>0</v>
      </c>
      <c r="P247" s="404">
        <f t="shared" si="5"/>
        <v>0</v>
      </c>
      <c r="Q247" s="430">
        <f t="shared" si="6"/>
        <v>0</v>
      </c>
      <c r="R247" s="424"/>
      <c r="S247" s="427"/>
      <c r="T247" s="348"/>
    </row>
    <row r="248" spans="1:20" s="349" customFormat="1" x14ac:dyDescent="0.3">
      <c r="A248" s="365"/>
      <c r="B248" s="403" t="s">
        <v>74</v>
      </c>
      <c r="C248" s="429"/>
      <c r="D248" s="429"/>
      <c r="E248" s="429"/>
      <c r="F248" s="429"/>
      <c r="G248" s="429"/>
      <c r="H248" s="429"/>
      <c r="I248" s="429"/>
      <c r="J248" s="429"/>
      <c r="K248" s="429"/>
      <c r="L248" s="429"/>
      <c r="M248" s="429"/>
      <c r="N248" s="403">
        <f t="shared" si="7"/>
        <v>0</v>
      </c>
      <c r="O248" s="430">
        <f t="shared" si="8"/>
        <v>0</v>
      </c>
      <c r="P248" s="404">
        <f t="shared" si="5"/>
        <v>0</v>
      </c>
      <c r="Q248" s="430">
        <f t="shared" si="6"/>
        <v>0</v>
      </c>
      <c r="R248" s="424"/>
      <c r="S248" s="427"/>
      <c r="T248" s="348"/>
    </row>
    <row r="249" spans="1:20" s="349" customFormat="1" x14ac:dyDescent="0.3">
      <c r="A249" s="365"/>
      <c r="B249" s="403" t="s">
        <v>119</v>
      </c>
      <c r="C249" s="429"/>
      <c r="D249" s="429"/>
      <c r="E249" s="429"/>
      <c r="F249" s="429"/>
      <c r="G249" s="429"/>
      <c r="H249" s="429"/>
      <c r="I249" s="429"/>
      <c r="J249" s="429"/>
      <c r="K249" s="429"/>
      <c r="L249" s="429"/>
      <c r="M249" s="429"/>
      <c r="N249" s="403">
        <f t="shared" si="7"/>
        <v>0</v>
      </c>
      <c r="O249" s="430">
        <f t="shared" si="8"/>
        <v>0</v>
      </c>
      <c r="P249" s="404">
        <f t="shared" si="5"/>
        <v>0</v>
      </c>
      <c r="Q249" s="430">
        <f t="shared" si="6"/>
        <v>0</v>
      </c>
      <c r="R249" s="424"/>
      <c r="S249" s="427"/>
      <c r="T249" s="348"/>
    </row>
    <row r="250" spans="1:20" s="349" customFormat="1" x14ac:dyDescent="0.3">
      <c r="A250" s="365"/>
      <c r="B250" s="403" t="s">
        <v>120</v>
      </c>
      <c r="C250" s="429"/>
      <c r="D250" s="429"/>
      <c r="E250" s="429"/>
      <c r="F250" s="429"/>
      <c r="G250" s="429"/>
      <c r="H250" s="429"/>
      <c r="I250" s="429"/>
      <c r="J250" s="429"/>
      <c r="K250" s="429"/>
      <c r="L250" s="429"/>
      <c r="M250" s="429"/>
      <c r="N250" s="403">
        <f t="shared" si="7"/>
        <v>1</v>
      </c>
      <c r="O250" s="430">
        <f t="shared" si="8"/>
        <v>1.9569471624266144E-3</v>
      </c>
      <c r="P250" s="404">
        <f t="shared" si="5"/>
        <v>385</v>
      </c>
      <c r="Q250" s="430">
        <f t="shared" si="6"/>
        <v>4.799002804612029E-3</v>
      </c>
      <c r="R250" s="424"/>
      <c r="S250" s="427"/>
      <c r="T250" s="348"/>
    </row>
    <row r="251" spans="1:20" s="349" customFormat="1" x14ac:dyDescent="0.3">
      <c r="A251" s="365"/>
      <c r="B251" s="403" t="s">
        <v>121</v>
      </c>
      <c r="C251" s="429"/>
      <c r="D251" s="429"/>
      <c r="E251" s="429"/>
      <c r="F251" s="429"/>
      <c r="G251" s="429"/>
      <c r="H251" s="429"/>
      <c r="I251" s="429"/>
      <c r="J251" s="429"/>
      <c r="K251" s="429"/>
      <c r="L251" s="429"/>
      <c r="M251" s="429"/>
      <c r="N251" s="403">
        <f t="shared" si="7"/>
        <v>0</v>
      </c>
      <c r="O251" s="430">
        <f t="shared" si="8"/>
        <v>0</v>
      </c>
      <c r="P251" s="404">
        <f t="shared" si="5"/>
        <v>0</v>
      </c>
      <c r="Q251" s="430">
        <f t="shared" si="6"/>
        <v>0</v>
      </c>
      <c r="R251" s="424"/>
      <c r="S251" s="427"/>
      <c r="T251" s="348"/>
    </row>
    <row r="252" spans="1:20" s="349" customFormat="1" x14ac:dyDescent="0.3">
      <c r="A252" s="365"/>
      <c r="B252" s="403" t="s">
        <v>122</v>
      </c>
      <c r="C252" s="429"/>
      <c r="D252" s="429"/>
      <c r="E252" s="429"/>
      <c r="F252" s="429"/>
      <c r="G252" s="429"/>
      <c r="H252" s="429"/>
      <c r="I252" s="429"/>
      <c r="J252" s="429"/>
      <c r="K252" s="429"/>
      <c r="L252" s="429"/>
      <c r="M252" s="429"/>
      <c r="N252" s="403">
        <f t="shared" si="7"/>
        <v>0</v>
      </c>
      <c r="O252" s="430">
        <f t="shared" si="8"/>
        <v>0</v>
      </c>
      <c r="P252" s="404">
        <f t="shared" si="5"/>
        <v>0</v>
      </c>
      <c r="Q252" s="430">
        <f t="shared" si="6"/>
        <v>0</v>
      </c>
      <c r="R252" s="424"/>
      <c r="S252" s="427"/>
      <c r="T252" s="348"/>
    </row>
    <row r="253" spans="1:20" s="349" customFormat="1" x14ac:dyDescent="0.3">
      <c r="A253" s="365"/>
      <c r="B253" s="403" t="s">
        <v>123</v>
      </c>
      <c r="C253" s="429"/>
      <c r="D253" s="429"/>
      <c r="E253" s="429"/>
      <c r="F253" s="429"/>
      <c r="G253" s="429"/>
      <c r="H253" s="429"/>
      <c r="I253" s="429"/>
      <c r="J253" s="429"/>
      <c r="K253" s="429"/>
      <c r="L253" s="429"/>
      <c r="M253" s="429"/>
      <c r="N253" s="403">
        <f t="shared" si="7"/>
        <v>0</v>
      </c>
      <c r="O253" s="430">
        <f t="shared" si="8"/>
        <v>0</v>
      </c>
      <c r="P253" s="404">
        <f t="shared" si="5"/>
        <v>0</v>
      </c>
      <c r="Q253" s="430">
        <f t="shared" si="6"/>
        <v>0</v>
      </c>
      <c r="R253" s="424"/>
      <c r="S253" s="427"/>
      <c r="T253" s="348"/>
    </row>
    <row r="254" spans="1:20" s="349" customFormat="1" x14ac:dyDescent="0.3">
      <c r="A254" s="365"/>
      <c r="B254" s="403"/>
      <c r="C254" s="429"/>
      <c r="D254" s="429"/>
      <c r="E254" s="429"/>
      <c r="F254" s="429"/>
      <c r="G254" s="429"/>
      <c r="H254" s="429"/>
      <c r="I254" s="429"/>
      <c r="J254" s="429"/>
      <c r="K254" s="429"/>
      <c r="L254" s="429"/>
      <c r="M254" s="429"/>
      <c r="N254" s="403"/>
      <c r="O254" s="430"/>
      <c r="P254" s="404"/>
      <c r="Q254" s="430"/>
      <c r="R254" s="424"/>
      <c r="S254" s="427"/>
      <c r="T254" s="348"/>
    </row>
    <row r="255" spans="1:20" s="349" customFormat="1" x14ac:dyDescent="0.3">
      <c r="A255" s="365"/>
      <c r="B255" s="358" t="s">
        <v>94</v>
      </c>
      <c r="C255" s="358"/>
      <c r="D255" s="431"/>
      <c r="E255" s="431"/>
      <c r="F255" s="431"/>
      <c r="G255" s="431"/>
      <c r="H255" s="431"/>
      <c r="I255" s="431"/>
      <c r="J255" s="431"/>
      <c r="K255" s="431"/>
      <c r="L255" s="431"/>
      <c r="M255" s="431"/>
      <c r="N255" s="403">
        <f>SUM(N246:N254)</f>
        <v>511</v>
      </c>
      <c r="O255" s="430">
        <f>SUM(O246:O254)</f>
        <v>1</v>
      </c>
      <c r="P255" s="404">
        <f>SUM(P246:P254)</f>
        <v>80225</v>
      </c>
      <c r="Q255" s="430">
        <f>SUM(Q246:Q254)</f>
        <v>1</v>
      </c>
      <c r="R255" s="358"/>
      <c r="S255" s="361"/>
      <c r="T255" s="348"/>
    </row>
    <row r="256" spans="1:20" x14ac:dyDescent="0.3">
      <c r="A256" s="249"/>
      <c r="B256" s="316"/>
      <c r="C256" s="333"/>
      <c r="D256" s="277"/>
      <c r="E256" s="277"/>
      <c r="F256" s="277"/>
      <c r="G256" s="277"/>
      <c r="H256" s="277"/>
      <c r="I256" s="277"/>
      <c r="J256" s="277"/>
      <c r="K256" s="277"/>
      <c r="L256" s="277"/>
      <c r="M256" s="277"/>
      <c r="N256" s="277"/>
      <c r="O256" s="277"/>
      <c r="P256" s="335"/>
      <c r="Q256" s="277"/>
      <c r="R256" s="277"/>
      <c r="S256" s="252"/>
      <c r="T256" s="247"/>
    </row>
    <row r="257" spans="1:21" x14ac:dyDescent="0.3">
      <c r="A257" s="443"/>
      <c r="B257" s="452" t="s">
        <v>124</v>
      </c>
      <c r="C257" s="453"/>
      <c r="D257" s="453"/>
      <c r="E257" s="453"/>
      <c r="F257" s="453"/>
      <c r="G257" s="453"/>
      <c r="H257" s="453"/>
      <c r="I257" s="453"/>
      <c r="J257" s="453"/>
      <c r="K257" s="453"/>
      <c r="L257" s="453"/>
      <c r="M257" s="453"/>
      <c r="N257" s="469" t="s">
        <v>83</v>
      </c>
      <c r="O257" s="453" t="s">
        <v>84</v>
      </c>
      <c r="P257" s="469" t="s">
        <v>89</v>
      </c>
      <c r="Q257" s="453" t="s">
        <v>84</v>
      </c>
      <c r="R257" s="447"/>
      <c r="S257" s="470"/>
      <c r="T257" s="247"/>
    </row>
    <row r="258" spans="1:21" s="349" customFormat="1" x14ac:dyDescent="0.3">
      <c r="A258" s="344"/>
      <c r="B258" s="408" t="s">
        <v>72</v>
      </c>
      <c r="C258" s="471"/>
      <c r="D258" s="471"/>
      <c r="E258" s="471"/>
      <c r="F258" s="471"/>
      <c r="G258" s="471"/>
      <c r="H258" s="471"/>
      <c r="I258" s="471"/>
      <c r="J258" s="471"/>
      <c r="K258" s="471"/>
      <c r="L258" s="471"/>
      <c r="M258" s="471"/>
      <c r="N258" s="408">
        <v>510</v>
      </c>
      <c r="O258" s="472">
        <f>N258/$N$267</f>
        <v>0.99804305283757333</v>
      </c>
      <c r="P258" s="411">
        <v>79840</v>
      </c>
      <c r="Q258" s="472">
        <f>P258/$P$267</f>
        <v>0.99520099719538802</v>
      </c>
      <c r="R258" s="467"/>
      <c r="S258" s="473"/>
      <c r="T258" s="348"/>
    </row>
    <row r="259" spans="1:21" s="349" customFormat="1" x14ac:dyDescent="0.3">
      <c r="A259" s="365"/>
      <c r="B259" s="403" t="s">
        <v>73</v>
      </c>
      <c r="C259" s="429"/>
      <c r="D259" s="429"/>
      <c r="E259" s="429"/>
      <c r="F259" s="429"/>
      <c r="G259" s="429"/>
      <c r="H259" s="429"/>
      <c r="I259" s="429"/>
      <c r="J259" s="429"/>
      <c r="K259" s="429"/>
      <c r="L259" s="429"/>
      <c r="M259" s="429"/>
      <c r="N259" s="403">
        <v>0</v>
      </c>
      <c r="O259" s="430">
        <f t="shared" ref="O259:O265" si="9">N259/$N$267</f>
        <v>0</v>
      </c>
      <c r="P259" s="404">
        <v>0</v>
      </c>
      <c r="Q259" s="430">
        <f t="shared" ref="Q259:Q265" si="10">P259/$P$267</f>
        <v>0</v>
      </c>
      <c r="R259" s="424"/>
      <c r="S259" s="427"/>
      <c r="T259" s="348"/>
      <c r="U259" s="407"/>
    </row>
    <row r="260" spans="1:21" s="349" customFormat="1" x14ac:dyDescent="0.3">
      <c r="A260" s="365"/>
      <c r="B260" s="403" t="s">
        <v>74</v>
      </c>
      <c r="C260" s="429"/>
      <c r="D260" s="429"/>
      <c r="E260" s="429"/>
      <c r="F260" s="429"/>
      <c r="G260" s="429"/>
      <c r="H260" s="429"/>
      <c r="I260" s="429"/>
      <c r="J260" s="429"/>
      <c r="K260" s="429"/>
      <c r="L260" s="429"/>
      <c r="M260" s="429"/>
      <c r="N260" s="403">
        <v>0</v>
      </c>
      <c r="O260" s="430">
        <f t="shared" si="9"/>
        <v>0</v>
      </c>
      <c r="P260" s="404">
        <v>0</v>
      </c>
      <c r="Q260" s="430">
        <f t="shared" si="10"/>
        <v>0</v>
      </c>
      <c r="R260" s="424"/>
      <c r="S260" s="427"/>
      <c r="T260" s="348"/>
    </row>
    <row r="261" spans="1:21" s="349" customFormat="1" x14ac:dyDescent="0.3">
      <c r="A261" s="365"/>
      <c r="B261" s="403" t="s">
        <v>119</v>
      </c>
      <c r="C261" s="429"/>
      <c r="D261" s="429"/>
      <c r="E261" s="429"/>
      <c r="F261" s="429"/>
      <c r="G261" s="429"/>
      <c r="H261" s="429"/>
      <c r="I261" s="429"/>
      <c r="J261" s="429"/>
      <c r="K261" s="429"/>
      <c r="L261" s="429"/>
      <c r="M261" s="429"/>
      <c r="N261" s="403">
        <v>0</v>
      </c>
      <c r="O261" s="430">
        <f t="shared" si="9"/>
        <v>0</v>
      </c>
      <c r="P261" s="404">
        <v>0</v>
      </c>
      <c r="Q261" s="430">
        <f t="shared" si="10"/>
        <v>0</v>
      </c>
      <c r="R261" s="424"/>
      <c r="S261" s="427"/>
      <c r="T261" s="348"/>
      <c r="U261" s="407"/>
    </row>
    <row r="262" spans="1:21" s="349" customFormat="1" x14ac:dyDescent="0.3">
      <c r="A262" s="365"/>
      <c r="B262" s="403" t="s">
        <v>120</v>
      </c>
      <c r="C262" s="429"/>
      <c r="D262" s="429"/>
      <c r="E262" s="429"/>
      <c r="F262" s="429"/>
      <c r="G262" s="429"/>
      <c r="H262" s="429"/>
      <c r="I262" s="429"/>
      <c r="J262" s="429"/>
      <c r="K262" s="429"/>
      <c r="L262" s="429"/>
      <c r="M262" s="429"/>
      <c r="N262" s="403">
        <v>1</v>
      </c>
      <c r="O262" s="430">
        <f t="shared" si="9"/>
        <v>1.9569471624266144E-3</v>
      </c>
      <c r="P262" s="404">
        <v>385</v>
      </c>
      <c r="Q262" s="430">
        <f t="shared" si="10"/>
        <v>4.799002804612029E-3</v>
      </c>
      <c r="R262" s="424"/>
      <c r="S262" s="427"/>
      <c r="T262" s="348"/>
    </row>
    <row r="263" spans="1:21" s="349" customFormat="1" x14ac:dyDescent="0.3">
      <c r="A263" s="365"/>
      <c r="B263" s="403" t="s">
        <v>121</v>
      </c>
      <c r="C263" s="429"/>
      <c r="D263" s="429"/>
      <c r="E263" s="429"/>
      <c r="F263" s="429"/>
      <c r="G263" s="429"/>
      <c r="H263" s="429"/>
      <c r="I263" s="429"/>
      <c r="J263" s="429"/>
      <c r="K263" s="429"/>
      <c r="L263" s="429"/>
      <c r="M263" s="429"/>
      <c r="N263" s="403">
        <v>0</v>
      </c>
      <c r="O263" s="430">
        <f t="shared" si="9"/>
        <v>0</v>
      </c>
      <c r="P263" s="404">
        <v>0</v>
      </c>
      <c r="Q263" s="430">
        <f t="shared" si="10"/>
        <v>0</v>
      </c>
      <c r="R263" s="424"/>
      <c r="S263" s="427"/>
      <c r="T263" s="348"/>
      <c r="U263" s="407"/>
    </row>
    <row r="264" spans="1:21" s="349" customFormat="1" x14ac:dyDescent="0.3">
      <c r="A264" s="365"/>
      <c r="B264" s="403" t="s">
        <v>122</v>
      </c>
      <c r="C264" s="429"/>
      <c r="D264" s="429"/>
      <c r="E264" s="429"/>
      <c r="F264" s="429"/>
      <c r="G264" s="429"/>
      <c r="H264" s="429"/>
      <c r="I264" s="429"/>
      <c r="J264" s="429"/>
      <c r="K264" s="429"/>
      <c r="L264" s="429"/>
      <c r="M264" s="429"/>
      <c r="N264" s="403">
        <v>0</v>
      </c>
      <c r="O264" s="430">
        <f t="shared" si="9"/>
        <v>0</v>
      </c>
      <c r="P264" s="404">
        <v>0</v>
      </c>
      <c r="Q264" s="430">
        <f t="shared" si="10"/>
        <v>0</v>
      </c>
      <c r="R264" s="424"/>
      <c r="S264" s="427"/>
      <c r="T264" s="348"/>
    </row>
    <row r="265" spans="1:21" s="349" customFormat="1" x14ac:dyDescent="0.3">
      <c r="A265" s="365"/>
      <c r="B265" s="403" t="s">
        <v>123</v>
      </c>
      <c r="C265" s="429"/>
      <c r="D265" s="429"/>
      <c r="E265" s="429"/>
      <c r="F265" s="429"/>
      <c r="G265" s="429"/>
      <c r="H265" s="429"/>
      <c r="I265" s="429"/>
      <c r="J265" s="429"/>
      <c r="K265" s="429"/>
      <c r="L265" s="429"/>
      <c r="M265" s="429"/>
      <c r="N265" s="403">
        <v>0</v>
      </c>
      <c r="O265" s="430">
        <f t="shared" si="9"/>
        <v>0</v>
      </c>
      <c r="P265" s="404">
        <v>0</v>
      </c>
      <c r="Q265" s="430">
        <f t="shared" si="10"/>
        <v>0</v>
      </c>
      <c r="R265" s="424"/>
      <c r="S265" s="427"/>
      <c r="T265" s="348"/>
      <c r="U265" s="407"/>
    </row>
    <row r="266" spans="1:21" s="349" customFormat="1" x14ac:dyDescent="0.3">
      <c r="A266" s="365"/>
      <c r="B266" s="403"/>
      <c r="C266" s="429"/>
      <c r="D266" s="429"/>
      <c r="E266" s="429"/>
      <c r="F266" s="429"/>
      <c r="G266" s="429"/>
      <c r="H266" s="429"/>
      <c r="I266" s="429"/>
      <c r="J266" s="429"/>
      <c r="K266" s="429"/>
      <c r="L266" s="429"/>
      <c r="M266" s="429"/>
      <c r="N266" s="403"/>
      <c r="O266" s="430"/>
      <c r="P266" s="404"/>
      <c r="Q266" s="430"/>
      <c r="R266" s="424"/>
      <c r="S266" s="427"/>
      <c r="T266" s="348"/>
    </row>
    <row r="267" spans="1:21" s="349" customFormat="1" x14ac:dyDescent="0.3">
      <c r="A267" s="365"/>
      <c r="B267" s="358" t="s">
        <v>94</v>
      </c>
      <c r="C267" s="358"/>
      <c r="D267" s="431"/>
      <c r="E267" s="431"/>
      <c r="F267" s="431"/>
      <c r="G267" s="431"/>
      <c r="H267" s="431"/>
      <c r="I267" s="431"/>
      <c r="J267" s="431"/>
      <c r="K267" s="431"/>
      <c r="L267" s="431"/>
      <c r="M267" s="431"/>
      <c r="N267" s="403">
        <f>SUM(N258:N266)</f>
        <v>511</v>
      </c>
      <c r="O267" s="430">
        <f>SUM(O258:O266)</f>
        <v>1</v>
      </c>
      <c r="P267" s="404">
        <f>SUM(P258:P266)</f>
        <v>80225</v>
      </c>
      <c r="Q267" s="430">
        <f>SUM(Q258:Q266)</f>
        <v>1</v>
      </c>
      <c r="R267" s="358"/>
      <c r="S267" s="361"/>
      <c r="T267" s="348"/>
    </row>
    <row r="268" spans="1:21" x14ac:dyDescent="0.3">
      <c r="A268" s="249"/>
      <c r="B268" s="277"/>
      <c r="C268" s="277"/>
      <c r="D268" s="337"/>
      <c r="E268" s="337"/>
      <c r="F268" s="337"/>
      <c r="G268" s="337"/>
      <c r="H268" s="337"/>
      <c r="I268" s="337"/>
      <c r="J268" s="337"/>
      <c r="K268" s="337"/>
      <c r="L268" s="337"/>
      <c r="M268" s="337"/>
      <c r="N268" s="287"/>
      <c r="O268" s="338"/>
      <c r="P268" s="339"/>
      <c r="Q268" s="338"/>
      <c r="R268" s="277"/>
      <c r="S268" s="252"/>
      <c r="T268" s="247"/>
    </row>
    <row r="269" spans="1:21" x14ac:dyDescent="0.3">
      <c r="A269" s="443"/>
      <c r="B269" s="452" t="s">
        <v>146</v>
      </c>
      <c r="C269" s="453"/>
      <c r="D269" s="453"/>
      <c r="E269" s="453"/>
      <c r="F269" s="453"/>
      <c r="G269" s="453"/>
      <c r="H269" s="453"/>
      <c r="I269" s="453"/>
      <c r="J269" s="453"/>
      <c r="K269" s="453"/>
      <c r="L269" s="453"/>
      <c r="M269" s="453"/>
      <c r="N269" s="469" t="s">
        <v>83</v>
      </c>
      <c r="O269" s="453" t="s">
        <v>84</v>
      </c>
      <c r="P269" s="469" t="s">
        <v>89</v>
      </c>
      <c r="Q269" s="453" t="s">
        <v>84</v>
      </c>
      <c r="R269" s="447"/>
      <c r="S269" s="445"/>
      <c r="T269" s="247"/>
    </row>
    <row r="270" spans="1:21" s="349" customFormat="1" x14ac:dyDescent="0.3">
      <c r="A270" s="344"/>
      <c r="B270" s="408" t="s">
        <v>72</v>
      </c>
      <c r="C270" s="471"/>
      <c r="D270" s="471"/>
      <c r="E270" s="471"/>
      <c r="F270" s="471"/>
      <c r="G270" s="471"/>
      <c r="H270" s="471"/>
      <c r="I270" s="471"/>
      <c r="J270" s="471"/>
      <c r="K270" s="471"/>
      <c r="L270" s="471"/>
      <c r="M270" s="471"/>
      <c r="N270" s="408">
        <v>0</v>
      </c>
      <c r="O270" s="472">
        <v>0</v>
      </c>
      <c r="P270" s="411">
        <v>0</v>
      </c>
      <c r="Q270" s="472">
        <v>0</v>
      </c>
      <c r="R270" s="393"/>
      <c r="S270" s="347"/>
      <c r="T270" s="348"/>
    </row>
    <row r="271" spans="1:21" s="349" customFormat="1" x14ac:dyDescent="0.3">
      <c r="A271" s="365"/>
      <c r="B271" s="403" t="s">
        <v>73</v>
      </c>
      <c r="C271" s="429"/>
      <c r="D271" s="429"/>
      <c r="E271" s="429"/>
      <c r="F271" s="429"/>
      <c r="G271" s="429"/>
      <c r="H271" s="429"/>
      <c r="I271" s="429"/>
      <c r="J271" s="429"/>
      <c r="K271" s="429"/>
      <c r="L271" s="429"/>
      <c r="M271" s="429"/>
      <c r="N271" s="403">
        <v>0</v>
      </c>
      <c r="O271" s="430">
        <v>0</v>
      </c>
      <c r="P271" s="404">
        <v>0</v>
      </c>
      <c r="Q271" s="430">
        <v>0</v>
      </c>
      <c r="R271" s="358"/>
      <c r="S271" s="361"/>
      <c r="T271" s="348"/>
    </row>
    <row r="272" spans="1:21" s="349" customFormat="1" x14ac:dyDescent="0.3">
      <c r="A272" s="365"/>
      <c r="B272" s="403" t="s">
        <v>74</v>
      </c>
      <c r="C272" s="429"/>
      <c r="D272" s="429"/>
      <c r="E272" s="429"/>
      <c r="F272" s="429"/>
      <c r="G272" s="429"/>
      <c r="H272" s="429"/>
      <c r="I272" s="429"/>
      <c r="J272" s="429"/>
      <c r="K272" s="429"/>
      <c r="L272" s="429"/>
      <c r="M272" s="429"/>
      <c r="N272" s="403">
        <v>0</v>
      </c>
      <c r="O272" s="430">
        <v>0</v>
      </c>
      <c r="P272" s="404">
        <v>0</v>
      </c>
      <c r="Q272" s="430">
        <v>0</v>
      </c>
      <c r="R272" s="358"/>
      <c r="S272" s="361"/>
      <c r="T272" s="348"/>
    </row>
    <row r="273" spans="1:20" s="349" customFormat="1" x14ac:dyDescent="0.3">
      <c r="A273" s="365"/>
      <c r="B273" s="403" t="s">
        <v>119</v>
      </c>
      <c r="C273" s="429"/>
      <c r="D273" s="429"/>
      <c r="E273" s="429"/>
      <c r="F273" s="429"/>
      <c r="G273" s="429"/>
      <c r="H273" s="429"/>
      <c r="I273" s="429"/>
      <c r="J273" s="429"/>
      <c r="K273" s="429"/>
      <c r="L273" s="429"/>
      <c r="M273" s="429"/>
      <c r="N273" s="403">
        <v>0</v>
      </c>
      <c r="O273" s="430">
        <v>0</v>
      </c>
      <c r="P273" s="404">
        <v>0</v>
      </c>
      <c r="Q273" s="430">
        <v>0</v>
      </c>
      <c r="R273" s="358"/>
      <c r="S273" s="361"/>
      <c r="T273" s="348"/>
    </row>
    <row r="274" spans="1:20" s="349" customFormat="1" x14ac:dyDescent="0.3">
      <c r="A274" s="365"/>
      <c r="B274" s="403" t="s">
        <v>120</v>
      </c>
      <c r="C274" s="429"/>
      <c r="D274" s="429"/>
      <c r="E274" s="429"/>
      <c r="F274" s="429"/>
      <c r="G274" s="429"/>
      <c r="H274" s="429"/>
      <c r="I274" s="429"/>
      <c r="J274" s="429"/>
      <c r="K274" s="429"/>
      <c r="L274" s="429"/>
      <c r="M274" s="429"/>
      <c r="N274" s="403">
        <v>0</v>
      </c>
      <c r="O274" s="430">
        <v>0</v>
      </c>
      <c r="P274" s="404">
        <v>0</v>
      </c>
      <c r="Q274" s="430">
        <v>0</v>
      </c>
      <c r="R274" s="358"/>
      <c r="S274" s="361"/>
      <c r="T274" s="348"/>
    </row>
    <row r="275" spans="1:20" s="349" customFormat="1" x14ac:dyDescent="0.3">
      <c r="A275" s="365"/>
      <c r="B275" s="403" t="s">
        <v>121</v>
      </c>
      <c r="C275" s="429"/>
      <c r="D275" s="429"/>
      <c r="E275" s="429"/>
      <c r="F275" s="429"/>
      <c r="G275" s="429"/>
      <c r="H275" s="429"/>
      <c r="I275" s="429"/>
      <c r="J275" s="429"/>
      <c r="K275" s="429"/>
      <c r="L275" s="429"/>
      <c r="M275" s="429"/>
      <c r="N275" s="403">
        <v>0</v>
      </c>
      <c r="O275" s="430">
        <v>0</v>
      </c>
      <c r="P275" s="404">
        <v>0</v>
      </c>
      <c r="Q275" s="430">
        <v>0</v>
      </c>
      <c r="R275" s="358"/>
      <c r="S275" s="361"/>
      <c r="T275" s="348"/>
    </row>
    <row r="276" spans="1:20" s="349" customFormat="1" x14ac:dyDescent="0.3">
      <c r="A276" s="365"/>
      <c r="B276" s="403" t="s">
        <v>122</v>
      </c>
      <c r="C276" s="429"/>
      <c r="D276" s="429"/>
      <c r="E276" s="429"/>
      <c r="F276" s="429"/>
      <c r="G276" s="429"/>
      <c r="H276" s="429"/>
      <c r="I276" s="429"/>
      <c r="J276" s="429"/>
      <c r="K276" s="429"/>
      <c r="L276" s="429"/>
      <c r="M276" s="429"/>
      <c r="N276" s="403">
        <v>0</v>
      </c>
      <c r="O276" s="430">
        <v>0</v>
      </c>
      <c r="P276" s="404">
        <v>0</v>
      </c>
      <c r="Q276" s="430">
        <v>0</v>
      </c>
      <c r="R276" s="358"/>
      <c r="S276" s="361"/>
      <c r="T276" s="348"/>
    </row>
    <row r="277" spans="1:20" s="349" customFormat="1" x14ac:dyDescent="0.3">
      <c r="A277" s="365"/>
      <c r="B277" s="403" t="s">
        <v>123</v>
      </c>
      <c r="C277" s="429"/>
      <c r="D277" s="429"/>
      <c r="E277" s="429"/>
      <c r="F277" s="429"/>
      <c r="G277" s="429"/>
      <c r="H277" s="429"/>
      <c r="I277" s="429"/>
      <c r="J277" s="429"/>
      <c r="K277" s="429"/>
      <c r="L277" s="429"/>
      <c r="M277" s="429"/>
      <c r="N277" s="403">
        <v>0</v>
      </c>
      <c r="O277" s="430">
        <v>0</v>
      </c>
      <c r="P277" s="404">
        <v>0</v>
      </c>
      <c r="Q277" s="430">
        <v>0</v>
      </c>
      <c r="R277" s="358"/>
      <c r="S277" s="361"/>
      <c r="T277" s="348"/>
    </row>
    <row r="278" spans="1:20" s="349" customFormat="1" x14ac:dyDescent="0.3">
      <c r="A278" s="365"/>
      <c r="B278" s="403"/>
      <c r="C278" s="429"/>
      <c r="D278" s="429"/>
      <c r="E278" s="429"/>
      <c r="F278" s="429"/>
      <c r="G278" s="429"/>
      <c r="H278" s="429"/>
      <c r="I278" s="429"/>
      <c r="J278" s="429"/>
      <c r="K278" s="429"/>
      <c r="L278" s="429"/>
      <c r="M278" s="429"/>
      <c r="N278" s="403"/>
      <c r="O278" s="430"/>
      <c r="P278" s="404"/>
      <c r="Q278" s="430"/>
      <c r="R278" s="358"/>
      <c r="S278" s="361"/>
      <c r="T278" s="348"/>
    </row>
    <row r="279" spans="1:20" s="349" customFormat="1" x14ac:dyDescent="0.3">
      <c r="A279" s="365"/>
      <c r="B279" s="358" t="s">
        <v>94</v>
      </c>
      <c r="C279" s="358"/>
      <c r="D279" s="431"/>
      <c r="E279" s="431"/>
      <c r="F279" s="431"/>
      <c r="G279" s="431"/>
      <c r="H279" s="431"/>
      <c r="I279" s="431"/>
      <c r="J279" s="431"/>
      <c r="K279" s="431"/>
      <c r="L279" s="431"/>
      <c r="M279" s="431"/>
      <c r="N279" s="403">
        <f>SUM(N270:N278)</f>
        <v>0</v>
      </c>
      <c r="O279" s="430">
        <f>SUM(O270:O278)</f>
        <v>0</v>
      </c>
      <c r="P279" s="404">
        <f>SUM(P270:P278)</f>
        <v>0</v>
      </c>
      <c r="Q279" s="430">
        <f>SUM(Q270:Q278)</f>
        <v>0</v>
      </c>
      <c r="R279" s="358"/>
      <c r="S279" s="361"/>
      <c r="T279" s="348"/>
    </row>
    <row r="280" spans="1:20" x14ac:dyDescent="0.3">
      <c r="A280" s="249"/>
      <c r="B280" s="277"/>
      <c r="C280" s="277"/>
      <c r="D280" s="337"/>
      <c r="E280" s="337"/>
      <c r="F280" s="337"/>
      <c r="G280" s="337"/>
      <c r="H280" s="337"/>
      <c r="I280" s="337"/>
      <c r="J280" s="337"/>
      <c r="K280" s="337"/>
      <c r="L280" s="337"/>
      <c r="M280" s="337"/>
      <c r="N280" s="287"/>
      <c r="O280" s="338"/>
      <c r="P280" s="339"/>
      <c r="Q280" s="338"/>
      <c r="R280" s="277"/>
      <c r="S280" s="252"/>
      <c r="T280" s="247"/>
    </row>
    <row r="281" spans="1:20" x14ac:dyDescent="0.3">
      <c r="A281" s="443"/>
      <c r="B281" s="452" t="s">
        <v>125</v>
      </c>
      <c r="C281" s="447"/>
      <c r="D281" s="475"/>
      <c r="E281" s="475"/>
      <c r="F281" s="475"/>
      <c r="G281" s="475"/>
      <c r="H281" s="475"/>
      <c r="I281" s="475"/>
      <c r="J281" s="475"/>
      <c r="K281" s="475"/>
      <c r="L281" s="475"/>
      <c r="M281" s="475"/>
      <c r="N281" s="469" t="s">
        <v>83</v>
      </c>
      <c r="O281" s="453" t="s">
        <v>84</v>
      </c>
      <c r="P281" s="469" t="s">
        <v>89</v>
      </c>
      <c r="Q281" s="453" t="s">
        <v>84</v>
      </c>
      <c r="R281" s="447"/>
      <c r="S281" s="445"/>
      <c r="T281" s="247"/>
    </row>
    <row r="282" spans="1:20" s="349" customFormat="1" x14ac:dyDescent="0.3">
      <c r="A282" s="344"/>
      <c r="B282" s="408" t="s">
        <v>72</v>
      </c>
      <c r="C282" s="393"/>
      <c r="D282" s="474"/>
      <c r="E282" s="474"/>
      <c r="F282" s="474"/>
      <c r="G282" s="474"/>
      <c r="H282" s="474"/>
      <c r="I282" s="474"/>
      <c r="J282" s="474"/>
      <c r="K282" s="474"/>
      <c r="L282" s="474"/>
      <c r="M282" s="474"/>
      <c r="N282" s="408">
        <v>0</v>
      </c>
      <c r="O282" s="472">
        <v>0</v>
      </c>
      <c r="P282" s="411">
        <v>0</v>
      </c>
      <c r="Q282" s="472">
        <v>0</v>
      </c>
      <c r="R282" s="393"/>
      <c r="S282" s="347"/>
      <c r="T282" s="348"/>
    </row>
    <row r="283" spans="1:20" s="349" customFormat="1" x14ac:dyDescent="0.3">
      <c r="A283" s="365"/>
      <c r="B283" s="403" t="s">
        <v>73</v>
      </c>
      <c r="C283" s="358"/>
      <c r="D283" s="431"/>
      <c r="E283" s="431"/>
      <c r="F283" s="431"/>
      <c r="G283" s="431"/>
      <c r="H283" s="431"/>
      <c r="I283" s="431"/>
      <c r="J283" s="431"/>
      <c r="K283" s="431"/>
      <c r="L283" s="431"/>
      <c r="M283" s="431"/>
      <c r="N283" s="403">
        <v>0</v>
      </c>
      <c r="O283" s="430">
        <v>0</v>
      </c>
      <c r="P283" s="404">
        <v>0</v>
      </c>
      <c r="Q283" s="430">
        <v>0</v>
      </c>
      <c r="R283" s="358"/>
      <c r="S283" s="361"/>
      <c r="T283" s="348"/>
    </row>
    <row r="284" spans="1:20" s="349" customFormat="1" x14ac:dyDescent="0.3">
      <c r="A284" s="365"/>
      <c r="B284" s="403" t="s">
        <v>74</v>
      </c>
      <c r="C284" s="358"/>
      <c r="D284" s="431"/>
      <c r="E284" s="431"/>
      <c r="F284" s="431"/>
      <c r="G284" s="431"/>
      <c r="H284" s="431"/>
      <c r="I284" s="431"/>
      <c r="J284" s="431"/>
      <c r="K284" s="431"/>
      <c r="L284" s="431"/>
      <c r="M284" s="431"/>
      <c r="N284" s="403">
        <v>0</v>
      </c>
      <c r="O284" s="430">
        <v>0</v>
      </c>
      <c r="P284" s="404">
        <v>0</v>
      </c>
      <c r="Q284" s="430">
        <v>0</v>
      </c>
      <c r="R284" s="358"/>
      <c r="S284" s="361"/>
      <c r="T284" s="348"/>
    </row>
    <row r="285" spans="1:20" s="349" customFormat="1" x14ac:dyDescent="0.3">
      <c r="A285" s="365"/>
      <c r="B285" s="403" t="s">
        <v>119</v>
      </c>
      <c r="C285" s="358"/>
      <c r="D285" s="431"/>
      <c r="E285" s="431"/>
      <c r="F285" s="431"/>
      <c r="G285" s="431"/>
      <c r="H285" s="431"/>
      <c r="I285" s="431"/>
      <c r="J285" s="431"/>
      <c r="K285" s="431"/>
      <c r="L285" s="431"/>
      <c r="M285" s="431"/>
      <c r="N285" s="403">
        <v>0</v>
      </c>
      <c r="O285" s="430">
        <v>0</v>
      </c>
      <c r="P285" s="404">
        <v>0</v>
      </c>
      <c r="Q285" s="430">
        <v>0</v>
      </c>
      <c r="R285" s="358"/>
      <c r="S285" s="361"/>
      <c r="T285" s="348"/>
    </row>
    <row r="286" spans="1:20" s="349" customFormat="1" x14ac:dyDescent="0.3">
      <c r="A286" s="365"/>
      <c r="B286" s="403" t="s">
        <v>120</v>
      </c>
      <c r="C286" s="358"/>
      <c r="D286" s="431"/>
      <c r="E286" s="431"/>
      <c r="F286" s="431"/>
      <c r="G286" s="431"/>
      <c r="H286" s="431"/>
      <c r="I286" s="431"/>
      <c r="J286" s="431"/>
      <c r="K286" s="431"/>
      <c r="L286" s="431"/>
      <c r="M286" s="431"/>
      <c r="N286" s="403">
        <v>0</v>
      </c>
      <c r="O286" s="430">
        <v>0</v>
      </c>
      <c r="P286" s="404">
        <v>0</v>
      </c>
      <c r="Q286" s="430">
        <v>0</v>
      </c>
      <c r="R286" s="358"/>
      <c r="S286" s="361"/>
      <c r="T286" s="348"/>
    </row>
    <row r="287" spans="1:20" s="349" customFormat="1" x14ac:dyDescent="0.3">
      <c r="A287" s="365"/>
      <c r="B287" s="403" t="s">
        <v>121</v>
      </c>
      <c r="C287" s="358"/>
      <c r="D287" s="431"/>
      <c r="E287" s="431"/>
      <c r="F287" s="431"/>
      <c r="G287" s="431"/>
      <c r="H287" s="431"/>
      <c r="I287" s="431"/>
      <c r="J287" s="431"/>
      <c r="K287" s="431"/>
      <c r="L287" s="431"/>
      <c r="M287" s="431"/>
      <c r="N287" s="403">
        <v>0</v>
      </c>
      <c r="O287" s="430">
        <v>0</v>
      </c>
      <c r="P287" s="404">
        <v>0</v>
      </c>
      <c r="Q287" s="430">
        <v>0</v>
      </c>
      <c r="R287" s="358"/>
      <c r="S287" s="361"/>
      <c r="T287" s="348"/>
    </row>
    <row r="288" spans="1:20" s="349" customFormat="1" x14ac:dyDescent="0.3">
      <c r="A288" s="365"/>
      <c r="B288" s="403" t="s">
        <v>122</v>
      </c>
      <c r="C288" s="358"/>
      <c r="D288" s="431"/>
      <c r="E288" s="431"/>
      <c r="F288" s="431"/>
      <c r="G288" s="431"/>
      <c r="H288" s="431"/>
      <c r="I288" s="431"/>
      <c r="J288" s="431"/>
      <c r="K288" s="431"/>
      <c r="L288" s="431"/>
      <c r="M288" s="431"/>
      <c r="N288" s="403">
        <v>0</v>
      </c>
      <c r="O288" s="430">
        <v>0</v>
      </c>
      <c r="P288" s="404">
        <v>0</v>
      </c>
      <c r="Q288" s="430">
        <v>0</v>
      </c>
      <c r="R288" s="358"/>
      <c r="S288" s="361"/>
      <c r="T288" s="348"/>
    </row>
    <row r="289" spans="1:20" s="349" customFormat="1" x14ac:dyDescent="0.3">
      <c r="A289" s="365"/>
      <c r="B289" s="403" t="s">
        <v>123</v>
      </c>
      <c r="C289" s="358"/>
      <c r="D289" s="431"/>
      <c r="E289" s="431"/>
      <c r="F289" s="431"/>
      <c r="G289" s="431"/>
      <c r="H289" s="431"/>
      <c r="I289" s="431"/>
      <c r="J289" s="431"/>
      <c r="K289" s="431"/>
      <c r="L289" s="431"/>
      <c r="M289" s="431"/>
      <c r="N289" s="403">
        <v>0</v>
      </c>
      <c r="O289" s="430">
        <v>0</v>
      </c>
      <c r="P289" s="404">
        <v>0</v>
      </c>
      <c r="Q289" s="430">
        <v>0</v>
      </c>
      <c r="R289" s="358"/>
      <c r="S289" s="361"/>
      <c r="T289" s="348"/>
    </row>
    <row r="290" spans="1:20" s="349" customFormat="1" x14ac:dyDescent="0.3">
      <c r="A290" s="365"/>
      <c r="B290" s="403"/>
      <c r="C290" s="358"/>
      <c r="D290" s="431"/>
      <c r="E290" s="431"/>
      <c r="F290" s="431"/>
      <c r="G290" s="431"/>
      <c r="H290" s="431"/>
      <c r="I290" s="431"/>
      <c r="J290" s="431"/>
      <c r="K290" s="431"/>
      <c r="L290" s="431"/>
      <c r="M290" s="431"/>
      <c r="N290" s="403"/>
      <c r="O290" s="430"/>
      <c r="P290" s="404"/>
      <c r="Q290" s="430"/>
      <c r="R290" s="358"/>
      <c r="S290" s="361"/>
      <c r="T290" s="348"/>
    </row>
    <row r="291" spans="1:20" s="349" customFormat="1" x14ac:dyDescent="0.3">
      <c r="A291" s="365"/>
      <c r="B291" s="358" t="s">
        <v>94</v>
      </c>
      <c r="C291" s="358"/>
      <c r="D291" s="431"/>
      <c r="E291" s="431"/>
      <c r="F291" s="431"/>
      <c r="G291" s="431"/>
      <c r="H291" s="431"/>
      <c r="I291" s="431"/>
      <c r="J291" s="431"/>
      <c r="K291" s="431"/>
      <c r="L291" s="431"/>
      <c r="M291" s="431"/>
      <c r="N291" s="403">
        <f>SUM(N282:N289)</f>
        <v>0</v>
      </c>
      <c r="O291" s="430">
        <f>SUM(O282:O289)</f>
        <v>0</v>
      </c>
      <c r="P291" s="404">
        <f>SUM(P282:P289)</f>
        <v>0</v>
      </c>
      <c r="Q291" s="430">
        <f>SUM(Q282:Q289)</f>
        <v>0</v>
      </c>
      <c r="R291" s="358"/>
      <c r="S291" s="361"/>
      <c r="T291" s="348"/>
    </row>
    <row r="292" spans="1:20" s="349" customFormat="1" x14ac:dyDescent="0.3">
      <c r="A292" s="365"/>
      <c r="B292" s="358"/>
      <c r="C292" s="358"/>
      <c r="D292" s="431"/>
      <c r="E292" s="431"/>
      <c r="F292" s="431"/>
      <c r="G292" s="431"/>
      <c r="H292" s="431"/>
      <c r="I292" s="431"/>
      <c r="J292" s="431"/>
      <c r="K292" s="431"/>
      <c r="L292" s="431"/>
      <c r="M292" s="431"/>
      <c r="N292" s="403"/>
      <c r="O292" s="430"/>
      <c r="P292" s="404"/>
      <c r="Q292" s="430"/>
      <c r="R292" s="358"/>
      <c r="S292" s="361"/>
      <c r="T292" s="348"/>
    </row>
    <row r="293" spans="1:20" s="349" customFormat="1" x14ac:dyDescent="0.3">
      <c r="A293" s="365"/>
      <c r="B293" s="362" t="s">
        <v>177</v>
      </c>
      <c r="C293" s="358"/>
      <c r="D293" s="431"/>
      <c r="E293" s="431"/>
      <c r="F293" s="431"/>
      <c r="G293" s="431"/>
      <c r="H293" s="431"/>
      <c r="I293" s="431"/>
      <c r="J293" s="431"/>
      <c r="K293" s="431"/>
      <c r="L293" s="431"/>
      <c r="M293" s="431"/>
      <c r="N293" s="432">
        <f>N291+N279+N267</f>
        <v>511</v>
      </c>
      <c r="O293" s="430"/>
      <c r="P293" s="433">
        <f>+P291+P279+P267</f>
        <v>80225</v>
      </c>
      <c r="Q293" s="430"/>
      <c r="R293" s="358"/>
      <c r="S293" s="361"/>
      <c r="T293" s="348"/>
    </row>
    <row r="294" spans="1:20" s="349" customFormat="1" x14ac:dyDescent="0.3">
      <c r="A294" s="365"/>
      <c r="B294" s="362" t="s">
        <v>217</v>
      </c>
      <c r="C294" s="362"/>
      <c r="D294" s="434"/>
      <c r="E294" s="434"/>
      <c r="F294" s="434"/>
      <c r="G294" s="434"/>
      <c r="H294" s="434"/>
      <c r="I294" s="434"/>
      <c r="J294" s="434"/>
      <c r="K294" s="434"/>
      <c r="L294" s="434"/>
      <c r="M294" s="434"/>
      <c r="N294" s="432"/>
      <c r="O294" s="435"/>
      <c r="P294" s="433">
        <f>+R180</f>
        <v>0</v>
      </c>
      <c r="Q294" s="430"/>
      <c r="R294" s="358"/>
      <c r="S294" s="361"/>
      <c r="T294" s="348"/>
    </row>
    <row r="295" spans="1:20" s="349" customFormat="1" x14ac:dyDescent="0.3">
      <c r="A295" s="365"/>
      <c r="B295" s="362" t="s">
        <v>126</v>
      </c>
      <c r="C295" s="362"/>
      <c r="D295" s="434"/>
      <c r="E295" s="434"/>
      <c r="F295" s="434"/>
      <c r="G295" s="434"/>
      <c r="H295" s="434"/>
      <c r="I295" s="434"/>
      <c r="J295" s="434"/>
      <c r="K295" s="434"/>
      <c r="L295" s="434"/>
      <c r="M295" s="434"/>
      <c r="N295" s="432"/>
      <c r="O295" s="435"/>
      <c r="P295" s="433">
        <f>+P293+P294</f>
        <v>80225</v>
      </c>
      <c r="Q295" s="430"/>
      <c r="R295" s="358"/>
      <c r="S295" s="361"/>
      <c r="T295" s="348"/>
    </row>
    <row r="296" spans="1:20" s="349" customFormat="1" x14ac:dyDescent="0.3">
      <c r="A296" s="365"/>
      <c r="B296" s="362" t="s">
        <v>176</v>
      </c>
      <c r="C296" s="358"/>
      <c r="D296" s="431"/>
      <c r="E296" s="431"/>
      <c r="F296" s="431"/>
      <c r="G296" s="431"/>
      <c r="H296" s="431"/>
      <c r="I296" s="431"/>
      <c r="J296" s="431"/>
      <c r="K296" s="431"/>
      <c r="L296" s="431"/>
      <c r="M296" s="431"/>
      <c r="N296" s="432"/>
      <c r="O296" s="430"/>
      <c r="P296" s="433">
        <f>+R80</f>
        <v>80225</v>
      </c>
      <c r="Q296" s="430"/>
      <c r="R296" s="358"/>
      <c r="S296" s="361"/>
      <c r="T296" s="348"/>
    </row>
    <row r="297" spans="1:20" s="349" customFormat="1" x14ac:dyDescent="0.3">
      <c r="A297" s="365"/>
      <c r="B297" s="362"/>
      <c r="C297" s="358"/>
      <c r="D297" s="431"/>
      <c r="E297" s="431"/>
      <c r="F297" s="431"/>
      <c r="G297" s="431"/>
      <c r="H297" s="431"/>
      <c r="I297" s="431"/>
      <c r="J297" s="431"/>
      <c r="K297" s="431"/>
      <c r="L297" s="431"/>
      <c r="M297" s="431"/>
      <c r="N297" s="432"/>
      <c r="O297" s="430"/>
      <c r="P297" s="433"/>
      <c r="Q297" s="430"/>
      <c r="R297" s="358"/>
      <c r="S297" s="361"/>
      <c r="T297" s="348"/>
    </row>
    <row r="298" spans="1:20" s="349" customFormat="1" x14ac:dyDescent="0.3">
      <c r="A298" s="365"/>
      <c r="B298" s="362" t="s">
        <v>202</v>
      </c>
      <c r="C298" s="358"/>
      <c r="D298" s="431"/>
      <c r="E298" s="431"/>
      <c r="F298" s="431"/>
      <c r="G298" s="431"/>
      <c r="H298" s="431"/>
      <c r="I298" s="431"/>
      <c r="J298" s="431"/>
      <c r="K298" s="431"/>
      <c r="L298" s="431"/>
      <c r="M298" s="431"/>
      <c r="N298" s="432"/>
      <c r="O298" s="430"/>
      <c r="P298" s="436">
        <f>(L33+R147)/R33</f>
        <v>0.18699959919924672</v>
      </c>
      <c r="Q298" s="430"/>
      <c r="R298" s="358"/>
      <c r="S298" s="361"/>
      <c r="T298" s="348"/>
    </row>
    <row r="299" spans="1:20" s="349" customFormat="1" x14ac:dyDescent="0.3">
      <c r="A299" s="344"/>
      <c r="B299" s="346"/>
      <c r="C299" s="346"/>
      <c r="D299" s="437"/>
      <c r="E299" s="437"/>
      <c r="F299" s="437"/>
      <c r="G299" s="437"/>
      <c r="H299" s="437"/>
      <c r="I299" s="437"/>
      <c r="J299" s="437"/>
      <c r="K299" s="437"/>
      <c r="L299" s="437"/>
      <c r="M299" s="437"/>
      <c r="N299" s="437"/>
      <c r="O299" s="437"/>
      <c r="P299" s="438"/>
      <c r="Q299" s="437"/>
      <c r="R299" s="346"/>
      <c r="S299" s="347"/>
      <c r="T299" s="348"/>
    </row>
    <row r="300" spans="1:20" s="349" customFormat="1" x14ac:dyDescent="0.3">
      <c r="A300" s="344"/>
      <c r="B300" s="350" t="s">
        <v>75</v>
      </c>
      <c r="C300" s="346"/>
      <c r="D300" s="439" t="s">
        <v>79</v>
      </c>
      <c r="E300" s="350"/>
      <c r="F300" s="350" t="s">
        <v>80</v>
      </c>
      <c r="G300" s="346"/>
      <c r="H300" s="350"/>
      <c r="I300" s="346"/>
      <c r="J300" s="346"/>
      <c r="K300" s="346"/>
      <c r="L300" s="346"/>
      <c r="M300" s="346"/>
      <c r="N300" s="346"/>
      <c r="O300" s="346"/>
      <c r="P300" s="346"/>
      <c r="Q300" s="346"/>
      <c r="R300" s="346"/>
      <c r="S300" s="347"/>
      <c r="T300" s="348"/>
    </row>
    <row r="301" spans="1:20" s="349" customFormat="1" x14ac:dyDescent="0.3">
      <c r="A301" s="344"/>
      <c r="B301" s="346"/>
      <c r="C301" s="346"/>
      <c r="D301" s="346"/>
      <c r="E301" s="346"/>
      <c r="F301" s="346"/>
      <c r="G301" s="346"/>
      <c r="H301" s="346"/>
      <c r="I301" s="346"/>
      <c r="J301" s="346"/>
      <c r="K301" s="346"/>
      <c r="L301" s="346"/>
      <c r="M301" s="346"/>
      <c r="N301" s="346"/>
      <c r="O301" s="346"/>
      <c r="P301" s="346"/>
      <c r="Q301" s="346"/>
      <c r="R301" s="346"/>
      <c r="S301" s="347"/>
      <c r="T301" s="348"/>
    </row>
    <row r="302" spans="1:20" s="349" customFormat="1" x14ac:dyDescent="0.3">
      <c r="A302" s="344"/>
      <c r="B302" s="350" t="s">
        <v>193</v>
      </c>
      <c r="C302" s="350"/>
      <c r="D302" s="440" t="s">
        <v>147</v>
      </c>
      <c r="E302" s="350"/>
      <c r="F302" s="441" t="s">
        <v>292</v>
      </c>
      <c r="G302" s="350"/>
      <c r="H302" s="350"/>
      <c r="I302" s="346"/>
      <c r="J302" s="346"/>
      <c r="K302" s="346"/>
      <c r="L302" s="346"/>
      <c r="M302" s="346"/>
      <c r="N302" s="346"/>
      <c r="O302" s="346"/>
      <c r="P302" s="346"/>
      <c r="Q302" s="346"/>
      <c r="R302" s="346"/>
      <c r="S302" s="347"/>
      <c r="T302" s="348"/>
    </row>
    <row r="303" spans="1:20" s="349" customFormat="1" x14ac:dyDescent="0.3">
      <c r="A303" s="344"/>
      <c r="B303" s="350" t="s">
        <v>194</v>
      </c>
      <c r="C303" s="350"/>
      <c r="D303" s="440" t="s">
        <v>114</v>
      </c>
      <c r="E303" s="350"/>
      <c r="F303" s="441" t="s">
        <v>293</v>
      </c>
      <c r="G303" s="350"/>
      <c r="H303" s="350"/>
      <c r="I303" s="346"/>
      <c r="J303" s="346"/>
      <c r="K303" s="346"/>
      <c r="L303" s="346"/>
      <c r="M303" s="346"/>
      <c r="N303" s="346"/>
      <c r="O303" s="346"/>
      <c r="P303" s="346"/>
      <c r="Q303" s="346"/>
      <c r="R303" s="346"/>
      <c r="S303" s="347"/>
      <c r="T303" s="348"/>
    </row>
    <row r="304" spans="1:20" x14ac:dyDescent="0.3">
      <c r="A304" s="340"/>
      <c r="B304" s="259"/>
      <c r="C304" s="259"/>
      <c r="D304" s="260"/>
      <c r="E304" s="260"/>
      <c r="F304" s="260"/>
      <c r="G304" s="260"/>
      <c r="H304" s="260"/>
      <c r="I304" s="260"/>
      <c r="J304" s="260"/>
      <c r="K304" s="260"/>
      <c r="L304" s="260"/>
      <c r="M304" s="260"/>
      <c r="N304" s="260"/>
      <c r="O304" s="260"/>
      <c r="P304" s="260"/>
      <c r="Q304" s="260"/>
      <c r="R304" s="260"/>
      <c r="S304" s="261"/>
      <c r="T304" s="247"/>
    </row>
    <row r="305" spans="1:20" x14ac:dyDescent="0.3">
      <c r="A305" s="340"/>
      <c r="B305" s="259"/>
      <c r="C305" s="259"/>
      <c r="D305" s="260"/>
      <c r="E305" s="260"/>
      <c r="F305" s="260"/>
      <c r="G305" s="260"/>
      <c r="H305" s="260"/>
      <c r="I305" s="260"/>
      <c r="J305" s="260"/>
      <c r="K305" s="260"/>
      <c r="L305" s="260"/>
      <c r="M305" s="260"/>
      <c r="N305" s="260"/>
      <c r="O305" s="260"/>
      <c r="P305" s="260"/>
      <c r="Q305" s="260"/>
      <c r="R305" s="260"/>
      <c r="S305" s="261"/>
      <c r="T305" s="247"/>
    </row>
    <row r="306" spans="1:20" ht="18.600000000000001" thickBot="1" x14ac:dyDescent="0.4">
      <c r="A306" s="340"/>
      <c r="B306" s="442" t="str">
        <f>B205</f>
        <v>PM22 INVESTOR REPORT QUARTER ENDING MAY 2018</v>
      </c>
      <c r="C306" s="259"/>
      <c r="D306" s="260"/>
      <c r="E306" s="260"/>
      <c r="F306" s="260"/>
      <c r="G306" s="260"/>
      <c r="H306" s="260"/>
      <c r="I306" s="260"/>
      <c r="J306" s="260"/>
      <c r="K306" s="260"/>
      <c r="L306" s="260"/>
      <c r="M306" s="260"/>
      <c r="N306" s="260"/>
      <c r="O306" s="260"/>
      <c r="P306" s="260"/>
      <c r="Q306" s="260"/>
      <c r="R306" s="260"/>
      <c r="S306" s="311"/>
      <c r="T306" s="247"/>
    </row>
    <row r="307" spans="1:20" x14ac:dyDescent="0.3">
      <c r="A307" s="341"/>
      <c r="B307" s="341"/>
      <c r="C307" s="341"/>
      <c r="D307" s="341"/>
      <c r="E307" s="341"/>
      <c r="F307" s="341"/>
      <c r="G307" s="341"/>
      <c r="H307" s="341"/>
      <c r="I307" s="341"/>
      <c r="J307" s="341"/>
      <c r="K307" s="341"/>
      <c r="L307" s="341"/>
      <c r="M307" s="341"/>
      <c r="N307" s="341"/>
      <c r="O307" s="341"/>
      <c r="P307" s="341"/>
      <c r="Q307" s="341"/>
      <c r="R307" s="341"/>
      <c r="S307" s="341"/>
    </row>
  </sheetData>
  <hyperlinks>
    <hyperlink ref="K9" r:id="rId1"/>
    <hyperlink ref="N243"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R307"/>
  <sheetViews>
    <sheetView showGridLines="0" showOutlineSymbols="0" zoomScale="70" zoomScaleNormal="70" workbookViewId="0"/>
  </sheetViews>
  <sheetFormatPr defaultColWidth="9.6328125" defaultRowHeight="15.6" x14ac:dyDescent="0.3"/>
  <cols>
    <col min="1" max="1" width="4" style="248" customWidth="1"/>
    <col min="2" max="2" width="71.1796875" style="248" customWidth="1"/>
    <col min="3" max="3" width="2.1796875" style="248" customWidth="1"/>
    <col min="4" max="4" width="16.1796875" style="248" customWidth="1"/>
    <col min="5" max="5" width="2.90625" style="248" customWidth="1"/>
    <col min="6" max="6" width="16.1796875" style="248" customWidth="1"/>
    <col min="7" max="7" width="2.1796875" style="248" customWidth="1"/>
    <col min="8" max="8" width="17.90625" style="248" customWidth="1"/>
    <col min="9" max="9" width="2.36328125" style="248" customWidth="1"/>
    <col min="10" max="10" width="14.90625" style="248" customWidth="1"/>
    <col min="11" max="11" width="2.36328125" style="248" customWidth="1"/>
    <col min="12" max="12" width="15.54296875" style="248" customWidth="1"/>
    <col min="13" max="13" width="2.1796875" style="248" customWidth="1"/>
    <col min="14" max="14" width="15.54296875" style="248" customWidth="1"/>
    <col min="15" max="16" width="12.6328125" style="248" customWidth="1"/>
    <col min="17" max="17" width="7.81640625" style="248" customWidth="1"/>
    <col min="18" max="18" width="14.6328125" style="248" customWidth="1"/>
    <col min="19" max="19" width="11.81640625" style="248" customWidth="1"/>
    <col min="20" max="16384" width="9.6328125" style="248"/>
  </cols>
  <sheetData>
    <row r="1" spans="1:20" ht="21" x14ac:dyDescent="0.4">
      <c r="A1" s="244"/>
      <c r="B1" s="343" t="s">
        <v>221</v>
      </c>
      <c r="C1" s="245"/>
      <c r="D1" s="245"/>
      <c r="E1" s="245"/>
      <c r="F1" s="245"/>
      <c r="G1" s="245"/>
      <c r="H1" s="245"/>
      <c r="I1" s="245"/>
      <c r="J1" s="245"/>
      <c r="K1" s="245"/>
      <c r="L1" s="245"/>
      <c r="M1" s="245"/>
      <c r="N1" s="245"/>
      <c r="O1" s="245"/>
      <c r="P1" s="245"/>
      <c r="Q1" s="245"/>
      <c r="R1" s="245"/>
      <c r="S1" s="246"/>
      <c r="T1" s="247"/>
    </row>
    <row r="2" spans="1:20" x14ac:dyDescent="0.3">
      <c r="A2" s="249"/>
      <c r="B2" s="250"/>
      <c r="C2" s="251"/>
      <c r="D2" s="251"/>
      <c r="E2" s="251"/>
      <c r="F2" s="251"/>
      <c r="G2" s="251"/>
      <c r="H2" s="251"/>
      <c r="I2" s="251"/>
      <c r="J2" s="251"/>
      <c r="K2" s="251"/>
      <c r="L2" s="251"/>
      <c r="M2" s="251"/>
      <c r="N2" s="251"/>
      <c r="O2" s="251"/>
      <c r="P2" s="251"/>
      <c r="Q2" s="251"/>
      <c r="R2" s="251"/>
      <c r="S2" s="252"/>
      <c r="T2" s="247"/>
    </row>
    <row r="3" spans="1:20" x14ac:dyDescent="0.3">
      <c r="A3" s="253"/>
      <c r="B3" s="254" t="s">
        <v>222</v>
      </c>
      <c r="C3" s="251"/>
      <c r="D3" s="251"/>
      <c r="E3" s="251"/>
      <c r="F3" s="251"/>
      <c r="G3" s="251"/>
      <c r="H3" s="251"/>
      <c r="I3" s="251"/>
      <c r="J3" s="251"/>
      <c r="K3" s="251"/>
      <c r="L3" s="251"/>
      <c r="M3" s="251"/>
      <c r="N3" s="251"/>
      <c r="O3" s="251"/>
      <c r="P3" s="251"/>
      <c r="Q3" s="251"/>
      <c r="R3" s="251"/>
      <c r="S3" s="252"/>
      <c r="T3" s="247"/>
    </row>
    <row r="4" spans="1:20" x14ac:dyDescent="0.3">
      <c r="A4" s="249"/>
      <c r="B4" s="250"/>
      <c r="C4" s="251"/>
      <c r="D4" s="251"/>
      <c r="E4" s="251"/>
      <c r="F4" s="251"/>
      <c r="G4" s="251"/>
      <c r="H4" s="251"/>
      <c r="I4" s="251"/>
      <c r="J4" s="251"/>
      <c r="K4" s="251"/>
      <c r="L4" s="251"/>
      <c r="M4" s="251"/>
      <c r="N4" s="251"/>
      <c r="O4" s="251"/>
      <c r="P4" s="251"/>
      <c r="Q4" s="251"/>
      <c r="R4" s="251"/>
      <c r="S4" s="252"/>
      <c r="T4" s="247"/>
    </row>
    <row r="5" spans="1:20" s="349" customFormat="1" x14ac:dyDescent="0.3">
      <c r="A5" s="344"/>
      <c r="B5" s="345" t="s">
        <v>109</v>
      </c>
      <c r="C5" s="346"/>
      <c r="D5" s="346"/>
      <c r="E5" s="346"/>
      <c r="F5" s="346"/>
      <c r="G5" s="346"/>
      <c r="H5" s="346"/>
      <c r="I5" s="346"/>
      <c r="J5" s="346"/>
      <c r="K5" s="346"/>
      <c r="L5" s="346"/>
      <c r="M5" s="346"/>
      <c r="N5" s="346"/>
      <c r="O5" s="346"/>
      <c r="P5" s="346"/>
      <c r="Q5" s="346"/>
      <c r="R5" s="346"/>
      <c r="S5" s="347"/>
      <c r="T5" s="348"/>
    </row>
    <row r="6" spans="1:20" s="349" customFormat="1" x14ac:dyDescent="0.3">
      <c r="A6" s="344"/>
      <c r="B6" s="345" t="s">
        <v>111</v>
      </c>
      <c r="C6" s="346"/>
      <c r="D6" s="346"/>
      <c r="E6" s="346"/>
      <c r="F6" s="346"/>
      <c r="G6" s="346"/>
      <c r="H6" s="346"/>
      <c r="I6" s="346"/>
      <c r="J6" s="346"/>
      <c r="K6" s="346"/>
      <c r="L6" s="346"/>
      <c r="M6" s="346"/>
      <c r="N6" s="346"/>
      <c r="O6" s="346"/>
      <c r="P6" s="346"/>
      <c r="Q6" s="346"/>
      <c r="R6" s="346"/>
      <c r="S6" s="347"/>
      <c r="T6" s="348"/>
    </row>
    <row r="7" spans="1:20" s="349" customFormat="1" x14ac:dyDescent="0.3">
      <c r="A7" s="344"/>
      <c r="B7" s="345" t="s">
        <v>110</v>
      </c>
      <c r="C7" s="346"/>
      <c r="D7" s="346"/>
      <c r="E7" s="346"/>
      <c r="F7" s="346"/>
      <c r="G7" s="346"/>
      <c r="H7" s="346"/>
      <c r="I7" s="346"/>
      <c r="J7" s="346"/>
      <c r="K7" s="346"/>
      <c r="L7" s="346"/>
      <c r="M7" s="346"/>
      <c r="N7" s="346"/>
      <c r="O7" s="346"/>
      <c r="P7" s="346"/>
      <c r="Q7" s="346"/>
      <c r="R7" s="346"/>
      <c r="S7" s="347"/>
      <c r="T7" s="348"/>
    </row>
    <row r="8" spans="1:20" x14ac:dyDescent="0.3">
      <c r="A8" s="249"/>
      <c r="B8" s="255"/>
      <c r="C8" s="251"/>
      <c r="D8" s="251"/>
      <c r="E8" s="251"/>
      <c r="F8" s="251"/>
      <c r="G8" s="251"/>
      <c r="H8" s="251"/>
      <c r="I8" s="251"/>
      <c r="J8" s="251"/>
      <c r="K8" s="251"/>
      <c r="L8" s="251"/>
      <c r="M8" s="251"/>
      <c r="N8" s="251"/>
      <c r="O8" s="251"/>
      <c r="P8" s="251"/>
      <c r="Q8" s="251"/>
      <c r="R8" s="251"/>
      <c r="S8" s="252"/>
      <c r="T8" s="247"/>
    </row>
    <row r="9" spans="1:20" ht="18" x14ac:dyDescent="0.35">
      <c r="A9" s="249"/>
      <c r="B9" s="256" t="s">
        <v>127</v>
      </c>
      <c r="C9" s="251"/>
      <c r="D9" s="251"/>
      <c r="E9" s="257"/>
      <c r="F9" s="251"/>
      <c r="G9" s="251"/>
      <c r="H9" s="257"/>
      <c r="I9" s="251"/>
      <c r="J9" s="257"/>
      <c r="K9" s="243" t="s">
        <v>291</v>
      </c>
      <c r="L9" s="257"/>
      <c r="M9" s="251"/>
      <c r="N9" s="251"/>
      <c r="O9" s="251"/>
      <c r="P9" s="251"/>
      <c r="Q9" s="251"/>
      <c r="R9" s="251"/>
      <c r="S9" s="252"/>
      <c r="T9" s="247"/>
    </row>
    <row r="10" spans="1:20" x14ac:dyDescent="0.3">
      <c r="A10" s="249"/>
      <c r="B10" s="255"/>
      <c r="C10" s="258"/>
      <c r="D10" s="251"/>
      <c r="E10" s="251"/>
      <c r="F10" s="251"/>
      <c r="G10" s="251"/>
      <c r="H10" s="251"/>
      <c r="I10" s="251"/>
      <c r="J10" s="251"/>
      <c r="K10" s="251"/>
      <c r="L10" s="251"/>
      <c r="M10" s="251"/>
      <c r="N10" s="251"/>
      <c r="O10" s="251"/>
      <c r="P10" s="251"/>
      <c r="Q10" s="251"/>
      <c r="R10" s="251"/>
      <c r="S10" s="252"/>
      <c r="T10" s="247"/>
    </row>
    <row r="11" spans="1:20" s="349" customFormat="1" x14ac:dyDescent="0.3">
      <c r="A11" s="344"/>
      <c r="B11" s="350" t="s">
        <v>0</v>
      </c>
      <c r="C11" s="346"/>
      <c r="D11" s="346"/>
      <c r="E11" s="346"/>
      <c r="F11" s="346"/>
      <c r="G11" s="346"/>
      <c r="H11" s="346"/>
      <c r="I11" s="346"/>
      <c r="J11" s="346"/>
      <c r="K11" s="346"/>
      <c r="L11" s="346"/>
      <c r="M11" s="346"/>
      <c r="N11" s="346"/>
      <c r="O11" s="346"/>
      <c r="P11" s="346"/>
      <c r="Q11" s="346"/>
      <c r="R11" s="346"/>
      <c r="S11" s="347"/>
      <c r="T11" s="348"/>
    </row>
    <row r="12" spans="1:20" ht="16.2" thickBot="1" x14ac:dyDescent="0.35">
      <c r="A12" s="249"/>
      <c r="B12" s="258"/>
      <c r="C12" s="251"/>
      <c r="D12" s="251"/>
      <c r="E12" s="251"/>
      <c r="F12" s="251"/>
      <c r="G12" s="251"/>
      <c r="H12" s="251"/>
      <c r="I12" s="251"/>
      <c r="J12" s="251"/>
      <c r="K12" s="251"/>
      <c r="L12" s="251"/>
      <c r="M12" s="251"/>
      <c r="N12" s="251"/>
      <c r="O12" s="251"/>
      <c r="P12" s="251"/>
      <c r="Q12" s="251"/>
      <c r="R12" s="251"/>
      <c r="S12" s="252"/>
      <c r="T12" s="247"/>
    </row>
    <row r="13" spans="1:20" x14ac:dyDescent="0.3">
      <c r="A13" s="244"/>
      <c r="B13" s="245"/>
      <c r="C13" s="245"/>
      <c r="D13" s="245"/>
      <c r="E13" s="245"/>
      <c r="F13" s="245"/>
      <c r="G13" s="245"/>
      <c r="H13" s="245"/>
      <c r="I13" s="245"/>
      <c r="J13" s="245"/>
      <c r="K13" s="245"/>
      <c r="L13" s="245"/>
      <c r="M13" s="245"/>
      <c r="N13" s="245"/>
      <c r="O13" s="245"/>
      <c r="P13" s="245"/>
      <c r="Q13" s="245"/>
      <c r="R13" s="245"/>
      <c r="S13" s="246"/>
      <c r="T13" s="247"/>
    </row>
    <row r="14" spans="1:20" s="349" customFormat="1" x14ac:dyDescent="0.3">
      <c r="A14" s="344"/>
      <c r="B14" s="350" t="s">
        <v>1</v>
      </c>
      <c r="C14" s="346"/>
      <c r="D14" s="346"/>
      <c r="E14" s="346"/>
      <c r="F14" s="346"/>
      <c r="G14" s="346"/>
      <c r="H14" s="346"/>
      <c r="I14" s="346"/>
      <c r="J14" s="346"/>
      <c r="K14" s="346"/>
      <c r="L14" s="346"/>
      <c r="M14" s="346"/>
      <c r="N14" s="346"/>
      <c r="O14" s="346"/>
      <c r="P14" s="346"/>
      <c r="Q14" s="346"/>
      <c r="R14" s="351" t="s">
        <v>223</v>
      </c>
      <c r="S14" s="347"/>
      <c r="T14" s="348"/>
    </row>
    <row r="15" spans="1:20" s="349" customFormat="1" x14ac:dyDescent="0.3">
      <c r="A15" s="344"/>
      <c r="B15" s="350" t="s">
        <v>2</v>
      </c>
      <c r="C15" s="346"/>
      <c r="D15" s="352"/>
      <c r="E15" s="352"/>
      <c r="F15" s="352"/>
      <c r="G15" s="352"/>
      <c r="H15" s="352"/>
      <c r="I15" s="352"/>
      <c r="J15" s="352"/>
      <c r="K15" s="352"/>
      <c r="L15" s="352"/>
      <c r="M15" s="352"/>
      <c r="N15" s="353"/>
      <c r="O15" s="353"/>
      <c r="P15" s="353" t="s">
        <v>154</v>
      </c>
      <c r="Q15" s="353">
        <v>1</v>
      </c>
      <c r="R15" s="351"/>
      <c r="S15" s="347"/>
      <c r="T15" s="348"/>
    </row>
    <row r="16" spans="1:20" s="349" customFormat="1" x14ac:dyDescent="0.3">
      <c r="A16" s="344"/>
      <c r="B16" s="350" t="s">
        <v>3</v>
      </c>
      <c r="C16" s="346"/>
      <c r="D16" s="352"/>
      <c r="E16" s="352"/>
      <c r="F16" s="352"/>
      <c r="G16" s="352"/>
      <c r="H16" s="352"/>
      <c r="I16" s="352"/>
      <c r="J16" s="352"/>
      <c r="K16" s="352"/>
      <c r="L16" s="352"/>
      <c r="M16" s="352"/>
      <c r="N16" s="353"/>
      <c r="O16" s="353"/>
      <c r="P16" s="353" t="s">
        <v>154</v>
      </c>
      <c r="Q16" s="353">
        <v>1</v>
      </c>
      <c r="R16" s="351"/>
      <c r="S16" s="347"/>
      <c r="T16" s="348"/>
    </row>
    <row r="17" spans="1:23" s="349" customFormat="1" x14ac:dyDescent="0.3">
      <c r="A17" s="344"/>
      <c r="B17" s="350" t="s">
        <v>4</v>
      </c>
      <c r="C17" s="346"/>
      <c r="D17" s="346"/>
      <c r="E17" s="346"/>
      <c r="F17" s="346"/>
      <c r="G17" s="346"/>
      <c r="H17" s="346"/>
      <c r="I17" s="346"/>
      <c r="J17" s="346"/>
      <c r="K17" s="346"/>
      <c r="L17" s="346"/>
      <c r="M17" s="346"/>
      <c r="N17" s="346"/>
      <c r="O17" s="346"/>
      <c r="P17" s="346"/>
      <c r="Q17" s="346"/>
      <c r="R17" s="354">
        <v>42088</v>
      </c>
      <c r="S17" s="347"/>
      <c r="T17" s="348"/>
    </row>
    <row r="18" spans="1:23" s="349" customFormat="1" x14ac:dyDescent="0.3">
      <c r="A18" s="344"/>
      <c r="B18" s="350" t="s">
        <v>5</v>
      </c>
      <c r="C18" s="346"/>
      <c r="D18" s="346"/>
      <c r="E18" s="346"/>
      <c r="F18" s="346"/>
      <c r="G18" s="346"/>
      <c r="H18" s="346"/>
      <c r="I18" s="346"/>
      <c r="J18" s="346"/>
      <c r="K18" s="346"/>
      <c r="L18" s="346"/>
      <c r="M18" s="346"/>
      <c r="N18" s="346"/>
      <c r="O18" s="346"/>
      <c r="P18" s="346"/>
      <c r="Q18" s="346"/>
      <c r="R18" s="354">
        <v>43364</v>
      </c>
      <c r="S18" s="347"/>
      <c r="T18" s="348"/>
    </row>
    <row r="19" spans="1:23" s="349" customFormat="1" x14ac:dyDescent="0.3">
      <c r="A19" s="344"/>
      <c r="B19" s="346"/>
      <c r="C19" s="346"/>
      <c r="D19" s="346"/>
      <c r="E19" s="346"/>
      <c r="F19" s="346"/>
      <c r="G19" s="346"/>
      <c r="H19" s="346"/>
      <c r="I19" s="346"/>
      <c r="J19" s="346"/>
      <c r="K19" s="346"/>
      <c r="L19" s="346"/>
      <c r="M19" s="346"/>
      <c r="N19" s="346"/>
      <c r="O19" s="346"/>
      <c r="P19" s="346"/>
      <c r="Q19" s="346"/>
      <c r="R19" s="355"/>
      <c r="S19" s="347"/>
      <c r="T19" s="348"/>
    </row>
    <row r="20" spans="1:23" s="349" customFormat="1" x14ac:dyDescent="0.3">
      <c r="A20" s="344"/>
      <c r="B20" s="356" t="s">
        <v>6</v>
      </c>
      <c r="C20" s="346"/>
      <c r="D20" s="346"/>
      <c r="E20" s="346"/>
      <c r="F20" s="346"/>
      <c r="G20" s="346"/>
      <c r="H20" s="346"/>
      <c r="I20" s="346"/>
      <c r="J20" s="346"/>
      <c r="K20" s="346"/>
      <c r="L20" s="346"/>
      <c r="M20" s="346"/>
      <c r="N20" s="346"/>
      <c r="O20" s="346"/>
      <c r="P20" s="355" t="s">
        <v>85</v>
      </c>
      <c r="Q20" s="346"/>
      <c r="R20" s="346"/>
      <c r="S20" s="347"/>
      <c r="T20" s="348"/>
    </row>
    <row r="21" spans="1:23" x14ac:dyDescent="0.3">
      <c r="A21" s="249"/>
      <c r="B21" s="251"/>
      <c r="C21" s="251"/>
      <c r="D21" s="251"/>
      <c r="E21" s="251"/>
      <c r="F21" s="251"/>
      <c r="G21" s="251"/>
      <c r="H21" s="251"/>
      <c r="I21" s="251"/>
      <c r="J21" s="251"/>
      <c r="K21" s="251"/>
      <c r="L21" s="251"/>
      <c r="M21" s="251"/>
      <c r="N21" s="251"/>
      <c r="O21" s="251"/>
      <c r="P21" s="251"/>
      <c r="Q21" s="251"/>
      <c r="R21" s="262"/>
      <c r="S21" s="252"/>
      <c r="T21" s="247"/>
    </row>
    <row r="22" spans="1:23" x14ac:dyDescent="0.3">
      <c r="A22" s="443"/>
      <c r="B22" s="447"/>
      <c r="C22" s="448"/>
      <c r="D22" s="448" t="s">
        <v>232</v>
      </c>
      <c r="E22" s="448"/>
      <c r="F22" s="448" t="s">
        <v>233</v>
      </c>
      <c r="G22" s="448"/>
      <c r="H22" s="448" t="s">
        <v>179</v>
      </c>
      <c r="I22" s="448"/>
      <c r="J22" s="448" t="s">
        <v>180</v>
      </c>
      <c r="K22" s="448"/>
      <c r="L22" s="448" t="s">
        <v>234</v>
      </c>
      <c r="M22" s="448"/>
      <c r="N22" s="448"/>
      <c r="O22" s="449"/>
      <c r="P22" s="449"/>
      <c r="Q22" s="447"/>
      <c r="R22" s="447"/>
      <c r="S22" s="445"/>
      <c r="T22" s="247"/>
    </row>
    <row r="23" spans="1:23" s="349" customFormat="1" x14ac:dyDescent="0.3">
      <c r="A23" s="344"/>
      <c r="B23" s="393" t="s">
        <v>226</v>
      </c>
      <c r="C23" s="446"/>
      <c r="D23" s="446" t="s">
        <v>112</v>
      </c>
      <c r="E23" s="446"/>
      <c r="F23" s="446" t="s">
        <v>112</v>
      </c>
      <c r="G23" s="446"/>
      <c r="H23" s="446" t="s">
        <v>178</v>
      </c>
      <c r="I23" s="446"/>
      <c r="J23" s="446" t="s">
        <v>249</v>
      </c>
      <c r="K23" s="446"/>
      <c r="L23" s="446" t="s">
        <v>153</v>
      </c>
      <c r="M23" s="446"/>
      <c r="N23" s="446"/>
      <c r="O23" s="446"/>
      <c r="P23" s="446"/>
      <c r="Q23" s="393"/>
      <c r="R23" s="393"/>
      <c r="S23" s="347"/>
      <c r="T23" s="348"/>
    </row>
    <row r="24" spans="1:23" s="349" customFormat="1" x14ac:dyDescent="0.3">
      <c r="A24" s="357"/>
      <c r="B24" s="358" t="s">
        <v>197</v>
      </c>
      <c r="C24" s="359"/>
      <c r="D24" s="360" t="s">
        <v>199</v>
      </c>
      <c r="E24" s="360"/>
      <c r="F24" s="360" t="s">
        <v>199</v>
      </c>
      <c r="G24" s="360"/>
      <c r="H24" s="360" t="s">
        <v>200</v>
      </c>
      <c r="I24" s="360"/>
      <c r="J24" s="360" t="s">
        <v>201</v>
      </c>
      <c r="K24" s="360"/>
      <c r="L24" s="360" t="s">
        <v>153</v>
      </c>
      <c r="M24" s="360"/>
      <c r="N24" s="360"/>
      <c r="O24" s="359"/>
      <c r="P24" s="360"/>
      <c r="Q24" s="358"/>
      <c r="R24" s="358"/>
      <c r="S24" s="361"/>
      <c r="T24" s="348"/>
    </row>
    <row r="25" spans="1:23" s="349" customFormat="1" x14ac:dyDescent="0.3">
      <c r="A25" s="357"/>
      <c r="B25" s="362" t="s">
        <v>227</v>
      </c>
      <c r="C25" s="359"/>
      <c r="D25" s="359" t="s">
        <v>112</v>
      </c>
      <c r="E25" s="359"/>
      <c r="F25" s="359" t="s">
        <v>112</v>
      </c>
      <c r="G25" s="359"/>
      <c r="H25" s="359" t="s">
        <v>112</v>
      </c>
      <c r="I25" s="359"/>
      <c r="J25" s="359" t="s">
        <v>178</v>
      </c>
      <c r="K25" s="359"/>
      <c r="L25" s="359" t="s">
        <v>153</v>
      </c>
      <c r="M25" s="359"/>
      <c r="N25" s="359"/>
      <c r="O25" s="359"/>
      <c r="P25" s="360"/>
      <c r="Q25" s="358"/>
      <c r="R25" s="358"/>
      <c r="S25" s="361"/>
      <c r="T25" s="348"/>
      <c r="U25" s="363"/>
      <c r="W25" s="364"/>
    </row>
    <row r="26" spans="1:23" s="349" customFormat="1" x14ac:dyDescent="0.3">
      <c r="A26" s="365"/>
      <c r="B26" s="362" t="s">
        <v>198</v>
      </c>
      <c r="C26" s="360"/>
      <c r="D26" s="359" t="s">
        <v>199</v>
      </c>
      <c r="E26" s="359"/>
      <c r="F26" s="359" t="s">
        <v>199</v>
      </c>
      <c r="G26" s="359"/>
      <c r="H26" s="359" t="s">
        <v>199</v>
      </c>
      <c r="I26" s="359"/>
      <c r="J26" s="359" t="s">
        <v>296</v>
      </c>
      <c r="K26" s="359"/>
      <c r="L26" s="359" t="s">
        <v>153</v>
      </c>
      <c r="M26" s="359"/>
      <c r="N26" s="359"/>
      <c r="O26" s="360"/>
      <c r="P26" s="366"/>
      <c r="Q26" s="358"/>
      <c r="R26" s="358"/>
      <c r="S26" s="361"/>
      <c r="T26" s="348"/>
      <c r="U26" s="363"/>
      <c r="W26" s="364"/>
    </row>
    <row r="27" spans="1:23" s="349" customFormat="1" x14ac:dyDescent="0.3">
      <c r="A27" s="365"/>
      <c r="B27" s="358" t="s">
        <v>7</v>
      </c>
      <c r="C27" s="367"/>
      <c r="D27" s="360" t="s">
        <v>228</v>
      </c>
      <c r="E27" s="360"/>
      <c r="F27" s="360" t="s">
        <v>242</v>
      </c>
      <c r="G27" s="360"/>
      <c r="H27" s="360" t="s">
        <v>243</v>
      </c>
      <c r="I27" s="360"/>
      <c r="J27" s="360" t="s">
        <v>244</v>
      </c>
      <c r="K27" s="360"/>
      <c r="L27" s="360" t="s">
        <v>245</v>
      </c>
      <c r="M27" s="360"/>
      <c r="N27" s="360"/>
      <c r="O27" s="368"/>
      <c r="P27" s="368"/>
      <c r="Q27" s="367"/>
      <c r="R27" s="368"/>
      <c r="S27" s="369"/>
      <c r="T27" s="348"/>
      <c r="U27" s="363"/>
      <c r="W27" s="364"/>
    </row>
    <row r="28" spans="1:23" s="349" customFormat="1" x14ac:dyDescent="0.3">
      <c r="A28" s="357"/>
      <c r="B28" s="358" t="s">
        <v>106</v>
      </c>
      <c r="C28" s="370"/>
      <c r="D28" s="371">
        <v>164000</v>
      </c>
      <c r="E28" s="372"/>
      <c r="F28" s="373">
        <v>151700</v>
      </c>
      <c r="G28" s="374"/>
      <c r="H28" s="373">
        <v>12000</v>
      </c>
      <c r="I28" s="374"/>
      <c r="J28" s="373">
        <v>12000</v>
      </c>
      <c r="K28" s="368"/>
      <c r="L28" s="373">
        <v>7500</v>
      </c>
      <c r="M28" s="368"/>
      <c r="N28" s="372"/>
      <c r="O28" s="375"/>
      <c r="P28" s="375"/>
      <c r="Q28" s="370"/>
      <c r="R28" s="368"/>
      <c r="S28" s="369"/>
      <c r="T28" s="348"/>
    </row>
    <row r="29" spans="1:23" s="349" customFormat="1" x14ac:dyDescent="0.3">
      <c r="A29" s="365"/>
      <c r="B29" s="358" t="s">
        <v>105</v>
      </c>
      <c r="C29" s="367"/>
      <c r="D29" s="371">
        <f>D28*D35</f>
        <v>29760.128799999999</v>
      </c>
      <c r="E29" s="372"/>
      <c r="F29" s="373">
        <f>F28*F35</f>
        <v>27528.119139999999</v>
      </c>
      <c r="G29" s="373"/>
      <c r="H29" s="373">
        <f>H28</f>
        <v>12000</v>
      </c>
      <c r="I29" s="373"/>
      <c r="J29" s="373">
        <f>J28</f>
        <v>12000</v>
      </c>
      <c r="K29" s="368"/>
      <c r="L29" s="373">
        <f>L28</f>
        <v>7500</v>
      </c>
      <c r="M29" s="368"/>
      <c r="N29" s="372"/>
      <c r="O29" s="368"/>
      <c r="P29" s="368"/>
      <c r="Q29" s="367"/>
      <c r="R29" s="368"/>
      <c r="S29" s="369"/>
      <c r="T29" s="348"/>
    </row>
    <row r="30" spans="1:23" s="349" customFormat="1" x14ac:dyDescent="0.3">
      <c r="A30" s="365"/>
      <c r="B30" s="362" t="s">
        <v>107</v>
      </c>
      <c r="C30" s="367"/>
      <c r="D30" s="376">
        <f>D28*D34</f>
        <v>26251.578400000002</v>
      </c>
      <c r="E30" s="377"/>
      <c r="F30" s="377">
        <f t="shared" ref="F30" si="0">F28*F34</f>
        <v>24282.710020000002</v>
      </c>
      <c r="G30" s="377"/>
      <c r="H30" s="377">
        <f t="shared" ref="H30" si="1">H28*H34</f>
        <v>12000</v>
      </c>
      <c r="I30" s="377"/>
      <c r="J30" s="377">
        <f t="shared" ref="J30" si="2">J28*J34</f>
        <v>12000</v>
      </c>
      <c r="K30" s="377"/>
      <c r="L30" s="377">
        <f t="shared" ref="L30" si="3">L28*L34</f>
        <v>7500</v>
      </c>
      <c r="M30" s="375"/>
      <c r="N30" s="378"/>
      <c r="O30" s="368"/>
      <c r="P30" s="368"/>
      <c r="Q30" s="367"/>
      <c r="R30" s="375"/>
      <c r="S30" s="369"/>
      <c r="T30" s="348"/>
    </row>
    <row r="31" spans="1:23" s="349" customFormat="1" x14ac:dyDescent="0.3">
      <c r="A31" s="365"/>
      <c r="B31" s="358" t="s">
        <v>229</v>
      </c>
      <c r="C31" s="367"/>
      <c r="D31" s="373">
        <v>116809</v>
      </c>
      <c r="E31" s="373"/>
      <c r="F31" s="373">
        <v>151700</v>
      </c>
      <c r="G31" s="373"/>
      <c r="H31" s="373">
        <v>12000</v>
      </c>
      <c r="I31" s="373"/>
      <c r="J31" s="373">
        <v>12000</v>
      </c>
      <c r="K31" s="373"/>
      <c r="L31" s="373">
        <v>7500</v>
      </c>
      <c r="M31" s="368"/>
      <c r="N31" s="378"/>
      <c r="O31" s="368"/>
      <c r="P31" s="368"/>
      <c r="Q31" s="367"/>
      <c r="R31" s="368">
        <f>SUM(D31:L31)</f>
        <v>300009</v>
      </c>
      <c r="S31" s="369"/>
      <c r="T31" s="348"/>
    </row>
    <row r="32" spans="1:23" s="349" customFormat="1" x14ac:dyDescent="0.3">
      <c r="A32" s="365"/>
      <c r="B32" s="358" t="s">
        <v>230</v>
      </c>
      <c r="C32" s="367"/>
      <c r="D32" s="373">
        <f>D31*D35</f>
        <v>21196.651737799999</v>
      </c>
      <c r="E32" s="373"/>
      <c r="F32" s="373">
        <f>F31*F35</f>
        <v>27528.119139999999</v>
      </c>
      <c r="G32" s="373"/>
      <c r="H32" s="373">
        <f>H31</f>
        <v>12000</v>
      </c>
      <c r="I32" s="373"/>
      <c r="J32" s="373">
        <f>+J31</f>
        <v>12000</v>
      </c>
      <c r="K32" s="373"/>
      <c r="L32" s="373">
        <f>L31</f>
        <v>7500</v>
      </c>
      <c r="M32" s="368"/>
      <c r="N32" s="378"/>
      <c r="O32" s="368"/>
      <c r="P32" s="368"/>
      <c r="Q32" s="367"/>
      <c r="R32" s="368">
        <f>SUM(D32:L32)</f>
        <v>80224.770877799994</v>
      </c>
      <c r="S32" s="369"/>
      <c r="T32" s="348"/>
    </row>
    <row r="33" spans="1:20" s="349" customFormat="1" x14ac:dyDescent="0.3">
      <c r="A33" s="365"/>
      <c r="B33" s="362" t="s">
        <v>231</v>
      </c>
      <c r="C33" s="367"/>
      <c r="D33" s="377">
        <f>D31*D34</f>
        <v>18697.686715399999</v>
      </c>
      <c r="E33" s="377"/>
      <c r="F33" s="377">
        <f>F31*F34</f>
        <v>24282.710020000002</v>
      </c>
      <c r="G33" s="377"/>
      <c r="H33" s="377">
        <f t="shared" ref="H33:L33" si="4">H31*H34</f>
        <v>12000</v>
      </c>
      <c r="I33" s="377"/>
      <c r="J33" s="377">
        <f t="shared" si="4"/>
        <v>12000</v>
      </c>
      <c r="K33" s="377"/>
      <c r="L33" s="377">
        <f t="shared" si="4"/>
        <v>7500</v>
      </c>
      <c r="M33" s="375"/>
      <c r="N33" s="378"/>
      <c r="O33" s="368"/>
      <c r="P33" s="368"/>
      <c r="Q33" s="367"/>
      <c r="R33" s="375">
        <f>SUM(D33:L33)</f>
        <v>74480.396735400005</v>
      </c>
      <c r="S33" s="369"/>
      <c r="T33" s="348"/>
    </row>
    <row r="34" spans="1:20" s="273" customFormat="1" x14ac:dyDescent="0.3">
      <c r="A34" s="265"/>
      <c r="B34" s="266" t="s">
        <v>103</v>
      </c>
      <c r="C34" s="267"/>
      <c r="D34" s="268">
        <v>0.16007060000000001</v>
      </c>
      <c r="E34" s="268"/>
      <c r="F34" s="268">
        <v>0.16007060000000001</v>
      </c>
      <c r="G34" s="268"/>
      <c r="H34" s="268">
        <v>1</v>
      </c>
      <c r="I34" s="268"/>
      <c r="J34" s="268">
        <v>1</v>
      </c>
      <c r="K34" s="268"/>
      <c r="L34" s="268">
        <v>1</v>
      </c>
      <c r="M34" s="268"/>
      <c r="N34" s="268"/>
      <c r="O34" s="269"/>
      <c r="P34" s="269"/>
      <c r="Q34" s="267"/>
      <c r="R34" s="270"/>
      <c r="S34" s="271"/>
      <c r="T34" s="272"/>
    </row>
    <row r="35" spans="1:20" s="273" customFormat="1" x14ac:dyDescent="0.3">
      <c r="A35" s="265"/>
      <c r="B35" s="266" t="s">
        <v>104</v>
      </c>
      <c r="C35" s="267"/>
      <c r="D35" s="268">
        <v>0.18146419999999999</v>
      </c>
      <c r="E35" s="268"/>
      <c r="F35" s="268">
        <v>0.18146419999999999</v>
      </c>
      <c r="G35" s="268"/>
      <c r="H35" s="268">
        <v>1</v>
      </c>
      <c r="I35" s="268"/>
      <c r="J35" s="268">
        <v>1</v>
      </c>
      <c r="K35" s="268"/>
      <c r="L35" s="268">
        <v>1</v>
      </c>
      <c r="M35" s="268"/>
      <c r="N35" s="268"/>
      <c r="O35" s="274"/>
      <c r="P35" s="275"/>
      <c r="Q35" s="267"/>
      <c r="R35" s="274"/>
      <c r="S35" s="271"/>
      <c r="T35" s="272"/>
    </row>
    <row r="36" spans="1:20" s="349" customFormat="1" x14ac:dyDescent="0.3">
      <c r="A36" s="365"/>
      <c r="B36" s="358" t="s">
        <v>8</v>
      </c>
      <c r="C36" s="358"/>
      <c r="D36" s="366" t="s">
        <v>240</v>
      </c>
      <c r="E36" s="366"/>
      <c r="F36" s="366" t="s">
        <v>220</v>
      </c>
      <c r="G36" s="366"/>
      <c r="H36" s="366" t="s">
        <v>247</v>
      </c>
      <c r="I36" s="366"/>
      <c r="J36" s="366" t="s">
        <v>250</v>
      </c>
      <c r="K36" s="366"/>
      <c r="L36" s="366" t="s">
        <v>252</v>
      </c>
      <c r="M36" s="366"/>
      <c r="N36" s="366"/>
      <c r="O36" s="379"/>
      <c r="P36" s="380"/>
      <c r="Q36" s="358"/>
      <c r="R36" s="358"/>
      <c r="S36" s="361"/>
      <c r="T36" s="348"/>
    </row>
    <row r="37" spans="1:20" s="349" customFormat="1" x14ac:dyDescent="0.3">
      <c r="A37" s="365"/>
      <c r="B37" s="358" t="s">
        <v>9</v>
      </c>
      <c r="C37" s="381"/>
      <c r="D37" s="380">
        <v>1.7899999999999999E-3</v>
      </c>
      <c r="E37" s="380"/>
      <c r="F37" s="380">
        <v>1.4307500000000001E-2</v>
      </c>
      <c r="G37" s="380"/>
      <c r="H37" s="380">
        <v>1.9807499999999999E-2</v>
      </c>
      <c r="I37" s="380"/>
      <c r="J37" s="380">
        <v>2.2807500000000001E-2</v>
      </c>
      <c r="K37" s="380"/>
      <c r="L37" s="380">
        <v>2.6307500000000001E-2</v>
      </c>
      <c r="M37" s="379"/>
      <c r="N37" s="380"/>
      <c r="O37" s="366"/>
      <c r="P37" s="366"/>
      <c r="Q37" s="358"/>
      <c r="R37" s="379"/>
      <c r="S37" s="361"/>
      <c r="T37" s="348"/>
    </row>
    <row r="38" spans="1:20" s="349" customFormat="1" x14ac:dyDescent="0.3">
      <c r="A38" s="365"/>
      <c r="B38" s="358" t="s">
        <v>10</v>
      </c>
      <c r="C38" s="381"/>
      <c r="D38" s="380">
        <v>1.73E-3</v>
      </c>
      <c r="E38" s="380"/>
      <c r="F38" s="380">
        <v>1.40591E-2</v>
      </c>
      <c r="G38" s="380"/>
      <c r="H38" s="380">
        <v>1.9559099999999999E-2</v>
      </c>
      <c r="I38" s="380"/>
      <c r="J38" s="380">
        <v>2.2559099999999999E-2</v>
      </c>
      <c r="K38" s="380"/>
      <c r="L38" s="380">
        <v>2.6059100000000002E-2</v>
      </c>
      <c r="M38" s="379"/>
      <c r="N38" s="380"/>
      <c r="O38" s="366"/>
      <c r="P38" s="366"/>
      <c r="Q38" s="358"/>
      <c r="R38" s="358"/>
      <c r="S38" s="361"/>
      <c r="T38" s="348"/>
    </row>
    <row r="39" spans="1:20" s="349" customFormat="1" x14ac:dyDescent="0.3">
      <c r="A39" s="365"/>
      <c r="B39" s="358" t="s">
        <v>235</v>
      </c>
      <c r="C39" s="381"/>
      <c r="D39" s="382" t="s">
        <v>260</v>
      </c>
      <c r="E39" s="380"/>
      <c r="F39" s="380" t="s">
        <v>220</v>
      </c>
      <c r="G39" s="380"/>
      <c r="H39" s="380" t="s">
        <v>247</v>
      </c>
      <c r="I39" s="380"/>
      <c r="J39" s="366" t="s">
        <v>250</v>
      </c>
      <c r="K39" s="380"/>
      <c r="L39" s="380" t="s">
        <v>252</v>
      </c>
      <c r="M39" s="379"/>
      <c r="N39" s="380"/>
      <c r="O39" s="366"/>
      <c r="P39" s="366"/>
      <c r="Q39" s="358"/>
      <c r="R39" s="358"/>
      <c r="S39" s="361"/>
      <c r="T39" s="348"/>
    </row>
    <row r="40" spans="1:20" s="349" customFormat="1" x14ac:dyDescent="0.3">
      <c r="A40" s="365"/>
      <c r="B40" s="358" t="s">
        <v>236</v>
      </c>
      <c r="C40" s="381"/>
      <c r="D40" s="380">
        <v>1.67075E-2</v>
      </c>
      <c r="E40" s="380"/>
      <c r="F40" s="380">
        <f>+F37</f>
        <v>1.4307500000000001E-2</v>
      </c>
      <c r="G40" s="380"/>
      <c r="H40" s="380">
        <f>+H37</f>
        <v>1.9807499999999999E-2</v>
      </c>
      <c r="I40" s="380"/>
      <c r="J40" s="380">
        <f>+J37</f>
        <v>2.2807500000000001E-2</v>
      </c>
      <c r="K40" s="380"/>
      <c r="L40" s="380">
        <f>+L37</f>
        <v>2.6307500000000001E-2</v>
      </c>
      <c r="M40" s="379"/>
      <c r="N40" s="380"/>
      <c r="O40" s="366"/>
      <c r="P40" s="366"/>
      <c r="Q40" s="358"/>
      <c r="R40" s="379">
        <f>SUMPRODUCT(D40:L40,D32:L32)/R32</f>
        <v>1.8157582222624234E-2</v>
      </c>
      <c r="S40" s="361"/>
      <c r="T40" s="348"/>
    </row>
    <row r="41" spans="1:20" s="349" customFormat="1" x14ac:dyDescent="0.3">
      <c r="A41" s="365"/>
      <c r="B41" s="358" t="s">
        <v>237</v>
      </c>
      <c r="C41" s="381"/>
      <c r="D41" s="380">
        <v>1.6459100000000001E-2</v>
      </c>
      <c r="E41" s="380"/>
      <c r="F41" s="380">
        <f>+F38</f>
        <v>1.40591E-2</v>
      </c>
      <c r="G41" s="380"/>
      <c r="H41" s="380">
        <f>+H38</f>
        <v>1.9559099999999999E-2</v>
      </c>
      <c r="I41" s="380"/>
      <c r="J41" s="380">
        <f>+J38</f>
        <v>2.2559099999999999E-2</v>
      </c>
      <c r="K41" s="380"/>
      <c r="L41" s="380">
        <f>+L38</f>
        <v>2.6059100000000002E-2</v>
      </c>
      <c r="M41" s="379"/>
      <c r="N41" s="380"/>
      <c r="O41" s="366"/>
      <c r="P41" s="366"/>
      <c r="Q41" s="358"/>
      <c r="R41" s="358"/>
      <c r="S41" s="361"/>
      <c r="T41" s="348"/>
    </row>
    <row r="42" spans="1:20" s="349" customFormat="1" x14ac:dyDescent="0.3">
      <c r="A42" s="365"/>
      <c r="B42" s="358" t="s">
        <v>238</v>
      </c>
      <c r="C42" s="358"/>
      <c r="D42" s="381">
        <v>43631</v>
      </c>
      <c r="E42" s="381"/>
      <c r="F42" s="381">
        <v>43631</v>
      </c>
      <c r="G42" s="381"/>
      <c r="H42" s="381">
        <v>43631</v>
      </c>
      <c r="I42" s="381"/>
      <c r="J42" s="381">
        <v>43631</v>
      </c>
      <c r="K42" s="381"/>
      <c r="L42" s="381">
        <v>43631</v>
      </c>
      <c r="M42" s="381"/>
      <c r="N42" s="381"/>
      <c r="O42" s="366"/>
      <c r="P42" s="366"/>
      <c r="Q42" s="358"/>
      <c r="R42" s="358"/>
      <c r="S42" s="361"/>
      <c r="T42" s="348"/>
    </row>
    <row r="43" spans="1:20" s="349" customFormat="1" x14ac:dyDescent="0.3">
      <c r="A43" s="365"/>
      <c r="B43" s="358" t="s">
        <v>11</v>
      </c>
      <c r="C43" s="358"/>
      <c r="D43" s="381">
        <v>43631</v>
      </c>
      <c r="E43" s="381"/>
      <c r="F43" s="381">
        <v>43631</v>
      </c>
      <c r="G43" s="366"/>
      <c r="H43" s="381">
        <v>43631</v>
      </c>
      <c r="I43" s="366"/>
      <c r="J43" s="381">
        <v>43631</v>
      </c>
      <c r="K43" s="366"/>
      <c r="L43" s="381" t="s">
        <v>97</v>
      </c>
      <c r="M43" s="366"/>
      <c r="N43" s="381"/>
      <c r="O43" s="366"/>
      <c r="P43" s="366"/>
      <c r="Q43" s="358"/>
      <c r="R43" s="358"/>
      <c r="S43" s="361"/>
      <c r="T43" s="348"/>
    </row>
    <row r="44" spans="1:20" s="349" customFormat="1" x14ac:dyDescent="0.3">
      <c r="A44" s="365"/>
      <c r="B44" s="358" t="s">
        <v>98</v>
      </c>
      <c r="C44" s="358"/>
      <c r="D44" s="366" t="s">
        <v>241</v>
      </c>
      <c r="E44" s="366"/>
      <c r="F44" s="366" t="s">
        <v>246</v>
      </c>
      <c r="G44" s="366"/>
      <c r="H44" s="366" t="s">
        <v>248</v>
      </c>
      <c r="I44" s="366"/>
      <c r="J44" s="366" t="s">
        <v>251</v>
      </c>
      <c r="K44" s="366"/>
      <c r="L44" s="366" t="s">
        <v>97</v>
      </c>
      <c r="M44" s="366"/>
      <c r="N44" s="366"/>
      <c r="O44" s="383"/>
      <c r="P44" s="383"/>
      <c r="Q44" s="383"/>
      <c r="R44" s="383"/>
      <c r="S44" s="361"/>
      <c r="T44" s="348"/>
    </row>
    <row r="45" spans="1:20" s="349" customFormat="1" x14ac:dyDescent="0.3">
      <c r="A45" s="365"/>
      <c r="B45" s="358" t="s">
        <v>239</v>
      </c>
      <c r="C45" s="358"/>
      <c r="D45" s="366" t="s">
        <v>273</v>
      </c>
      <c r="E45" s="366"/>
      <c r="F45" s="366" t="s">
        <v>246</v>
      </c>
      <c r="G45" s="366"/>
      <c r="H45" s="366" t="s">
        <v>248</v>
      </c>
      <c r="I45" s="366"/>
      <c r="J45" s="366" t="s">
        <v>251</v>
      </c>
      <c r="K45" s="366"/>
      <c r="L45" s="366" t="s">
        <v>97</v>
      </c>
      <c r="M45" s="366"/>
      <c r="N45" s="366"/>
      <c r="O45" s="383"/>
      <c r="P45" s="383"/>
      <c r="Q45" s="383"/>
      <c r="R45" s="383"/>
      <c r="S45" s="361"/>
      <c r="T45" s="348"/>
    </row>
    <row r="46" spans="1:20" s="349" customFormat="1" x14ac:dyDescent="0.3">
      <c r="A46" s="365"/>
      <c r="B46" s="358"/>
      <c r="C46" s="358"/>
      <c r="D46" s="366"/>
      <c r="E46" s="366"/>
      <c r="F46" s="366"/>
      <c r="G46" s="366"/>
      <c r="H46" s="366"/>
      <c r="I46" s="366"/>
      <c r="J46" s="366"/>
      <c r="K46" s="366"/>
      <c r="L46" s="366"/>
      <c r="M46" s="366"/>
      <c r="N46" s="366"/>
      <c r="O46" s="358"/>
      <c r="P46" s="358"/>
      <c r="Q46" s="358"/>
      <c r="R46" s="379" t="s">
        <v>130</v>
      </c>
      <c r="S46" s="361"/>
      <c r="T46" s="348"/>
    </row>
    <row r="47" spans="1:20" s="349" customFormat="1" x14ac:dyDescent="0.3">
      <c r="A47" s="365"/>
      <c r="B47" s="358" t="s">
        <v>253</v>
      </c>
      <c r="C47" s="358"/>
      <c r="D47" s="366"/>
      <c r="E47" s="366"/>
      <c r="F47" s="366"/>
      <c r="G47" s="366"/>
      <c r="H47" s="366"/>
      <c r="I47" s="366"/>
      <c r="J47" s="366"/>
      <c r="K47" s="366"/>
      <c r="L47" s="366"/>
      <c r="M47" s="366"/>
      <c r="N47" s="366"/>
      <c r="O47" s="358"/>
      <c r="P47" s="358"/>
      <c r="Q47" s="358"/>
      <c r="R47" s="384">
        <f>SUM(H31:L31)/(D31+F31)</f>
        <v>0.11731450342446621</v>
      </c>
      <c r="S47" s="361"/>
      <c r="T47" s="348"/>
    </row>
    <row r="48" spans="1:20" s="349" customFormat="1" x14ac:dyDescent="0.3">
      <c r="A48" s="365"/>
      <c r="B48" s="358" t="s">
        <v>254</v>
      </c>
      <c r="C48" s="358"/>
      <c r="D48" s="358"/>
      <c r="E48" s="358"/>
      <c r="F48" s="358"/>
      <c r="G48" s="358"/>
      <c r="H48" s="358"/>
      <c r="I48" s="358"/>
      <c r="J48" s="358"/>
      <c r="K48" s="358"/>
      <c r="L48" s="358"/>
      <c r="M48" s="358"/>
      <c r="N48" s="358"/>
      <c r="O48" s="358"/>
      <c r="P48" s="358"/>
      <c r="Q48" s="358"/>
      <c r="R48" s="384">
        <f>SUM(H33:L33)/(D33+F33)</f>
        <v>0.73289225769420618</v>
      </c>
      <c r="S48" s="361"/>
      <c r="T48" s="348"/>
    </row>
    <row r="49" spans="1:21" s="349" customFormat="1" x14ac:dyDescent="0.3">
      <c r="A49" s="365"/>
      <c r="B49" s="358" t="s">
        <v>255</v>
      </c>
      <c r="C49" s="358"/>
      <c r="D49" s="358"/>
      <c r="E49" s="358"/>
      <c r="F49" s="358"/>
      <c r="G49" s="358"/>
      <c r="H49" s="358"/>
      <c r="I49" s="358"/>
      <c r="J49" s="358"/>
      <c r="K49" s="358"/>
      <c r="L49" s="358"/>
      <c r="M49" s="358"/>
      <c r="N49" s="358"/>
      <c r="O49" s="358"/>
      <c r="P49" s="366"/>
      <c r="Q49" s="366"/>
      <c r="R49" s="368" t="s">
        <v>149</v>
      </c>
      <c r="S49" s="361"/>
      <c r="T49" s="348"/>
    </row>
    <row r="50" spans="1:21" s="349" customFormat="1" x14ac:dyDescent="0.3">
      <c r="A50" s="365"/>
      <c r="B50" s="358"/>
      <c r="C50" s="358"/>
      <c r="D50" s="358"/>
      <c r="E50" s="358"/>
      <c r="F50" s="358"/>
      <c r="G50" s="358"/>
      <c r="H50" s="358"/>
      <c r="I50" s="358"/>
      <c r="J50" s="358"/>
      <c r="K50" s="358"/>
      <c r="L50" s="358"/>
      <c r="M50" s="358"/>
      <c r="N50" s="358"/>
      <c r="O50" s="358"/>
      <c r="P50" s="358"/>
      <c r="Q50" s="358"/>
      <c r="R50" s="385"/>
      <c r="S50" s="361"/>
      <c r="T50" s="348"/>
    </row>
    <row r="51" spans="1:21" s="349" customFormat="1" x14ac:dyDescent="0.3">
      <c r="A51" s="365"/>
      <c r="B51" s="358" t="s">
        <v>225</v>
      </c>
      <c r="C51" s="358"/>
      <c r="D51" s="358"/>
      <c r="E51" s="358"/>
      <c r="F51" s="358"/>
      <c r="G51" s="358"/>
      <c r="H51" s="358"/>
      <c r="I51" s="358"/>
      <c r="J51" s="358"/>
      <c r="K51" s="358"/>
      <c r="L51" s="358"/>
      <c r="M51" s="358"/>
      <c r="N51" s="358"/>
      <c r="O51" s="358"/>
      <c r="P51" s="358"/>
      <c r="Q51" s="358"/>
      <c r="R51" s="386" t="s">
        <v>91</v>
      </c>
      <c r="S51" s="361"/>
      <c r="T51" s="348"/>
    </row>
    <row r="52" spans="1:21" s="349" customFormat="1" x14ac:dyDescent="0.3">
      <c r="A52" s="365"/>
      <c r="B52" s="362" t="s">
        <v>131</v>
      </c>
      <c r="C52" s="362"/>
      <c r="D52" s="362"/>
      <c r="E52" s="362"/>
      <c r="F52" s="362"/>
      <c r="G52" s="362"/>
      <c r="H52" s="362"/>
      <c r="I52" s="362"/>
      <c r="J52" s="362"/>
      <c r="K52" s="362"/>
      <c r="L52" s="362"/>
      <c r="M52" s="362"/>
      <c r="N52" s="362"/>
      <c r="O52" s="362"/>
      <c r="P52" s="387"/>
      <c r="Q52" s="387"/>
      <c r="R52" s="388">
        <v>43360</v>
      </c>
      <c r="S52" s="361"/>
      <c r="T52" s="348"/>
    </row>
    <row r="53" spans="1:21" s="349" customFormat="1" x14ac:dyDescent="0.3">
      <c r="A53" s="365"/>
      <c r="B53" s="358" t="s">
        <v>99</v>
      </c>
      <c r="C53" s="358"/>
      <c r="D53" s="389"/>
      <c r="E53" s="389"/>
      <c r="F53" s="389"/>
      <c r="G53" s="389"/>
      <c r="H53" s="389"/>
      <c r="I53" s="389"/>
      <c r="J53" s="389"/>
      <c r="K53" s="389"/>
      <c r="L53" s="389"/>
      <c r="M53" s="389"/>
      <c r="N53" s="358">
        <f>+R53-P53+1</f>
        <v>92</v>
      </c>
      <c r="O53" s="358"/>
      <c r="P53" s="390">
        <v>43174</v>
      </c>
      <c r="Q53" s="391"/>
      <c r="R53" s="390">
        <v>43265</v>
      </c>
      <c r="S53" s="361"/>
      <c r="T53" s="348"/>
    </row>
    <row r="54" spans="1:21" s="349" customFormat="1" x14ac:dyDescent="0.3">
      <c r="A54" s="365"/>
      <c r="B54" s="358" t="s">
        <v>100</v>
      </c>
      <c r="C54" s="358"/>
      <c r="D54" s="358"/>
      <c r="E54" s="358"/>
      <c r="F54" s="358"/>
      <c r="G54" s="358"/>
      <c r="H54" s="358"/>
      <c r="I54" s="358"/>
      <c r="J54" s="358"/>
      <c r="K54" s="358"/>
      <c r="L54" s="358"/>
      <c r="M54" s="358"/>
      <c r="N54" s="358">
        <f>+R54-P54+1</f>
        <v>94</v>
      </c>
      <c r="O54" s="358"/>
      <c r="P54" s="390">
        <v>43266</v>
      </c>
      <c r="Q54" s="391"/>
      <c r="R54" s="390">
        <v>43359</v>
      </c>
      <c r="S54" s="361"/>
      <c r="T54" s="348"/>
    </row>
    <row r="55" spans="1:21" s="349" customFormat="1" x14ac:dyDescent="0.3">
      <c r="A55" s="365"/>
      <c r="B55" s="358" t="s">
        <v>261</v>
      </c>
      <c r="C55" s="358"/>
      <c r="D55" s="358"/>
      <c r="E55" s="358"/>
      <c r="F55" s="358"/>
      <c r="G55" s="358"/>
      <c r="H55" s="358"/>
      <c r="I55" s="358"/>
      <c r="J55" s="358"/>
      <c r="K55" s="358"/>
      <c r="L55" s="358"/>
      <c r="M55" s="358"/>
      <c r="N55" s="358"/>
      <c r="O55" s="358"/>
      <c r="P55" s="390"/>
      <c r="Q55" s="391"/>
      <c r="R55" s="390" t="s">
        <v>263</v>
      </c>
      <c r="S55" s="361"/>
      <c r="T55" s="348"/>
    </row>
    <row r="56" spans="1:21" s="349" customFormat="1" x14ac:dyDescent="0.3">
      <c r="A56" s="365"/>
      <c r="B56" s="358" t="s">
        <v>262</v>
      </c>
      <c r="C56" s="358"/>
      <c r="D56" s="358"/>
      <c r="E56" s="358"/>
      <c r="F56" s="358"/>
      <c r="G56" s="358"/>
      <c r="H56" s="358"/>
      <c r="I56" s="358"/>
      <c r="J56" s="358"/>
      <c r="K56" s="358"/>
      <c r="L56" s="358"/>
      <c r="M56" s="358"/>
      <c r="N56" s="358"/>
      <c r="O56" s="358"/>
      <c r="P56" s="390"/>
      <c r="Q56" s="391"/>
      <c r="R56" s="390" t="s">
        <v>118</v>
      </c>
      <c r="S56" s="361"/>
      <c r="T56" s="348"/>
      <c r="U56" s="392"/>
    </row>
    <row r="57" spans="1:21" s="349" customFormat="1" x14ac:dyDescent="0.3">
      <c r="A57" s="365"/>
      <c r="B57" s="358" t="s">
        <v>12</v>
      </c>
      <c r="C57" s="358"/>
      <c r="D57" s="358"/>
      <c r="E57" s="358"/>
      <c r="F57" s="358"/>
      <c r="G57" s="358"/>
      <c r="H57" s="358"/>
      <c r="I57" s="358"/>
      <c r="J57" s="358"/>
      <c r="K57" s="358"/>
      <c r="L57" s="358"/>
      <c r="M57" s="358"/>
      <c r="N57" s="358"/>
      <c r="O57" s="358"/>
      <c r="P57" s="390"/>
      <c r="Q57" s="391"/>
      <c r="R57" s="390">
        <v>43346</v>
      </c>
      <c r="S57" s="361"/>
      <c r="T57" s="348"/>
    </row>
    <row r="58" spans="1:21" s="349" customFormat="1" x14ac:dyDescent="0.3">
      <c r="A58" s="344"/>
      <c r="B58" s="393"/>
      <c r="C58" s="393"/>
      <c r="D58" s="393"/>
      <c r="E58" s="393"/>
      <c r="F58" s="393"/>
      <c r="G58" s="393"/>
      <c r="H58" s="393"/>
      <c r="I58" s="393"/>
      <c r="J58" s="393"/>
      <c r="K58" s="393"/>
      <c r="L58" s="393"/>
      <c r="M58" s="393"/>
      <c r="N58" s="393"/>
      <c r="O58" s="393"/>
      <c r="P58" s="394"/>
      <c r="Q58" s="395"/>
      <c r="R58" s="394"/>
      <c r="S58" s="347"/>
      <c r="T58" s="348"/>
    </row>
    <row r="59" spans="1:21" s="349" customFormat="1" x14ac:dyDescent="0.3">
      <c r="A59" s="344"/>
      <c r="B59" s="346"/>
      <c r="C59" s="346"/>
      <c r="D59" s="346"/>
      <c r="E59" s="346"/>
      <c r="F59" s="346"/>
      <c r="G59" s="346"/>
      <c r="H59" s="346"/>
      <c r="I59" s="346"/>
      <c r="J59" s="346"/>
      <c r="K59" s="346"/>
      <c r="L59" s="346"/>
      <c r="M59" s="346"/>
      <c r="N59" s="346"/>
      <c r="O59" s="346"/>
      <c r="P59" s="396"/>
      <c r="Q59" s="397"/>
      <c r="R59" s="396"/>
      <c r="S59" s="347"/>
      <c r="T59" s="348"/>
    </row>
    <row r="60" spans="1:21" s="349" customFormat="1" ht="18.600000000000001" thickBot="1" x14ac:dyDescent="0.4">
      <c r="A60" s="398"/>
      <c r="B60" s="399" t="s">
        <v>298</v>
      </c>
      <c r="C60" s="400"/>
      <c r="D60" s="400"/>
      <c r="E60" s="400"/>
      <c r="F60" s="400"/>
      <c r="G60" s="400"/>
      <c r="H60" s="400"/>
      <c r="I60" s="400"/>
      <c r="J60" s="400"/>
      <c r="K60" s="400"/>
      <c r="L60" s="400"/>
      <c r="M60" s="400"/>
      <c r="N60" s="400"/>
      <c r="O60" s="400"/>
      <c r="P60" s="400"/>
      <c r="Q60" s="400"/>
      <c r="R60" s="401"/>
      <c r="S60" s="402"/>
      <c r="T60" s="348"/>
    </row>
    <row r="61" spans="1:21" x14ac:dyDescent="0.3">
      <c r="A61" s="443"/>
      <c r="B61" s="450" t="s">
        <v>13</v>
      </c>
      <c r="C61" s="444"/>
      <c r="D61" s="444"/>
      <c r="E61" s="444"/>
      <c r="F61" s="444"/>
      <c r="G61" s="444"/>
      <c r="H61" s="444"/>
      <c r="I61" s="444"/>
      <c r="J61" s="444"/>
      <c r="K61" s="444"/>
      <c r="L61" s="444"/>
      <c r="M61" s="444"/>
      <c r="N61" s="444"/>
      <c r="O61" s="444"/>
      <c r="P61" s="444"/>
      <c r="Q61" s="444"/>
      <c r="R61" s="451"/>
      <c r="S61" s="444"/>
      <c r="T61" s="247"/>
    </row>
    <row r="62" spans="1:21" x14ac:dyDescent="0.3">
      <c r="A62" s="249"/>
      <c r="B62" s="258"/>
      <c r="C62" s="251"/>
      <c r="D62" s="251"/>
      <c r="E62" s="251"/>
      <c r="F62" s="251"/>
      <c r="G62" s="251"/>
      <c r="H62" s="251"/>
      <c r="I62" s="251"/>
      <c r="J62" s="251"/>
      <c r="K62" s="251"/>
      <c r="L62" s="251"/>
      <c r="M62" s="251"/>
      <c r="N62" s="251"/>
      <c r="O62" s="251"/>
      <c r="P62" s="251"/>
      <c r="Q62" s="251"/>
      <c r="R62" s="279"/>
      <c r="S62" s="252"/>
      <c r="T62" s="247"/>
    </row>
    <row r="63" spans="1:21" s="273" customFormat="1" ht="46.8" x14ac:dyDescent="0.3">
      <c r="A63" s="280"/>
      <c r="B63" s="281" t="s">
        <v>14</v>
      </c>
      <c r="C63" s="282"/>
      <c r="D63" s="282"/>
      <c r="E63" s="282"/>
      <c r="F63" s="282" t="s">
        <v>76</v>
      </c>
      <c r="G63" s="282"/>
      <c r="H63" s="282" t="s">
        <v>78</v>
      </c>
      <c r="I63" s="282"/>
      <c r="J63" s="282" t="s">
        <v>162</v>
      </c>
      <c r="K63" s="282"/>
      <c r="L63" s="282" t="s">
        <v>163</v>
      </c>
      <c r="M63" s="282"/>
      <c r="N63" s="282" t="s">
        <v>81</v>
      </c>
      <c r="O63" s="282"/>
      <c r="P63" s="282" t="s">
        <v>86</v>
      </c>
      <c r="Q63" s="282"/>
      <c r="R63" s="283" t="s">
        <v>92</v>
      </c>
      <c r="S63" s="284"/>
      <c r="T63" s="272"/>
    </row>
    <row r="64" spans="1:21" s="349" customFormat="1" x14ac:dyDescent="0.3">
      <c r="A64" s="365"/>
      <c r="B64" s="358" t="s">
        <v>15</v>
      </c>
      <c r="C64" s="403"/>
      <c r="D64" s="403"/>
      <c r="E64" s="403"/>
      <c r="F64" s="403">
        <v>244234</v>
      </c>
      <c r="G64" s="403"/>
      <c r="H64" s="404">
        <v>80225</v>
      </c>
      <c r="I64" s="403"/>
      <c r="J64" s="404">
        <v>82</v>
      </c>
      <c r="K64" s="403"/>
      <c r="L64" s="403">
        <v>4688</v>
      </c>
      <c r="M64" s="403"/>
      <c r="N64" s="403">
        <v>25</v>
      </c>
      <c r="O64" s="403"/>
      <c r="P64" s="403">
        <v>1000</v>
      </c>
      <c r="Q64" s="403"/>
      <c r="R64" s="404">
        <f>H64-J64-L64+N64-P64</f>
        <v>74480</v>
      </c>
      <c r="S64" s="361"/>
      <c r="T64" s="348"/>
    </row>
    <row r="65" spans="1:20" s="349" customFormat="1" x14ac:dyDescent="0.3">
      <c r="A65" s="365"/>
      <c r="B65" s="358" t="s">
        <v>16</v>
      </c>
      <c r="C65" s="403"/>
      <c r="D65" s="403"/>
      <c r="E65" s="403"/>
      <c r="F65" s="403">
        <v>0</v>
      </c>
      <c r="G65" s="403"/>
      <c r="H65" s="404">
        <v>0</v>
      </c>
      <c r="I65" s="403"/>
      <c r="J65" s="404">
        <v>0</v>
      </c>
      <c r="K65" s="403"/>
      <c r="L65" s="403">
        <v>0</v>
      </c>
      <c r="M65" s="403"/>
      <c r="N65" s="403">
        <v>0</v>
      </c>
      <c r="O65" s="403"/>
      <c r="P65" s="403">
        <v>0</v>
      </c>
      <c r="Q65" s="403"/>
      <c r="R65" s="404">
        <f>F65-J65-L65</f>
        <v>0</v>
      </c>
      <c r="S65" s="361"/>
      <c r="T65" s="348"/>
    </row>
    <row r="66" spans="1:20" s="349" customFormat="1" x14ac:dyDescent="0.3">
      <c r="A66" s="365"/>
      <c r="B66" s="358"/>
      <c r="C66" s="403"/>
      <c r="D66" s="403"/>
      <c r="E66" s="403"/>
      <c r="F66" s="403"/>
      <c r="G66" s="403"/>
      <c r="H66" s="404"/>
      <c r="I66" s="403"/>
      <c r="J66" s="404"/>
      <c r="K66" s="403"/>
      <c r="L66" s="403"/>
      <c r="M66" s="403"/>
      <c r="N66" s="403"/>
      <c r="O66" s="403"/>
      <c r="P66" s="403"/>
      <c r="Q66" s="403"/>
      <c r="R66" s="404"/>
      <c r="S66" s="361"/>
      <c r="T66" s="348"/>
    </row>
    <row r="67" spans="1:20" s="349" customFormat="1" x14ac:dyDescent="0.3">
      <c r="A67" s="365"/>
      <c r="B67" s="358" t="s">
        <v>17</v>
      </c>
      <c r="C67" s="403"/>
      <c r="D67" s="403"/>
      <c r="E67" s="403"/>
      <c r="F67" s="403">
        <f>SUM(F64:F66)</f>
        <v>244234</v>
      </c>
      <c r="G67" s="403"/>
      <c r="H67" s="403">
        <f>H64+H65</f>
        <v>80225</v>
      </c>
      <c r="I67" s="403"/>
      <c r="J67" s="403">
        <f>J64+J65</f>
        <v>82</v>
      </c>
      <c r="K67" s="403"/>
      <c r="L67" s="403">
        <f>SUM(L64:L66)</f>
        <v>4688</v>
      </c>
      <c r="M67" s="403"/>
      <c r="N67" s="403">
        <f>SUM(N64:N66)</f>
        <v>25</v>
      </c>
      <c r="O67" s="403"/>
      <c r="P67" s="403">
        <f>SUM(P64:P66)</f>
        <v>1000</v>
      </c>
      <c r="Q67" s="403"/>
      <c r="R67" s="403">
        <f>SUM(R64:R66)</f>
        <v>74480</v>
      </c>
      <c r="S67" s="361"/>
      <c r="T67" s="348"/>
    </row>
    <row r="68" spans="1:20" x14ac:dyDescent="0.3">
      <c r="A68" s="249"/>
      <c r="B68" s="277"/>
      <c r="C68" s="287"/>
      <c r="D68" s="287"/>
      <c r="E68" s="287"/>
      <c r="F68" s="287"/>
      <c r="G68" s="287"/>
      <c r="H68" s="287"/>
      <c r="I68" s="287"/>
      <c r="J68" s="287"/>
      <c r="K68" s="287"/>
      <c r="L68" s="287"/>
      <c r="M68" s="287"/>
      <c r="N68" s="287"/>
      <c r="O68" s="287"/>
      <c r="P68" s="287"/>
      <c r="Q68" s="287"/>
      <c r="R68" s="288"/>
      <c r="S68" s="252"/>
      <c r="T68" s="247"/>
    </row>
    <row r="69" spans="1:20" x14ac:dyDescent="0.3">
      <c r="A69" s="249"/>
      <c r="B69" s="254" t="s">
        <v>18</v>
      </c>
      <c r="C69" s="289"/>
      <c r="D69" s="289"/>
      <c r="E69" s="289"/>
      <c r="F69" s="289"/>
      <c r="G69" s="289"/>
      <c r="H69" s="289"/>
      <c r="I69" s="289"/>
      <c r="J69" s="289"/>
      <c r="K69" s="289"/>
      <c r="L69" s="289"/>
      <c r="M69" s="289"/>
      <c r="N69" s="289"/>
      <c r="O69" s="289"/>
      <c r="P69" s="289"/>
      <c r="Q69" s="289"/>
      <c r="R69" s="290"/>
      <c r="S69" s="252"/>
      <c r="T69" s="247"/>
    </row>
    <row r="70" spans="1:20" x14ac:dyDescent="0.3">
      <c r="A70" s="249"/>
      <c r="B70" s="251"/>
      <c r="C70" s="289"/>
      <c r="D70" s="289"/>
      <c r="E70" s="289"/>
      <c r="F70" s="289"/>
      <c r="G70" s="289"/>
      <c r="H70" s="289"/>
      <c r="I70" s="289"/>
      <c r="J70" s="289"/>
      <c r="K70" s="289"/>
      <c r="L70" s="289"/>
      <c r="M70" s="289"/>
      <c r="N70" s="289"/>
      <c r="O70" s="289"/>
      <c r="P70" s="289"/>
      <c r="Q70" s="289"/>
      <c r="R70" s="290"/>
      <c r="S70" s="252"/>
      <c r="T70" s="247"/>
    </row>
    <row r="71" spans="1:20" s="349" customFormat="1" x14ac:dyDescent="0.3">
      <c r="A71" s="365"/>
      <c r="B71" s="358" t="s">
        <v>15</v>
      </c>
      <c r="C71" s="403"/>
      <c r="D71" s="403"/>
      <c r="E71" s="403"/>
      <c r="F71" s="403"/>
      <c r="G71" s="403"/>
      <c r="H71" s="403"/>
      <c r="I71" s="403"/>
      <c r="J71" s="403"/>
      <c r="K71" s="403"/>
      <c r="L71" s="403"/>
      <c r="M71" s="403"/>
      <c r="N71" s="403"/>
      <c r="O71" s="403"/>
      <c r="P71" s="403"/>
      <c r="Q71" s="403"/>
      <c r="R71" s="403"/>
      <c r="S71" s="361"/>
      <c r="T71" s="348"/>
    </row>
    <row r="72" spans="1:20" s="349" customFormat="1" x14ac:dyDescent="0.3">
      <c r="A72" s="365"/>
      <c r="B72" s="358" t="s">
        <v>16</v>
      </c>
      <c r="C72" s="403"/>
      <c r="D72" s="403"/>
      <c r="E72" s="403"/>
      <c r="F72" s="403"/>
      <c r="G72" s="403"/>
      <c r="H72" s="403"/>
      <c r="I72" s="403"/>
      <c r="J72" s="403"/>
      <c r="K72" s="403"/>
      <c r="L72" s="403"/>
      <c r="M72" s="403"/>
      <c r="N72" s="403"/>
      <c r="O72" s="403"/>
      <c r="P72" s="403"/>
      <c r="Q72" s="403"/>
      <c r="R72" s="403"/>
      <c r="S72" s="361"/>
      <c r="T72" s="348"/>
    </row>
    <row r="73" spans="1:20" s="349" customFormat="1" x14ac:dyDescent="0.3">
      <c r="A73" s="365"/>
      <c r="B73" s="358"/>
      <c r="C73" s="403"/>
      <c r="D73" s="403"/>
      <c r="E73" s="403"/>
      <c r="F73" s="403"/>
      <c r="G73" s="403"/>
      <c r="H73" s="403"/>
      <c r="I73" s="403"/>
      <c r="J73" s="403"/>
      <c r="K73" s="403"/>
      <c r="L73" s="403"/>
      <c r="M73" s="403"/>
      <c r="N73" s="403"/>
      <c r="O73" s="403"/>
      <c r="P73" s="403"/>
      <c r="Q73" s="403"/>
      <c r="R73" s="403"/>
      <c r="S73" s="361"/>
      <c r="T73" s="348"/>
    </row>
    <row r="74" spans="1:20" s="349" customFormat="1" x14ac:dyDescent="0.3">
      <c r="A74" s="365"/>
      <c r="B74" s="358" t="s">
        <v>17</v>
      </c>
      <c r="C74" s="403"/>
      <c r="D74" s="403"/>
      <c r="E74" s="403"/>
      <c r="F74" s="403"/>
      <c r="G74" s="403"/>
      <c r="H74" s="403"/>
      <c r="I74" s="403"/>
      <c r="J74" s="403"/>
      <c r="K74" s="403"/>
      <c r="L74" s="403"/>
      <c r="M74" s="403"/>
      <c r="N74" s="403"/>
      <c r="O74" s="403"/>
      <c r="P74" s="403"/>
      <c r="Q74" s="403"/>
      <c r="R74" s="403"/>
      <c r="S74" s="361"/>
      <c r="T74" s="348"/>
    </row>
    <row r="75" spans="1:20" s="349" customFormat="1" x14ac:dyDescent="0.3">
      <c r="A75" s="365"/>
      <c r="B75" s="358"/>
      <c r="C75" s="403"/>
      <c r="D75" s="403"/>
      <c r="E75" s="403"/>
      <c r="F75" s="403"/>
      <c r="G75" s="403"/>
      <c r="H75" s="403"/>
      <c r="I75" s="403"/>
      <c r="J75" s="403"/>
      <c r="K75" s="403"/>
      <c r="L75" s="403"/>
      <c r="M75" s="403"/>
      <c r="N75" s="403"/>
      <c r="O75" s="403"/>
      <c r="P75" s="403"/>
      <c r="Q75" s="403"/>
      <c r="R75" s="403"/>
      <c r="S75" s="361"/>
      <c r="T75" s="348"/>
    </row>
    <row r="76" spans="1:20" s="349" customFormat="1" x14ac:dyDescent="0.3">
      <c r="A76" s="365"/>
      <c r="B76" s="358" t="s">
        <v>19</v>
      </c>
      <c r="C76" s="403"/>
      <c r="D76" s="403"/>
      <c r="E76" s="403"/>
      <c r="F76" s="403">
        <v>0</v>
      </c>
      <c r="G76" s="403"/>
      <c r="H76" s="403">
        <v>0</v>
      </c>
      <c r="I76" s="403"/>
      <c r="J76" s="403"/>
      <c r="K76" s="403"/>
      <c r="L76" s="403"/>
      <c r="M76" s="403"/>
      <c r="N76" s="403"/>
      <c r="O76" s="403"/>
      <c r="P76" s="403"/>
      <c r="Q76" s="403"/>
      <c r="R76" s="404">
        <v>0</v>
      </c>
      <c r="S76" s="361"/>
      <c r="T76" s="348"/>
    </row>
    <row r="77" spans="1:20" s="349" customFormat="1" x14ac:dyDescent="0.3">
      <c r="A77" s="365"/>
      <c r="B77" s="358" t="s">
        <v>196</v>
      </c>
      <c r="C77" s="403"/>
      <c r="D77" s="403"/>
      <c r="E77" s="403"/>
      <c r="F77" s="403">
        <v>53165</v>
      </c>
      <c r="G77" s="403"/>
      <c r="H77" s="403">
        <v>0</v>
      </c>
      <c r="I77" s="403"/>
      <c r="J77" s="403">
        <v>0</v>
      </c>
      <c r="K77" s="403"/>
      <c r="L77" s="403">
        <v>0</v>
      </c>
      <c r="M77" s="403"/>
      <c r="N77" s="403"/>
      <c r="O77" s="403"/>
      <c r="P77" s="403"/>
      <c r="Q77" s="403"/>
      <c r="R77" s="403">
        <v>0</v>
      </c>
      <c r="S77" s="361"/>
      <c r="T77" s="348"/>
    </row>
    <row r="78" spans="1:20" s="349" customFormat="1" x14ac:dyDescent="0.3">
      <c r="A78" s="365"/>
      <c r="B78" s="358" t="s">
        <v>206</v>
      </c>
      <c r="C78" s="403"/>
      <c r="D78" s="403"/>
      <c r="E78" s="403"/>
      <c r="F78" s="403">
        <v>2610</v>
      </c>
      <c r="G78" s="403"/>
      <c r="H78" s="403">
        <v>0</v>
      </c>
      <c r="I78" s="403"/>
      <c r="J78" s="403"/>
      <c r="K78" s="403"/>
      <c r="L78" s="403"/>
      <c r="M78" s="403"/>
      <c r="N78" s="403">
        <v>0</v>
      </c>
      <c r="O78" s="403"/>
      <c r="P78" s="403"/>
      <c r="Q78" s="403"/>
      <c r="R78" s="403">
        <f>H78+N78</f>
        <v>0</v>
      </c>
      <c r="S78" s="361"/>
      <c r="T78" s="348"/>
    </row>
    <row r="79" spans="1:20" s="349" customFormat="1" x14ac:dyDescent="0.3">
      <c r="A79" s="365"/>
      <c r="B79" s="358" t="s">
        <v>20</v>
      </c>
      <c r="C79" s="403"/>
      <c r="D79" s="403"/>
      <c r="E79" s="403"/>
      <c r="F79" s="403">
        <v>0</v>
      </c>
      <c r="G79" s="403"/>
      <c r="H79" s="403">
        <v>0</v>
      </c>
      <c r="I79" s="403"/>
      <c r="J79" s="403"/>
      <c r="K79" s="403"/>
      <c r="L79" s="403"/>
      <c r="M79" s="403"/>
      <c r="N79" s="403"/>
      <c r="O79" s="403"/>
      <c r="P79" s="403"/>
      <c r="Q79" s="403"/>
      <c r="R79" s="403">
        <v>0</v>
      </c>
      <c r="S79" s="361"/>
      <c r="T79" s="348"/>
    </row>
    <row r="80" spans="1:20" s="349" customFormat="1" x14ac:dyDescent="0.3">
      <c r="A80" s="365"/>
      <c r="B80" s="358" t="s">
        <v>21</v>
      </c>
      <c r="C80" s="403"/>
      <c r="D80" s="403"/>
      <c r="E80" s="403"/>
      <c r="F80" s="403">
        <f>SUM(F67:F79)</f>
        <v>300009</v>
      </c>
      <c r="G80" s="403"/>
      <c r="H80" s="403">
        <f>SUM(H67:H79)</f>
        <v>80225</v>
      </c>
      <c r="I80" s="403"/>
      <c r="J80" s="403"/>
      <c r="K80" s="403"/>
      <c r="L80" s="403"/>
      <c r="M80" s="403"/>
      <c r="N80" s="403"/>
      <c r="O80" s="403"/>
      <c r="P80" s="403"/>
      <c r="Q80" s="403"/>
      <c r="R80" s="403">
        <f>SUM(R67:R79)</f>
        <v>74480</v>
      </c>
      <c r="S80" s="361"/>
      <c r="T80" s="348"/>
    </row>
    <row r="81" spans="1:20" x14ac:dyDescent="0.3">
      <c r="A81" s="249"/>
      <c r="B81" s="277"/>
      <c r="C81" s="287"/>
      <c r="D81" s="287"/>
      <c r="E81" s="287"/>
      <c r="F81" s="287"/>
      <c r="G81" s="287"/>
      <c r="H81" s="287"/>
      <c r="I81" s="287"/>
      <c r="J81" s="287"/>
      <c r="K81" s="287"/>
      <c r="L81" s="287"/>
      <c r="M81" s="287"/>
      <c r="N81" s="287"/>
      <c r="O81" s="287"/>
      <c r="P81" s="287"/>
      <c r="Q81" s="287"/>
      <c r="R81" s="288"/>
      <c r="S81" s="252"/>
      <c r="T81" s="247"/>
    </row>
    <row r="82" spans="1:20" x14ac:dyDescent="0.3">
      <c r="A82" s="249"/>
      <c r="B82" s="251"/>
      <c r="C82" s="251"/>
      <c r="D82" s="251"/>
      <c r="E82" s="251"/>
      <c r="F82" s="251"/>
      <c r="G82" s="251"/>
      <c r="H82" s="251"/>
      <c r="I82" s="251"/>
      <c r="J82" s="251"/>
      <c r="K82" s="251"/>
      <c r="L82" s="251"/>
      <c r="M82" s="251"/>
      <c r="N82" s="251"/>
      <c r="O82" s="251"/>
      <c r="P82" s="251"/>
      <c r="Q82" s="251"/>
      <c r="R82" s="251"/>
      <c r="S82" s="252"/>
      <c r="T82" s="247"/>
    </row>
    <row r="83" spans="1:20" x14ac:dyDescent="0.3">
      <c r="A83" s="443"/>
      <c r="B83" s="452" t="s">
        <v>22</v>
      </c>
      <c r="C83" s="452"/>
      <c r="D83" s="453"/>
      <c r="E83" s="453"/>
      <c r="F83" s="453"/>
      <c r="G83" s="453"/>
      <c r="H83" s="454" t="s">
        <v>77</v>
      </c>
      <c r="I83" s="453"/>
      <c r="J83" s="455">
        <f>+P206</f>
        <v>43343</v>
      </c>
      <c r="K83" s="453"/>
      <c r="L83" s="453"/>
      <c r="M83" s="453"/>
      <c r="N83" s="453"/>
      <c r="O83" s="453"/>
      <c r="P83" s="453" t="s">
        <v>87</v>
      </c>
      <c r="Q83" s="453"/>
      <c r="R83" s="453" t="s">
        <v>93</v>
      </c>
      <c r="S83" s="445"/>
      <c r="T83" s="247"/>
    </row>
    <row r="84" spans="1:20" s="349" customFormat="1" x14ac:dyDescent="0.3">
      <c r="A84" s="344"/>
      <c r="B84" s="393" t="s">
        <v>23</v>
      </c>
      <c r="C84" s="393"/>
      <c r="D84" s="393"/>
      <c r="E84" s="393"/>
      <c r="F84" s="393"/>
      <c r="G84" s="393"/>
      <c r="H84" s="393"/>
      <c r="I84" s="393"/>
      <c r="J84" s="393"/>
      <c r="K84" s="393"/>
      <c r="L84" s="393"/>
      <c r="M84" s="393"/>
      <c r="N84" s="393"/>
      <c r="O84" s="393"/>
      <c r="P84" s="408">
        <v>0</v>
      </c>
      <c r="Q84" s="393"/>
      <c r="R84" s="411">
        <v>0</v>
      </c>
      <c r="S84" s="347"/>
      <c r="T84" s="348"/>
    </row>
    <row r="85" spans="1:20" s="349" customFormat="1" x14ac:dyDescent="0.3">
      <c r="A85" s="365"/>
      <c r="B85" s="358" t="s">
        <v>218</v>
      </c>
      <c r="C85" s="358"/>
      <c r="D85" s="383"/>
      <c r="E85" s="383"/>
      <c r="F85" s="383"/>
      <c r="G85" s="405"/>
      <c r="H85" s="383"/>
      <c r="I85" s="358"/>
      <c r="J85" s="406"/>
      <c r="K85" s="358"/>
      <c r="L85" s="358"/>
      <c r="M85" s="358"/>
      <c r="N85" s="358"/>
      <c r="O85" s="358"/>
      <c r="P85" s="403">
        <f>-N78</f>
        <v>0</v>
      </c>
      <c r="Q85" s="358"/>
      <c r="R85" s="404"/>
      <c r="S85" s="361"/>
      <c r="T85" s="348"/>
    </row>
    <row r="86" spans="1:20" s="349" customFormat="1" x14ac:dyDescent="0.3">
      <c r="A86" s="365"/>
      <c r="B86" s="358" t="s">
        <v>219</v>
      </c>
      <c r="C86" s="358"/>
      <c r="D86" s="383"/>
      <c r="E86" s="383"/>
      <c r="F86" s="383"/>
      <c r="G86" s="405"/>
      <c r="H86" s="383"/>
      <c r="I86" s="358"/>
      <c r="J86" s="406"/>
      <c r="K86" s="358"/>
      <c r="L86" s="358"/>
      <c r="M86" s="358"/>
      <c r="N86" s="358"/>
      <c r="O86" s="358"/>
      <c r="P86" s="403">
        <v>0</v>
      </c>
      <c r="Q86" s="358"/>
      <c r="R86" s="404"/>
      <c r="S86" s="361"/>
      <c r="T86" s="348"/>
    </row>
    <row r="87" spans="1:20" s="349" customFormat="1" x14ac:dyDescent="0.3">
      <c r="A87" s="365"/>
      <c r="B87" s="358" t="s">
        <v>24</v>
      </c>
      <c r="C87" s="358"/>
      <c r="D87" s="383"/>
      <c r="E87" s="383"/>
      <c r="F87" s="383"/>
      <c r="G87" s="405"/>
      <c r="H87" s="383"/>
      <c r="I87" s="358"/>
      <c r="J87" s="406"/>
      <c r="K87" s="358"/>
      <c r="L87" s="358"/>
      <c r="M87" s="358"/>
      <c r="N87" s="358"/>
      <c r="O87" s="358"/>
      <c r="P87" s="403">
        <f>+J64+L64+P64</f>
        <v>5770</v>
      </c>
      <c r="Q87" s="358"/>
      <c r="R87" s="404"/>
      <c r="S87" s="361"/>
      <c r="T87" s="348"/>
    </row>
    <row r="88" spans="1:20" s="349" customFormat="1" x14ac:dyDescent="0.3">
      <c r="A88" s="365"/>
      <c r="B88" s="358" t="s">
        <v>135</v>
      </c>
      <c r="C88" s="358"/>
      <c r="D88" s="383"/>
      <c r="E88" s="383"/>
      <c r="F88" s="383"/>
      <c r="G88" s="405"/>
      <c r="H88" s="383"/>
      <c r="I88" s="358"/>
      <c r="J88" s="406"/>
      <c r="K88" s="358"/>
      <c r="L88" s="358"/>
      <c r="M88" s="358"/>
      <c r="N88" s="358"/>
      <c r="O88" s="358"/>
      <c r="P88" s="403"/>
      <c r="Q88" s="358"/>
      <c r="R88" s="404">
        <f>1243-317</f>
        <v>926</v>
      </c>
      <c r="S88" s="361"/>
      <c r="T88" s="348"/>
    </row>
    <row r="89" spans="1:20" s="349" customFormat="1" x14ac:dyDescent="0.3">
      <c r="A89" s="365"/>
      <c r="B89" s="358" t="s">
        <v>133</v>
      </c>
      <c r="C89" s="358"/>
      <c r="D89" s="383"/>
      <c r="E89" s="383"/>
      <c r="F89" s="383"/>
      <c r="G89" s="405"/>
      <c r="H89" s="383"/>
      <c r="I89" s="358"/>
      <c r="J89" s="406"/>
      <c r="K89" s="358"/>
      <c r="L89" s="358"/>
      <c r="M89" s="358"/>
      <c r="N89" s="358"/>
      <c r="O89" s="358"/>
      <c r="P89" s="403"/>
      <c r="Q89" s="358"/>
      <c r="R89" s="404">
        <v>43</v>
      </c>
      <c r="S89" s="361"/>
      <c r="T89" s="348"/>
    </row>
    <row r="90" spans="1:20" s="349" customFormat="1" x14ac:dyDescent="0.3">
      <c r="A90" s="365"/>
      <c r="B90" s="358" t="s">
        <v>134</v>
      </c>
      <c r="C90" s="358"/>
      <c r="D90" s="383"/>
      <c r="E90" s="383"/>
      <c r="F90" s="383"/>
      <c r="G90" s="405"/>
      <c r="H90" s="383"/>
      <c r="I90" s="358"/>
      <c r="J90" s="406"/>
      <c r="K90" s="358"/>
      <c r="L90" s="358"/>
      <c r="M90" s="358"/>
      <c r="N90" s="358"/>
      <c r="O90" s="358"/>
      <c r="P90" s="403"/>
      <c r="Q90" s="358"/>
      <c r="R90" s="404">
        <v>19</v>
      </c>
      <c r="S90" s="361"/>
      <c r="T90" s="348"/>
    </row>
    <row r="91" spans="1:20" s="349" customFormat="1" x14ac:dyDescent="0.3">
      <c r="A91" s="365"/>
      <c r="B91" s="358" t="s">
        <v>143</v>
      </c>
      <c r="C91" s="358"/>
      <c r="D91" s="383"/>
      <c r="E91" s="383"/>
      <c r="F91" s="383"/>
      <c r="G91" s="405"/>
      <c r="H91" s="383"/>
      <c r="I91" s="358"/>
      <c r="J91" s="406"/>
      <c r="K91" s="358"/>
      <c r="L91" s="358"/>
      <c r="M91" s="358"/>
      <c r="N91" s="358"/>
      <c r="O91" s="358"/>
      <c r="P91" s="403"/>
      <c r="Q91" s="358"/>
      <c r="R91" s="404">
        <v>0</v>
      </c>
      <c r="S91" s="361"/>
      <c r="T91" s="348"/>
    </row>
    <row r="92" spans="1:20" s="349" customFormat="1" x14ac:dyDescent="0.3">
      <c r="A92" s="365"/>
      <c r="B92" s="358" t="s">
        <v>145</v>
      </c>
      <c r="C92" s="358"/>
      <c r="D92" s="383"/>
      <c r="E92" s="383"/>
      <c r="F92" s="383"/>
      <c r="G92" s="405"/>
      <c r="H92" s="383"/>
      <c r="I92" s="358"/>
      <c r="J92" s="406"/>
      <c r="K92" s="358"/>
      <c r="L92" s="358"/>
      <c r="M92" s="358"/>
      <c r="N92" s="358"/>
      <c r="O92" s="358"/>
      <c r="P92" s="403"/>
      <c r="Q92" s="358"/>
      <c r="R92" s="404">
        <v>125</v>
      </c>
      <c r="S92" s="361"/>
      <c r="T92" s="348"/>
    </row>
    <row r="93" spans="1:20" s="349" customFormat="1" x14ac:dyDescent="0.3">
      <c r="A93" s="365"/>
      <c r="B93" s="358" t="s">
        <v>164</v>
      </c>
      <c r="C93" s="358"/>
      <c r="D93" s="383"/>
      <c r="E93" s="383"/>
      <c r="F93" s="383"/>
      <c r="G93" s="405"/>
      <c r="H93" s="383"/>
      <c r="I93" s="358"/>
      <c r="J93" s="406"/>
      <c r="K93" s="358"/>
      <c r="L93" s="358"/>
      <c r="M93" s="358"/>
      <c r="N93" s="358"/>
      <c r="O93" s="358"/>
      <c r="P93" s="403"/>
      <c r="Q93" s="358"/>
      <c r="R93" s="404">
        <v>0</v>
      </c>
      <c r="S93" s="361"/>
      <c r="T93" s="348"/>
    </row>
    <row r="94" spans="1:20" s="349" customFormat="1" x14ac:dyDescent="0.3">
      <c r="A94" s="365"/>
      <c r="B94" s="358" t="s">
        <v>165</v>
      </c>
      <c r="C94" s="358"/>
      <c r="D94" s="383"/>
      <c r="E94" s="383"/>
      <c r="F94" s="383"/>
      <c r="G94" s="405"/>
      <c r="H94" s="383"/>
      <c r="I94" s="358"/>
      <c r="J94" s="406"/>
      <c r="K94" s="358"/>
      <c r="L94" s="358"/>
      <c r="M94" s="358"/>
      <c r="N94" s="358"/>
      <c r="O94" s="358"/>
      <c r="P94" s="403"/>
      <c r="Q94" s="358"/>
      <c r="R94" s="404">
        <v>0</v>
      </c>
      <c r="S94" s="361"/>
      <c r="T94" s="348"/>
    </row>
    <row r="95" spans="1:20" s="349" customFormat="1" x14ac:dyDescent="0.3">
      <c r="A95" s="365"/>
      <c r="B95" s="358" t="s">
        <v>166</v>
      </c>
      <c r="C95" s="358"/>
      <c r="D95" s="358"/>
      <c r="E95" s="358"/>
      <c r="F95" s="358"/>
      <c r="G95" s="358"/>
      <c r="H95" s="358"/>
      <c r="I95" s="358"/>
      <c r="J95" s="358"/>
      <c r="K95" s="358"/>
      <c r="L95" s="358"/>
      <c r="M95" s="358"/>
      <c r="N95" s="358"/>
      <c r="O95" s="358"/>
      <c r="P95" s="403"/>
      <c r="Q95" s="358"/>
      <c r="R95" s="404">
        <v>0</v>
      </c>
      <c r="S95" s="361"/>
      <c r="T95" s="348"/>
    </row>
    <row r="96" spans="1:20" s="349" customFormat="1" x14ac:dyDescent="0.3">
      <c r="A96" s="365"/>
      <c r="B96" s="358" t="s">
        <v>264</v>
      </c>
      <c r="C96" s="358"/>
      <c r="D96" s="358"/>
      <c r="E96" s="358"/>
      <c r="F96" s="358"/>
      <c r="G96" s="358"/>
      <c r="H96" s="358"/>
      <c r="I96" s="358"/>
      <c r="J96" s="358"/>
      <c r="K96" s="358"/>
      <c r="L96" s="358"/>
      <c r="M96" s="358"/>
      <c r="N96" s="358"/>
      <c r="O96" s="358"/>
      <c r="P96" s="403"/>
      <c r="Q96" s="358"/>
      <c r="R96" s="404">
        <v>0</v>
      </c>
      <c r="S96" s="361"/>
      <c r="T96" s="348"/>
    </row>
    <row r="97" spans="1:21" s="349" customFormat="1" x14ac:dyDescent="0.3">
      <c r="A97" s="365"/>
      <c r="B97" s="358" t="s">
        <v>25</v>
      </c>
      <c r="C97" s="358"/>
      <c r="D97" s="358"/>
      <c r="E97" s="358"/>
      <c r="F97" s="358"/>
      <c r="G97" s="358"/>
      <c r="H97" s="358"/>
      <c r="I97" s="358"/>
      <c r="J97" s="358"/>
      <c r="K97" s="358"/>
      <c r="L97" s="358"/>
      <c r="M97" s="358"/>
      <c r="N97" s="358"/>
      <c r="O97" s="358"/>
      <c r="P97" s="403">
        <f>SUM(P84:P96)</f>
        <v>5770</v>
      </c>
      <c r="Q97" s="358"/>
      <c r="R97" s="403">
        <f>SUM(R84:R96)</f>
        <v>1113</v>
      </c>
      <c r="S97" s="361"/>
      <c r="T97" s="348"/>
    </row>
    <row r="98" spans="1:21" s="349" customFormat="1" x14ac:dyDescent="0.3">
      <c r="A98" s="365"/>
      <c r="B98" s="358" t="s">
        <v>26</v>
      </c>
      <c r="C98" s="358"/>
      <c r="D98" s="358"/>
      <c r="E98" s="358"/>
      <c r="F98" s="358"/>
      <c r="G98" s="358"/>
      <c r="H98" s="358"/>
      <c r="I98" s="358"/>
      <c r="J98" s="358"/>
      <c r="K98" s="358"/>
      <c r="L98" s="358"/>
      <c r="M98" s="358"/>
      <c r="N98" s="358"/>
      <c r="O98" s="358"/>
      <c r="P98" s="403">
        <f>-R98</f>
        <v>0</v>
      </c>
      <c r="Q98" s="358"/>
      <c r="R98" s="404">
        <v>0</v>
      </c>
      <c r="S98" s="361"/>
      <c r="T98" s="348"/>
    </row>
    <row r="99" spans="1:21" s="349" customFormat="1" x14ac:dyDescent="0.3">
      <c r="A99" s="365"/>
      <c r="B99" s="358" t="s">
        <v>150</v>
      </c>
      <c r="C99" s="358"/>
      <c r="D99" s="358"/>
      <c r="E99" s="358"/>
      <c r="F99" s="358"/>
      <c r="G99" s="358"/>
      <c r="H99" s="358"/>
      <c r="I99" s="358"/>
      <c r="J99" s="358"/>
      <c r="K99" s="358"/>
      <c r="L99" s="358"/>
      <c r="M99" s="358"/>
      <c r="N99" s="358"/>
      <c r="O99" s="358"/>
      <c r="P99" s="403"/>
      <c r="Q99" s="358"/>
      <c r="R99" s="404">
        <v>0</v>
      </c>
      <c r="S99" s="361"/>
      <c r="T99" s="348"/>
    </row>
    <row r="100" spans="1:21" s="349" customFormat="1" x14ac:dyDescent="0.3">
      <c r="A100" s="365"/>
      <c r="B100" s="358" t="s">
        <v>27</v>
      </c>
      <c r="C100" s="358"/>
      <c r="D100" s="358"/>
      <c r="E100" s="358"/>
      <c r="F100" s="358"/>
      <c r="G100" s="358"/>
      <c r="H100" s="358"/>
      <c r="I100" s="358"/>
      <c r="J100" s="358"/>
      <c r="K100" s="358"/>
      <c r="L100" s="358"/>
      <c r="M100" s="358"/>
      <c r="N100" s="358"/>
      <c r="O100" s="358"/>
      <c r="P100" s="403">
        <f>P97+P98</f>
        <v>5770</v>
      </c>
      <c r="Q100" s="358"/>
      <c r="R100" s="403">
        <f>R97+R98+R99</f>
        <v>1113</v>
      </c>
      <c r="S100" s="361"/>
      <c r="T100" s="348"/>
    </row>
    <row r="101" spans="1:21" x14ac:dyDescent="0.3">
      <c r="A101" s="276"/>
      <c r="B101" s="293" t="s">
        <v>28</v>
      </c>
      <c r="C101" s="291"/>
      <c r="D101" s="291"/>
      <c r="E101" s="291"/>
      <c r="F101" s="291"/>
      <c r="G101" s="291"/>
      <c r="H101" s="291"/>
      <c r="I101" s="291"/>
      <c r="J101" s="291"/>
      <c r="K101" s="291"/>
      <c r="L101" s="291"/>
      <c r="M101" s="291"/>
      <c r="N101" s="291"/>
      <c r="O101" s="291"/>
      <c r="P101" s="285"/>
      <c r="Q101" s="263"/>
      <c r="R101" s="286"/>
      <c r="S101" s="292"/>
      <c r="T101" s="247"/>
    </row>
    <row r="102" spans="1:21" s="349" customFormat="1" x14ac:dyDescent="0.3">
      <c r="A102" s="365">
        <v>1</v>
      </c>
      <c r="B102" s="358" t="s">
        <v>175</v>
      </c>
      <c r="C102" s="358"/>
      <c r="D102" s="358"/>
      <c r="E102" s="358"/>
      <c r="F102" s="358"/>
      <c r="G102" s="358"/>
      <c r="H102" s="358"/>
      <c r="I102" s="358"/>
      <c r="J102" s="358"/>
      <c r="K102" s="358"/>
      <c r="L102" s="358"/>
      <c r="M102" s="358"/>
      <c r="N102" s="358"/>
      <c r="O102" s="358"/>
      <c r="P102" s="403"/>
      <c r="Q102" s="358"/>
      <c r="R102" s="404">
        <v>0</v>
      </c>
      <c r="S102" s="361"/>
      <c r="T102" s="348"/>
    </row>
    <row r="103" spans="1:21" s="349" customFormat="1" x14ac:dyDescent="0.3">
      <c r="A103" s="365">
        <v>2</v>
      </c>
      <c r="B103" s="358" t="s">
        <v>195</v>
      </c>
      <c r="C103" s="358"/>
      <c r="D103" s="358"/>
      <c r="E103" s="358"/>
      <c r="F103" s="358"/>
      <c r="G103" s="358"/>
      <c r="H103" s="358"/>
      <c r="I103" s="358"/>
      <c r="J103" s="358"/>
      <c r="K103" s="358"/>
      <c r="L103" s="358"/>
      <c r="M103" s="358"/>
      <c r="N103" s="358"/>
      <c r="O103" s="358"/>
      <c r="P103" s="358"/>
      <c r="Q103" s="358"/>
      <c r="R103" s="404">
        <v>-3</v>
      </c>
      <c r="S103" s="361"/>
      <c r="T103" s="348"/>
    </row>
    <row r="104" spans="1:21" s="349" customFormat="1" x14ac:dyDescent="0.3">
      <c r="A104" s="365">
        <v>3</v>
      </c>
      <c r="B104" s="358" t="s">
        <v>287</v>
      </c>
      <c r="C104" s="358"/>
      <c r="D104" s="358"/>
      <c r="E104" s="358"/>
      <c r="F104" s="358"/>
      <c r="G104" s="358"/>
      <c r="H104" s="358"/>
      <c r="I104" s="358"/>
      <c r="J104" s="358"/>
      <c r="K104" s="358"/>
      <c r="L104" s="358"/>
      <c r="M104" s="358"/>
      <c r="N104" s="358"/>
      <c r="O104" s="358"/>
      <c r="P104" s="358"/>
      <c r="Q104" s="358"/>
      <c r="R104" s="404">
        <f>-31-4-3</f>
        <v>-38</v>
      </c>
      <c r="S104" s="361"/>
      <c r="T104" s="348"/>
    </row>
    <row r="105" spans="1:21" s="349" customFormat="1" x14ac:dyDescent="0.3">
      <c r="A105" s="365">
        <v>4</v>
      </c>
      <c r="B105" s="358" t="s">
        <v>96</v>
      </c>
      <c r="C105" s="358"/>
      <c r="D105" s="358"/>
      <c r="E105" s="358"/>
      <c r="F105" s="358"/>
      <c r="G105" s="358"/>
      <c r="H105" s="358"/>
      <c r="I105" s="358"/>
      <c r="J105" s="358"/>
      <c r="K105" s="358"/>
      <c r="L105" s="358"/>
      <c r="M105" s="358"/>
      <c r="N105" s="358"/>
      <c r="O105" s="358"/>
      <c r="P105" s="358"/>
      <c r="Q105" s="358"/>
      <c r="R105" s="404">
        <v>-23</v>
      </c>
      <c r="S105" s="361"/>
      <c r="T105" s="348"/>
    </row>
    <row r="106" spans="1:21" s="349" customFormat="1" x14ac:dyDescent="0.3">
      <c r="A106" s="365" t="s">
        <v>274</v>
      </c>
      <c r="B106" s="358" t="s">
        <v>272</v>
      </c>
      <c r="C106" s="358"/>
      <c r="D106" s="358"/>
      <c r="E106" s="358"/>
      <c r="F106" s="358"/>
      <c r="G106" s="358"/>
      <c r="H106" s="358"/>
      <c r="I106" s="358"/>
      <c r="J106" s="358"/>
      <c r="K106" s="358"/>
      <c r="L106" s="358"/>
      <c r="M106" s="358"/>
      <c r="N106" s="358"/>
      <c r="O106" s="358"/>
      <c r="P106" s="358"/>
      <c r="Q106" s="358"/>
      <c r="R106" s="404">
        <v>-91</v>
      </c>
      <c r="S106" s="361"/>
      <c r="T106" s="348"/>
      <c r="U106" s="407"/>
    </row>
    <row r="107" spans="1:21" s="349" customFormat="1" x14ac:dyDescent="0.3">
      <c r="A107" s="365" t="s">
        <v>275</v>
      </c>
      <c r="B107" s="358" t="s">
        <v>266</v>
      </c>
      <c r="C107" s="358"/>
      <c r="D107" s="358"/>
      <c r="E107" s="358"/>
      <c r="F107" s="358"/>
      <c r="G107" s="358"/>
      <c r="H107" s="358"/>
      <c r="I107" s="358"/>
      <c r="J107" s="358"/>
      <c r="K107" s="358"/>
      <c r="L107" s="358"/>
      <c r="M107" s="358"/>
      <c r="N107" s="358"/>
      <c r="O107" s="358"/>
      <c r="P107" s="358"/>
      <c r="Q107" s="358"/>
      <c r="R107" s="404">
        <v>-102</v>
      </c>
      <c r="S107" s="361"/>
      <c r="T107" s="348"/>
      <c r="U107" s="407"/>
    </row>
    <row r="108" spans="1:21" s="349" customFormat="1" x14ac:dyDescent="0.3">
      <c r="A108" s="365">
        <v>6</v>
      </c>
      <c r="B108" s="358" t="s">
        <v>189</v>
      </c>
      <c r="C108" s="358"/>
      <c r="D108" s="358"/>
      <c r="E108" s="358"/>
      <c r="F108" s="358"/>
      <c r="G108" s="358"/>
      <c r="H108" s="358"/>
      <c r="I108" s="358"/>
      <c r="J108" s="358"/>
      <c r="K108" s="358"/>
      <c r="L108" s="358"/>
      <c r="M108" s="358"/>
      <c r="N108" s="358"/>
      <c r="O108" s="358"/>
      <c r="P108" s="358"/>
      <c r="Q108" s="358"/>
      <c r="R108" s="404">
        <v>-61</v>
      </c>
      <c r="S108" s="361"/>
      <c r="T108" s="348"/>
      <c r="U108" s="407"/>
    </row>
    <row r="109" spans="1:21" s="349" customFormat="1" x14ac:dyDescent="0.3">
      <c r="A109" s="365">
        <v>7</v>
      </c>
      <c r="B109" s="358" t="s">
        <v>190</v>
      </c>
      <c r="C109" s="358"/>
      <c r="D109" s="358"/>
      <c r="E109" s="358"/>
      <c r="F109" s="358"/>
      <c r="G109" s="358"/>
      <c r="H109" s="358"/>
      <c r="I109" s="358"/>
      <c r="J109" s="358"/>
      <c r="K109" s="358"/>
      <c r="L109" s="358"/>
      <c r="M109" s="358"/>
      <c r="N109" s="358"/>
      <c r="O109" s="358"/>
      <c r="P109" s="358"/>
      <c r="Q109" s="358"/>
      <c r="R109" s="404">
        <v>-70</v>
      </c>
      <c r="S109" s="361"/>
      <c r="T109" s="348"/>
      <c r="U109" s="407"/>
    </row>
    <row r="110" spans="1:21" s="349" customFormat="1" x14ac:dyDescent="0.3">
      <c r="A110" s="365">
        <v>8</v>
      </c>
      <c r="B110" s="358" t="s">
        <v>156</v>
      </c>
      <c r="C110" s="358"/>
      <c r="D110" s="358"/>
      <c r="E110" s="358"/>
      <c r="F110" s="358"/>
      <c r="G110" s="358"/>
      <c r="H110" s="358"/>
      <c r="I110" s="358"/>
      <c r="J110" s="358"/>
      <c r="K110" s="358"/>
      <c r="L110" s="358"/>
      <c r="M110" s="358"/>
      <c r="N110" s="358"/>
      <c r="O110" s="358"/>
      <c r="P110" s="358"/>
      <c r="Q110" s="358"/>
      <c r="R110" s="404">
        <v>0</v>
      </c>
      <c r="S110" s="361"/>
      <c r="T110" s="348"/>
      <c r="U110" s="407"/>
    </row>
    <row r="111" spans="1:21" s="349" customFormat="1" x14ac:dyDescent="0.3">
      <c r="A111" s="365">
        <v>9</v>
      </c>
      <c r="B111" s="358" t="s">
        <v>37</v>
      </c>
      <c r="C111" s="358"/>
      <c r="D111" s="358"/>
      <c r="E111" s="358"/>
      <c r="F111" s="358"/>
      <c r="G111" s="358"/>
      <c r="H111" s="358"/>
      <c r="I111" s="358"/>
      <c r="J111" s="358"/>
      <c r="K111" s="358"/>
      <c r="L111" s="358"/>
      <c r="M111" s="358"/>
      <c r="N111" s="358"/>
      <c r="O111" s="358"/>
      <c r="P111" s="403">
        <f>-R111</f>
        <v>0</v>
      </c>
      <c r="Q111" s="358"/>
      <c r="R111" s="404">
        <v>0</v>
      </c>
      <c r="S111" s="361"/>
      <c r="T111" s="348"/>
    </row>
    <row r="112" spans="1:21" s="349" customFormat="1" x14ac:dyDescent="0.3">
      <c r="A112" s="365">
        <v>10</v>
      </c>
      <c r="B112" s="358" t="s">
        <v>101</v>
      </c>
      <c r="C112" s="358"/>
      <c r="D112" s="358"/>
      <c r="E112" s="358"/>
      <c r="F112" s="358"/>
      <c r="G112" s="358"/>
      <c r="H112" s="358"/>
      <c r="I112" s="358"/>
      <c r="J112" s="358"/>
      <c r="K112" s="358"/>
      <c r="L112" s="358"/>
      <c r="M112" s="358"/>
      <c r="N112" s="358"/>
      <c r="O112" s="358"/>
      <c r="P112" s="358"/>
      <c r="Q112" s="358"/>
      <c r="R112" s="404">
        <v>0</v>
      </c>
      <c r="S112" s="361"/>
      <c r="T112" s="348"/>
    </row>
    <row r="113" spans="1:20" s="349" customFormat="1" x14ac:dyDescent="0.3">
      <c r="A113" s="365">
        <v>11</v>
      </c>
      <c r="B113" s="358" t="s">
        <v>29</v>
      </c>
      <c r="C113" s="358"/>
      <c r="D113" s="358"/>
      <c r="E113" s="358"/>
      <c r="F113" s="358"/>
      <c r="G113" s="358"/>
      <c r="H113" s="358"/>
      <c r="I113" s="358"/>
      <c r="J113" s="358"/>
      <c r="K113" s="358"/>
      <c r="L113" s="358"/>
      <c r="M113" s="358"/>
      <c r="N113" s="358"/>
      <c r="O113" s="358"/>
      <c r="P113" s="358"/>
      <c r="Q113" s="358"/>
      <c r="R113" s="404">
        <v>-20</v>
      </c>
      <c r="S113" s="361"/>
      <c r="T113" s="348"/>
    </row>
    <row r="114" spans="1:20" s="349" customFormat="1" x14ac:dyDescent="0.3">
      <c r="A114" s="365">
        <v>12</v>
      </c>
      <c r="B114" s="358" t="s">
        <v>138</v>
      </c>
      <c r="C114" s="358"/>
      <c r="D114" s="358"/>
      <c r="E114" s="358"/>
      <c r="F114" s="358"/>
      <c r="G114" s="358"/>
      <c r="H114" s="358"/>
      <c r="I114" s="358"/>
      <c r="J114" s="358"/>
      <c r="K114" s="358"/>
      <c r="L114" s="358"/>
      <c r="M114" s="358"/>
      <c r="N114" s="358"/>
      <c r="O114" s="358"/>
      <c r="P114" s="358"/>
      <c r="Q114" s="358"/>
      <c r="R114" s="404">
        <v>0</v>
      </c>
      <c r="S114" s="361"/>
      <c r="T114" s="348"/>
    </row>
    <row r="115" spans="1:20" s="349" customFormat="1" x14ac:dyDescent="0.3">
      <c r="A115" s="365">
        <v>13</v>
      </c>
      <c r="B115" s="358" t="s">
        <v>267</v>
      </c>
      <c r="C115" s="358"/>
      <c r="D115" s="358"/>
      <c r="E115" s="358"/>
      <c r="F115" s="358"/>
      <c r="G115" s="358"/>
      <c r="H115" s="358"/>
      <c r="I115" s="358"/>
      <c r="J115" s="358"/>
      <c r="K115" s="358"/>
      <c r="L115" s="358"/>
      <c r="M115" s="358"/>
      <c r="N115" s="358"/>
      <c r="O115" s="358"/>
      <c r="P115" s="358"/>
      <c r="Q115" s="358"/>
      <c r="R115" s="404">
        <v>-51</v>
      </c>
      <c r="S115" s="361"/>
      <c r="T115" s="348"/>
    </row>
    <row r="116" spans="1:20" s="349" customFormat="1" x14ac:dyDescent="0.3">
      <c r="A116" s="365">
        <v>14</v>
      </c>
      <c r="B116" s="358" t="s">
        <v>157</v>
      </c>
      <c r="C116" s="358"/>
      <c r="D116" s="358"/>
      <c r="E116" s="358"/>
      <c r="F116" s="358"/>
      <c r="G116" s="358"/>
      <c r="H116" s="358"/>
      <c r="I116" s="358"/>
      <c r="J116" s="358"/>
      <c r="K116" s="358"/>
      <c r="L116" s="358"/>
      <c r="M116" s="358"/>
      <c r="N116" s="358"/>
      <c r="O116" s="358"/>
      <c r="P116" s="358"/>
      <c r="Q116" s="358"/>
      <c r="R116" s="404">
        <v>0</v>
      </c>
      <c r="S116" s="361"/>
      <c r="T116" s="348"/>
    </row>
    <row r="117" spans="1:20" s="349" customFormat="1" x14ac:dyDescent="0.3">
      <c r="A117" s="365">
        <v>15</v>
      </c>
      <c r="B117" s="358" t="s">
        <v>207</v>
      </c>
      <c r="C117" s="358"/>
      <c r="D117" s="358"/>
      <c r="E117" s="358"/>
      <c r="F117" s="358"/>
      <c r="G117" s="358"/>
      <c r="H117" s="358"/>
      <c r="I117" s="358"/>
      <c r="J117" s="358"/>
      <c r="K117" s="358"/>
      <c r="L117" s="358"/>
      <c r="M117" s="358"/>
      <c r="N117" s="358"/>
      <c r="O117" s="358"/>
      <c r="P117" s="358"/>
      <c r="Q117" s="358"/>
      <c r="R117" s="404">
        <v>-30</v>
      </c>
      <c r="S117" s="361"/>
      <c r="T117" s="348"/>
    </row>
    <row r="118" spans="1:20" s="349" customFormat="1" x14ac:dyDescent="0.3">
      <c r="A118" s="365">
        <v>16</v>
      </c>
      <c r="B118" s="358" t="s">
        <v>167</v>
      </c>
      <c r="C118" s="358"/>
      <c r="D118" s="358"/>
      <c r="E118" s="358"/>
      <c r="F118" s="358"/>
      <c r="G118" s="358"/>
      <c r="H118" s="358"/>
      <c r="I118" s="358"/>
      <c r="J118" s="358"/>
      <c r="K118" s="358"/>
      <c r="L118" s="358"/>
      <c r="M118" s="358"/>
      <c r="N118" s="358"/>
      <c r="O118" s="358"/>
      <c r="P118" s="358"/>
      <c r="Q118" s="358"/>
      <c r="R118" s="404">
        <f>-9-178</f>
        <v>-187</v>
      </c>
      <c r="S118" s="361"/>
      <c r="T118" s="348"/>
    </row>
    <row r="119" spans="1:20" s="349" customFormat="1" x14ac:dyDescent="0.3">
      <c r="A119" s="365">
        <v>17</v>
      </c>
      <c r="B119" s="358" t="s">
        <v>268</v>
      </c>
      <c r="C119" s="358"/>
      <c r="D119" s="358"/>
      <c r="E119" s="358"/>
      <c r="F119" s="358"/>
      <c r="G119" s="358"/>
      <c r="H119" s="358"/>
      <c r="I119" s="358"/>
      <c r="J119" s="358"/>
      <c r="K119" s="358"/>
      <c r="L119" s="358"/>
      <c r="M119" s="358"/>
      <c r="N119" s="358"/>
      <c r="O119" s="358"/>
      <c r="P119" s="358"/>
      <c r="Q119" s="358"/>
      <c r="R119" s="404">
        <f>-R100-SUM(R102:R118)</f>
        <v>-437</v>
      </c>
      <c r="S119" s="361"/>
      <c r="T119" s="348"/>
    </row>
    <row r="120" spans="1:20" x14ac:dyDescent="0.3">
      <c r="A120" s="276"/>
      <c r="B120" s="293" t="s">
        <v>30</v>
      </c>
      <c r="C120" s="291"/>
      <c r="D120" s="291"/>
      <c r="E120" s="291"/>
      <c r="F120" s="291"/>
      <c r="G120" s="291"/>
      <c r="H120" s="291"/>
      <c r="I120" s="291"/>
      <c r="J120" s="291"/>
      <c r="K120" s="291"/>
      <c r="L120" s="291"/>
      <c r="M120" s="291"/>
      <c r="N120" s="291"/>
      <c r="O120" s="291"/>
      <c r="P120" s="263"/>
      <c r="Q120" s="263"/>
      <c r="R120" s="294"/>
      <c r="S120" s="292"/>
      <c r="T120" s="247"/>
    </row>
    <row r="121" spans="1:20" s="349" customFormat="1" x14ac:dyDescent="0.3">
      <c r="A121" s="365"/>
      <c r="B121" s="358" t="s">
        <v>208</v>
      </c>
      <c r="C121" s="358"/>
      <c r="D121" s="358"/>
      <c r="E121" s="358"/>
      <c r="F121" s="358"/>
      <c r="G121" s="358"/>
      <c r="H121" s="358"/>
      <c r="I121" s="358"/>
      <c r="J121" s="358"/>
      <c r="K121" s="358"/>
      <c r="L121" s="358"/>
      <c r="M121" s="358"/>
      <c r="N121" s="358"/>
      <c r="O121" s="358"/>
      <c r="P121" s="403">
        <f>-P188</f>
        <v>0</v>
      </c>
      <c r="Q121" s="403"/>
      <c r="R121" s="404"/>
      <c r="S121" s="361"/>
      <c r="T121" s="348"/>
    </row>
    <row r="122" spans="1:20" s="349" customFormat="1" x14ac:dyDescent="0.3">
      <c r="A122" s="365"/>
      <c r="B122" s="358" t="s">
        <v>209</v>
      </c>
      <c r="C122" s="358"/>
      <c r="D122" s="358"/>
      <c r="E122" s="358"/>
      <c r="F122" s="358"/>
      <c r="G122" s="358"/>
      <c r="H122" s="358"/>
      <c r="I122" s="358"/>
      <c r="J122" s="358"/>
      <c r="K122" s="358"/>
      <c r="L122" s="358"/>
      <c r="M122" s="358"/>
      <c r="N122" s="358"/>
      <c r="O122" s="358"/>
      <c r="P122" s="403">
        <f>-O188</f>
        <v>-25</v>
      </c>
      <c r="Q122" s="403"/>
      <c r="R122" s="404"/>
      <c r="S122" s="361"/>
      <c r="T122" s="348"/>
    </row>
    <row r="123" spans="1:20" s="349" customFormat="1" x14ac:dyDescent="0.3">
      <c r="A123" s="365"/>
      <c r="B123" s="358" t="s">
        <v>270</v>
      </c>
      <c r="C123" s="358"/>
      <c r="D123" s="358"/>
      <c r="E123" s="358"/>
      <c r="F123" s="358"/>
      <c r="G123" s="358"/>
      <c r="H123" s="358"/>
      <c r="I123" s="358"/>
      <c r="J123" s="358"/>
      <c r="K123" s="358"/>
      <c r="L123" s="358"/>
      <c r="M123" s="358"/>
      <c r="N123" s="358"/>
      <c r="O123" s="358"/>
      <c r="P123" s="403">
        <v>-2499</v>
      </c>
      <c r="Q123" s="403"/>
      <c r="R123" s="404"/>
      <c r="S123" s="361"/>
      <c r="T123" s="348"/>
    </row>
    <row r="124" spans="1:20" s="349" customFormat="1" x14ac:dyDescent="0.3">
      <c r="A124" s="365"/>
      <c r="B124" s="358" t="s">
        <v>269</v>
      </c>
      <c r="C124" s="358"/>
      <c r="D124" s="358"/>
      <c r="E124" s="358"/>
      <c r="F124" s="358"/>
      <c r="G124" s="358"/>
      <c r="H124" s="358"/>
      <c r="I124" s="358"/>
      <c r="J124" s="358"/>
      <c r="K124" s="358"/>
      <c r="L124" s="358"/>
      <c r="M124" s="358"/>
      <c r="N124" s="358"/>
      <c r="O124" s="358"/>
      <c r="P124" s="403">
        <v>-3246</v>
      </c>
      <c r="Q124" s="403"/>
      <c r="R124" s="404"/>
      <c r="S124" s="361"/>
      <c r="T124" s="348"/>
    </row>
    <row r="125" spans="1:20" s="349" customFormat="1" x14ac:dyDescent="0.3">
      <c r="A125" s="365"/>
      <c r="B125" s="358" t="s">
        <v>181</v>
      </c>
      <c r="C125" s="358"/>
      <c r="D125" s="358"/>
      <c r="E125" s="358"/>
      <c r="F125" s="358"/>
      <c r="G125" s="358"/>
      <c r="H125" s="358"/>
      <c r="I125" s="358"/>
      <c r="J125" s="358"/>
      <c r="K125" s="358"/>
      <c r="L125" s="358"/>
      <c r="M125" s="358"/>
      <c r="N125" s="358"/>
      <c r="O125" s="358"/>
      <c r="P125" s="403">
        <v>0</v>
      </c>
      <c r="Q125" s="403"/>
      <c r="R125" s="404"/>
      <c r="S125" s="361"/>
      <c r="T125" s="348"/>
    </row>
    <row r="126" spans="1:20" s="349" customFormat="1" x14ac:dyDescent="0.3">
      <c r="A126" s="365"/>
      <c r="B126" s="358" t="s">
        <v>182</v>
      </c>
      <c r="C126" s="358"/>
      <c r="D126" s="358"/>
      <c r="E126" s="358"/>
      <c r="F126" s="358"/>
      <c r="G126" s="358"/>
      <c r="H126" s="358"/>
      <c r="I126" s="358"/>
      <c r="J126" s="358"/>
      <c r="K126" s="358"/>
      <c r="L126" s="358"/>
      <c r="M126" s="358"/>
      <c r="N126" s="358"/>
      <c r="O126" s="358"/>
      <c r="P126" s="403">
        <v>0</v>
      </c>
      <c r="Q126" s="403"/>
      <c r="R126" s="404"/>
      <c r="S126" s="361"/>
      <c r="T126" s="348"/>
    </row>
    <row r="127" spans="1:20" s="349" customFormat="1" x14ac:dyDescent="0.3">
      <c r="A127" s="365"/>
      <c r="B127" s="358" t="s">
        <v>271</v>
      </c>
      <c r="C127" s="358"/>
      <c r="D127" s="358"/>
      <c r="E127" s="358"/>
      <c r="F127" s="358"/>
      <c r="G127" s="358"/>
      <c r="H127" s="358"/>
      <c r="I127" s="358"/>
      <c r="J127" s="358"/>
      <c r="K127" s="358"/>
      <c r="L127" s="358"/>
      <c r="M127" s="358"/>
      <c r="N127" s="358"/>
      <c r="O127" s="358"/>
      <c r="P127" s="403">
        <v>0</v>
      </c>
      <c r="Q127" s="403"/>
      <c r="R127" s="404"/>
      <c r="S127" s="361"/>
      <c r="T127" s="348"/>
    </row>
    <row r="128" spans="1:20" s="349" customFormat="1" x14ac:dyDescent="0.3">
      <c r="A128" s="365"/>
      <c r="B128" s="358" t="s">
        <v>31</v>
      </c>
      <c r="C128" s="358"/>
      <c r="D128" s="358"/>
      <c r="E128" s="358"/>
      <c r="F128" s="358"/>
      <c r="G128" s="358"/>
      <c r="H128" s="358"/>
      <c r="I128" s="358"/>
      <c r="J128" s="358"/>
      <c r="K128" s="358"/>
      <c r="L128" s="358"/>
      <c r="M128" s="358"/>
      <c r="N128" s="358"/>
      <c r="O128" s="358"/>
      <c r="P128" s="403">
        <f>SUM(P121:P127)</f>
        <v>-5770</v>
      </c>
      <c r="Q128" s="403"/>
      <c r="R128" s="403">
        <f>SUM(R101:R127)</f>
        <v>-1113</v>
      </c>
      <c r="S128" s="361"/>
      <c r="T128" s="348"/>
    </row>
    <row r="129" spans="1:20" s="349" customFormat="1" x14ac:dyDescent="0.3">
      <c r="A129" s="365"/>
      <c r="B129" s="358" t="s">
        <v>32</v>
      </c>
      <c r="C129" s="358"/>
      <c r="D129" s="358"/>
      <c r="E129" s="358"/>
      <c r="F129" s="358"/>
      <c r="G129" s="358"/>
      <c r="H129" s="358"/>
      <c r="I129" s="358"/>
      <c r="J129" s="358"/>
      <c r="K129" s="358"/>
      <c r="L129" s="358"/>
      <c r="M129" s="358"/>
      <c r="N129" s="358"/>
      <c r="O129" s="358"/>
      <c r="P129" s="403">
        <f>P100+P128+P111</f>
        <v>0</v>
      </c>
      <c r="Q129" s="403"/>
      <c r="R129" s="403">
        <f>R100+R128</f>
        <v>0</v>
      </c>
      <c r="S129" s="361"/>
      <c r="T129" s="348"/>
    </row>
    <row r="130" spans="1:20" s="349" customFormat="1" x14ac:dyDescent="0.3">
      <c r="A130" s="344"/>
      <c r="B130" s="393"/>
      <c r="C130" s="393"/>
      <c r="D130" s="393"/>
      <c r="E130" s="393"/>
      <c r="F130" s="393"/>
      <c r="G130" s="393"/>
      <c r="H130" s="393"/>
      <c r="I130" s="393"/>
      <c r="J130" s="393"/>
      <c r="K130" s="393"/>
      <c r="L130" s="393"/>
      <c r="M130" s="393"/>
      <c r="N130" s="393"/>
      <c r="O130" s="393"/>
      <c r="P130" s="408"/>
      <c r="Q130" s="408"/>
      <c r="R130" s="408"/>
      <c r="S130" s="347"/>
      <c r="T130" s="348"/>
    </row>
    <row r="131" spans="1:20" s="349" customFormat="1" x14ac:dyDescent="0.3">
      <c r="A131" s="344"/>
      <c r="B131" s="346"/>
      <c r="C131" s="346"/>
      <c r="D131" s="346"/>
      <c r="E131" s="346"/>
      <c r="F131" s="346"/>
      <c r="G131" s="346"/>
      <c r="H131" s="346"/>
      <c r="I131" s="346"/>
      <c r="J131" s="346"/>
      <c r="K131" s="346"/>
      <c r="L131" s="346"/>
      <c r="M131" s="346"/>
      <c r="N131" s="346"/>
      <c r="O131" s="346"/>
      <c r="P131" s="346"/>
      <c r="Q131" s="346"/>
      <c r="R131" s="409"/>
      <c r="S131" s="347"/>
      <c r="T131" s="348"/>
    </row>
    <row r="132" spans="1:20" s="349" customFormat="1" ht="18.600000000000001" thickBot="1" x14ac:dyDescent="0.4">
      <c r="A132" s="398"/>
      <c r="B132" s="399" t="str">
        <f>B60</f>
        <v>PM22 INVESTOR REPORT QUARTER ENDING AUGUST 2018</v>
      </c>
      <c r="C132" s="400"/>
      <c r="D132" s="400"/>
      <c r="E132" s="400"/>
      <c r="F132" s="400"/>
      <c r="G132" s="400"/>
      <c r="H132" s="400"/>
      <c r="I132" s="400"/>
      <c r="J132" s="400"/>
      <c r="K132" s="400"/>
      <c r="L132" s="400"/>
      <c r="M132" s="400"/>
      <c r="N132" s="400"/>
      <c r="O132" s="400"/>
      <c r="P132" s="400"/>
      <c r="Q132" s="400"/>
      <c r="R132" s="410"/>
      <c r="S132" s="402"/>
      <c r="T132" s="348"/>
    </row>
    <row r="133" spans="1:20" x14ac:dyDescent="0.3">
      <c r="A133" s="456"/>
      <c r="B133" s="457" t="s">
        <v>33</v>
      </c>
      <c r="C133" s="458"/>
      <c r="D133" s="458"/>
      <c r="E133" s="458"/>
      <c r="F133" s="458"/>
      <c r="G133" s="458"/>
      <c r="H133" s="458"/>
      <c r="I133" s="458"/>
      <c r="J133" s="458"/>
      <c r="K133" s="458"/>
      <c r="L133" s="458"/>
      <c r="M133" s="458"/>
      <c r="N133" s="458"/>
      <c r="O133" s="458"/>
      <c r="P133" s="458"/>
      <c r="Q133" s="458"/>
      <c r="R133" s="459"/>
      <c r="S133" s="460"/>
      <c r="T133" s="247"/>
    </row>
    <row r="134" spans="1:20" x14ac:dyDescent="0.3">
      <c r="A134" s="249"/>
      <c r="B134" s="295"/>
      <c r="C134" s="251"/>
      <c r="D134" s="251"/>
      <c r="E134" s="251"/>
      <c r="F134" s="251"/>
      <c r="G134" s="251"/>
      <c r="H134" s="251"/>
      <c r="I134" s="251"/>
      <c r="J134" s="251"/>
      <c r="K134" s="251"/>
      <c r="L134" s="251"/>
      <c r="M134" s="251"/>
      <c r="N134" s="251"/>
      <c r="O134" s="251"/>
      <c r="P134" s="251"/>
      <c r="Q134" s="251"/>
      <c r="R134" s="279"/>
      <c r="S134" s="252"/>
      <c r="T134" s="247"/>
    </row>
    <row r="135" spans="1:20" x14ac:dyDescent="0.3">
      <c r="A135" s="249"/>
      <c r="B135" s="296" t="s">
        <v>34</v>
      </c>
      <c r="C135" s="251"/>
      <c r="D135" s="251"/>
      <c r="E135" s="251"/>
      <c r="F135" s="251"/>
      <c r="G135" s="251"/>
      <c r="H135" s="251"/>
      <c r="I135" s="251"/>
      <c r="J135" s="251"/>
      <c r="K135" s="251"/>
      <c r="L135" s="251"/>
      <c r="M135" s="251"/>
      <c r="N135" s="251"/>
      <c r="O135" s="251"/>
      <c r="P135" s="251"/>
      <c r="Q135" s="251"/>
      <c r="R135" s="279"/>
      <c r="S135" s="252"/>
      <c r="T135" s="247"/>
    </row>
    <row r="136" spans="1:20" s="349" customFormat="1" x14ac:dyDescent="0.3">
      <c r="A136" s="365"/>
      <c r="B136" s="358" t="s">
        <v>35</v>
      </c>
      <c r="C136" s="358"/>
      <c r="D136" s="358"/>
      <c r="E136" s="358"/>
      <c r="F136" s="358"/>
      <c r="G136" s="358"/>
      <c r="H136" s="358"/>
      <c r="I136" s="358"/>
      <c r="J136" s="358"/>
      <c r="K136" s="358"/>
      <c r="L136" s="358"/>
      <c r="M136" s="358"/>
      <c r="N136" s="358"/>
      <c r="O136" s="358"/>
      <c r="P136" s="358"/>
      <c r="Q136" s="358"/>
      <c r="R136" s="404">
        <v>7502</v>
      </c>
      <c r="S136" s="361"/>
      <c r="T136" s="348"/>
    </row>
    <row r="137" spans="1:20" s="349" customFormat="1" x14ac:dyDescent="0.3">
      <c r="A137" s="365"/>
      <c r="B137" s="358" t="s">
        <v>36</v>
      </c>
      <c r="C137" s="358"/>
      <c r="D137" s="358"/>
      <c r="E137" s="358"/>
      <c r="F137" s="358"/>
      <c r="G137" s="358"/>
      <c r="H137" s="358"/>
      <c r="I137" s="358"/>
      <c r="J137" s="358"/>
      <c r="K137" s="358"/>
      <c r="L137" s="358"/>
      <c r="M137" s="358"/>
      <c r="N137" s="358"/>
      <c r="O137" s="358"/>
      <c r="P137" s="358"/>
      <c r="Q137" s="358"/>
      <c r="R137" s="404">
        <v>0</v>
      </c>
      <c r="S137" s="361"/>
      <c r="T137" s="348"/>
    </row>
    <row r="138" spans="1:20" s="349" customFormat="1" x14ac:dyDescent="0.3">
      <c r="A138" s="365"/>
      <c r="B138" s="358" t="s">
        <v>169</v>
      </c>
      <c r="C138" s="358"/>
      <c r="D138" s="358"/>
      <c r="E138" s="358"/>
      <c r="F138" s="358"/>
      <c r="G138" s="358"/>
      <c r="H138" s="358"/>
      <c r="I138" s="358"/>
      <c r="J138" s="358"/>
      <c r="K138" s="358"/>
      <c r="L138" s="358"/>
      <c r="M138" s="358"/>
      <c r="N138" s="358"/>
      <c r="O138" s="358"/>
      <c r="P138" s="358"/>
      <c r="Q138" s="358"/>
      <c r="R138" s="404">
        <f>R136-R139</f>
        <v>5827.4900816150002</v>
      </c>
      <c r="S138" s="361"/>
      <c r="T138" s="348"/>
    </row>
    <row r="139" spans="1:20" s="349" customFormat="1" x14ac:dyDescent="0.3">
      <c r="A139" s="365"/>
      <c r="B139" s="358" t="s">
        <v>210</v>
      </c>
      <c r="C139" s="358"/>
      <c r="D139" s="358"/>
      <c r="E139" s="358"/>
      <c r="F139" s="358"/>
      <c r="G139" s="358"/>
      <c r="H139" s="358"/>
      <c r="I139" s="358"/>
      <c r="J139" s="358"/>
      <c r="K139" s="358"/>
      <c r="L139" s="358"/>
      <c r="M139" s="358"/>
      <c r="N139" s="358"/>
      <c r="O139" s="358"/>
      <c r="P139" s="358"/>
      <c r="Q139" s="358"/>
      <c r="R139" s="404">
        <f>SUM(D33:J33)*0.025</f>
        <v>1674.5099183850002</v>
      </c>
      <c r="S139" s="361"/>
      <c r="T139" s="348"/>
    </row>
    <row r="140" spans="1:20" s="349" customFormat="1" x14ac:dyDescent="0.3">
      <c r="A140" s="365"/>
      <c r="B140" s="358" t="s">
        <v>108</v>
      </c>
      <c r="C140" s="358"/>
      <c r="D140" s="358"/>
      <c r="E140" s="358"/>
      <c r="F140" s="358"/>
      <c r="G140" s="358"/>
      <c r="H140" s="358"/>
      <c r="I140" s="358"/>
      <c r="J140" s="358"/>
      <c r="K140" s="358"/>
      <c r="L140" s="358"/>
      <c r="M140" s="358"/>
      <c r="N140" s="358"/>
      <c r="O140" s="358"/>
      <c r="P140" s="358"/>
      <c r="Q140" s="358"/>
      <c r="R140" s="404"/>
      <c r="S140" s="361"/>
      <c r="T140" s="348"/>
    </row>
    <row r="141" spans="1:20" s="349" customFormat="1" x14ac:dyDescent="0.3">
      <c r="A141" s="365"/>
      <c r="B141" s="358" t="s">
        <v>155</v>
      </c>
      <c r="C141" s="358"/>
      <c r="D141" s="358"/>
      <c r="E141" s="358"/>
      <c r="F141" s="358"/>
      <c r="G141" s="358"/>
      <c r="H141" s="358"/>
      <c r="I141" s="358"/>
      <c r="J141" s="358"/>
      <c r="K141" s="358"/>
      <c r="L141" s="358"/>
      <c r="M141" s="358"/>
      <c r="N141" s="358"/>
      <c r="O141" s="358"/>
      <c r="P141" s="358"/>
      <c r="Q141" s="358"/>
      <c r="R141" s="404">
        <v>0</v>
      </c>
      <c r="S141" s="361"/>
      <c r="T141" s="348"/>
    </row>
    <row r="142" spans="1:20" s="349" customFormat="1" x14ac:dyDescent="0.3">
      <c r="A142" s="365"/>
      <c r="B142" s="358" t="s">
        <v>189</v>
      </c>
      <c r="C142" s="358"/>
      <c r="D142" s="358"/>
      <c r="E142" s="358"/>
      <c r="F142" s="358"/>
      <c r="G142" s="358"/>
      <c r="H142" s="358"/>
      <c r="I142" s="358"/>
      <c r="J142" s="358"/>
      <c r="K142" s="358"/>
      <c r="L142" s="358"/>
      <c r="M142" s="358"/>
      <c r="N142" s="358"/>
      <c r="O142" s="358"/>
      <c r="P142" s="358"/>
      <c r="Q142" s="358"/>
      <c r="R142" s="404">
        <v>0</v>
      </c>
      <c r="S142" s="361"/>
      <c r="T142" s="348"/>
    </row>
    <row r="143" spans="1:20" s="349" customFormat="1" x14ac:dyDescent="0.3">
      <c r="A143" s="365"/>
      <c r="B143" s="358" t="s">
        <v>190</v>
      </c>
      <c r="C143" s="358"/>
      <c r="D143" s="358"/>
      <c r="E143" s="358"/>
      <c r="F143" s="358"/>
      <c r="G143" s="358"/>
      <c r="H143" s="358"/>
      <c r="I143" s="358"/>
      <c r="J143" s="358"/>
      <c r="K143" s="358"/>
      <c r="L143" s="358"/>
      <c r="M143" s="358"/>
      <c r="N143" s="358"/>
      <c r="O143" s="358"/>
      <c r="P143" s="358"/>
      <c r="Q143" s="358"/>
      <c r="R143" s="404">
        <v>0</v>
      </c>
      <c r="S143" s="361"/>
      <c r="T143" s="348"/>
    </row>
    <row r="144" spans="1:20" s="349" customFormat="1" x14ac:dyDescent="0.3">
      <c r="A144" s="365"/>
      <c r="B144" s="358" t="s">
        <v>37</v>
      </c>
      <c r="C144" s="358"/>
      <c r="D144" s="358"/>
      <c r="E144" s="358"/>
      <c r="F144" s="358"/>
      <c r="G144" s="358"/>
      <c r="H144" s="358"/>
      <c r="I144" s="358"/>
      <c r="J144" s="358"/>
      <c r="K144" s="358"/>
      <c r="L144" s="358"/>
      <c r="M144" s="358"/>
      <c r="N144" s="358"/>
      <c r="O144" s="358"/>
      <c r="P144" s="358"/>
      <c r="Q144" s="358"/>
      <c r="R144" s="404">
        <v>0</v>
      </c>
      <c r="S144" s="361"/>
      <c r="T144" s="348"/>
    </row>
    <row r="145" spans="1:21" s="349" customFormat="1" x14ac:dyDescent="0.3">
      <c r="A145" s="365"/>
      <c r="B145" s="358" t="s">
        <v>102</v>
      </c>
      <c r="C145" s="358"/>
      <c r="D145" s="358"/>
      <c r="E145" s="358"/>
      <c r="F145" s="358"/>
      <c r="G145" s="358"/>
      <c r="H145" s="358"/>
      <c r="I145" s="358"/>
      <c r="J145" s="358"/>
      <c r="K145" s="358"/>
      <c r="L145" s="358"/>
      <c r="M145" s="358"/>
      <c r="N145" s="358"/>
      <c r="O145" s="358"/>
      <c r="P145" s="358"/>
      <c r="Q145" s="358"/>
      <c r="R145" s="404">
        <v>0</v>
      </c>
      <c r="S145" s="361"/>
      <c r="T145" s="348"/>
    </row>
    <row r="146" spans="1:21" s="349" customFormat="1" x14ac:dyDescent="0.3">
      <c r="A146" s="365"/>
      <c r="B146" s="358" t="s">
        <v>256</v>
      </c>
      <c r="C146" s="358"/>
      <c r="D146" s="358"/>
      <c r="E146" s="358"/>
      <c r="F146" s="358"/>
      <c r="G146" s="358"/>
      <c r="H146" s="358"/>
      <c r="I146" s="358"/>
      <c r="J146" s="358"/>
      <c r="K146" s="358"/>
      <c r="L146" s="358"/>
      <c r="M146" s="358"/>
      <c r="N146" s="358"/>
      <c r="O146" s="358"/>
      <c r="P146" s="358"/>
      <c r="Q146" s="358"/>
      <c r="R146" s="404">
        <v>0</v>
      </c>
      <c r="S146" s="361"/>
      <c r="T146" s="348"/>
      <c r="U146" s="407"/>
    </row>
    <row r="147" spans="1:21" s="349" customFormat="1" x14ac:dyDescent="0.3">
      <c r="A147" s="365"/>
      <c r="B147" s="358" t="s">
        <v>38</v>
      </c>
      <c r="C147" s="358"/>
      <c r="D147" s="358"/>
      <c r="E147" s="358"/>
      <c r="F147" s="358"/>
      <c r="G147" s="358"/>
      <c r="H147" s="358"/>
      <c r="I147" s="358"/>
      <c r="J147" s="358"/>
      <c r="K147" s="358"/>
      <c r="L147" s="358"/>
      <c r="M147" s="358"/>
      <c r="N147" s="358"/>
      <c r="O147" s="358"/>
      <c r="P147" s="358"/>
      <c r="Q147" s="358"/>
      <c r="R147" s="404">
        <f>SUM(R137:R146)</f>
        <v>7502</v>
      </c>
      <c r="S147" s="361"/>
      <c r="T147" s="348"/>
    </row>
    <row r="148" spans="1:21" x14ac:dyDescent="0.3">
      <c r="A148" s="249"/>
      <c r="B148" s="277"/>
      <c r="C148" s="277"/>
      <c r="D148" s="277"/>
      <c r="E148" s="277"/>
      <c r="F148" s="277"/>
      <c r="G148" s="277"/>
      <c r="H148" s="277"/>
      <c r="I148" s="277"/>
      <c r="J148" s="277"/>
      <c r="K148" s="277"/>
      <c r="L148" s="277"/>
      <c r="M148" s="277"/>
      <c r="N148" s="277"/>
      <c r="O148" s="277"/>
      <c r="P148" s="277"/>
      <c r="Q148" s="277"/>
      <c r="R148" s="297"/>
      <c r="S148" s="252"/>
      <c r="T148" s="247"/>
    </row>
    <row r="149" spans="1:21" x14ac:dyDescent="0.3">
      <c r="A149" s="249"/>
      <c r="B149" s="296" t="s">
        <v>203</v>
      </c>
      <c r="C149" s="251"/>
      <c r="D149" s="251"/>
      <c r="E149" s="251"/>
      <c r="F149" s="251"/>
      <c r="G149" s="251"/>
      <c r="H149" s="251"/>
      <c r="I149" s="251"/>
      <c r="J149" s="251"/>
      <c r="K149" s="251"/>
      <c r="L149" s="251"/>
      <c r="M149" s="251"/>
      <c r="N149" s="251"/>
      <c r="O149" s="251"/>
      <c r="P149" s="251"/>
      <c r="Q149" s="251"/>
      <c r="R149" s="279"/>
      <c r="S149" s="252"/>
      <c r="T149" s="247"/>
    </row>
    <row r="150" spans="1:21" s="349" customFormat="1" x14ac:dyDescent="0.3">
      <c r="A150" s="365"/>
      <c r="B150" s="358" t="s">
        <v>278</v>
      </c>
      <c r="C150" s="358"/>
      <c r="D150" s="358"/>
      <c r="E150" s="358"/>
      <c r="F150" s="358"/>
      <c r="G150" s="358"/>
      <c r="H150" s="358"/>
      <c r="I150" s="358"/>
      <c r="J150" s="358"/>
      <c r="K150" s="358"/>
      <c r="L150" s="358"/>
      <c r="M150" s="358"/>
      <c r="N150" s="358"/>
      <c r="O150" s="358"/>
      <c r="P150" s="358"/>
      <c r="Q150" s="358"/>
      <c r="R150" s="404">
        <v>0</v>
      </c>
      <c r="S150" s="361"/>
      <c r="T150" s="348"/>
    </row>
    <row r="151" spans="1:21" s="349" customFormat="1" x14ac:dyDescent="0.3">
      <c r="A151" s="365"/>
      <c r="B151" s="358" t="s">
        <v>191</v>
      </c>
      <c r="C151" s="358"/>
      <c r="D151" s="358"/>
      <c r="E151" s="358"/>
      <c r="F151" s="358"/>
      <c r="G151" s="358"/>
      <c r="H151" s="358"/>
      <c r="I151" s="358"/>
      <c r="J151" s="358"/>
      <c r="K151" s="358"/>
      <c r="L151" s="358"/>
      <c r="M151" s="358"/>
      <c r="N151" s="358"/>
      <c r="O151" s="358"/>
      <c r="P151" s="358"/>
      <c r="Q151" s="358"/>
      <c r="R151" s="404">
        <f>+J77</f>
        <v>0</v>
      </c>
      <c r="S151" s="361"/>
      <c r="T151" s="348"/>
    </row>
    <row r="152" spans="1:21" s="349" customFormat="1" x14ac:dyDescent="0.3">
      <c r="A152" s="365"/>
      <c r="B152" s="358" t="s">
        <v>205</v>
      </c>
      <c r="C152" s="358"/>
      <c r="D152" s="358"/>
      <c r="E152" s="358"/>
      <c r="F152" s="358"/>
      <c r="G152" s="358"/>
      <c r="H152" s="358"/>
      <c r="I152" s="358"/>
      <c r="J152" s="358"/>
      <c r="K152" s="358"/>
      <c r="L152" s="358"/>
      <c r="M152" s="358"/>
      <c r="N152" s="358"/>
      <c r="O152" s="358"/>
      <c r="P152" s="358"/>
      <c r="Q152" s="358"/>
      <c r="R152" s="404">
        <f>R150+R151</f>
        <v>0</v>
      </c>
      <c r="S152" s="361"/>
      <c r="T152" s="348"/>
    </row>
    <row r="153" spans="1:21" s="349" customFormat="1" x14ac:dyDescent="0.3">
      <c r="A153" s="344"/>
      <c r="B153" s="393"/>
      <c r="C153" s="393"/>
      <c r="D153" s="393"/>
      <c r="E153" s="393"/>
      <c r="F153" s="393"/>
      <c r="G153" s="393"/>
      <c r="H153" s="393"/>
      <c r="I153" s="393"/>
      <c r="J153" s="393"/>
      <c r="K153" s="393"/>
      <c r="L153" s="393"/>
      <c r="M153" s="393"/>
      <c r="N153" s="393"/>
      <c r="O153" s="393"/>
      <c r="P153" s="393"/>
      <c r="Q153" s="393"/>
      <c r="R153" s="411"/>
      <c r="S153" s="347"/>
      <c r="T153" s="348"/>
    </row>
    <row r="154" spans="1:21" x14ac:dyDescent="0.3">
      <c r="A154" s="249"/>
      <c r="B154" s="296" t="s">
        <v>211</v>
      </c>
      <c r="C154" s="298"/>
      <c r="D154" s="298"/>
      <c r="E154" s="298"/>
      <c r="F154" s="298"/>
      <c r="G154" s="298"/>
      <c r="H154" s="298"/>
      <c r="I154" s="298"/>
      <c r="J154" s="298"/>
      <c r="K154" s="298"/>
      <c r="L154" s="298"/>
      <c r="M154" s="298"/>
      <c r="N154" s="298"/>
      <c r="O154" s="298"/>
      <c r="P154" s="298"/>
      <c r="Q154" s="298"/>
      <c r="R154" s="299"/>
      <c r="S154" s="252"/>
      <c r="T154" s="247"/>
    </row>
    <row r="155" spans="1:21" s="349" customFormat="1" x14ac:dyDescent="0.3">
      <c r="A155" s="412"/>
      <c r="B155" s="413" t="s">
        <v>277</v>
      </c>
      <c r="C155" s="413"/>
      <c r="D155" s="413"/>
      <c r="E155" s="413"/>
      <c r="F155" s="413"/>
      <c r="G155" s="413"/>
      <c r="H155" s="413"/>
      <c r="I155" s="413"/>
      <c r="J155" s="413"/>
      <c r="K155" s="413"/>
      <c r="L155" s="413"/>
      <c r="M155" s="413"/>
      <c r="N155" s="413"/>
      <c r="O155" s="413"/>
      <c r="P155" s="413"/>
      <c r="Q155" s="413"/>
      <c r="R155" s="414">
        <f>+'Feb 17'!R158</f>
        <v>0</v>
      </c>
      <c r="S155" s="415"/>
      <c r="T155" s="348"/>
    </row>
    <row r="156" spans="1:21" s="349" customFormat="1" x14ac:dyDescent="0.3">
      <c r="A156" s="412"/>
      <c r="B156" s="413" t="s">
        <v>213</v>
      </c>
      <c r="C156" s="413"/>
      <c r="D156" s="413"/>
      <c r="E156" s="413"/>
      <c r="F156" s="413"/>
      <c r="G156" s="413"/>
      <c r="H156" s="413"/>
      <c r="I156" s="413"/>
      <c r="J156" s="413"/>
      <c r="K156" s="413"/>
      <c r="L156" s="413"/>
      <c r="M156" s="413"/>
      <c r="N156" s="413"/>
      <c r="O156" s="413"/>
      <c r="P156" s="413"/>
      <c r="Q156" s="413"/>
      <c r="R156" s="414">
        <f>P86</f>
        <v>0</v>
      </c>
      <c r="S156" s="415"/>
      <c r="T156" s="348"/>
    </row>
    <row r="157" spans="1:21" s="349" customFormat="1" x14ac:dyDescent="0.3">
      <c r="A157" s="412"/>
      <c r="B157" s="413" t="s">
        <v>214</v>
      </c>
      <c r="C157" s="413"/>
      <c r="D157" s="413"/>
      <c r="E157" s="413"/>
      <c r="F157" s="413"/>
      <c r="G157" s="413"/>
      <c r="H157" s="413"/>
      <c r="I157" s="413"/>
      <c r="J157" s="413"/>
      <c r="K157" s="413"/>
      <c r="L157" s="413"/>
      <c r="M157" s="413"/>
      <c r="N157" s="413"/>
      <c r="O157" s="413"/>
      <c r="P157" s="413"/>
      <c r="Q157" s="413"/>
      <c r="R157" s="414">
        <v>0</v>
      </c>
      <c r="S157" s="415"/>
      <c r="T157" s="348"/>
    </row>
    <row r="158" spans="1:21" s="349" customFormat="1" x14ac:dyDescent="0.3">
      <c r="A158" s="412"/>
      <c r="B158" s="413" t="s">
        <v>215</v>
      </c>
      <c r="C158" s="413"/>
      <c r="D158" s="413"/>
      <c r="E158" s="413"/>
      <c r="F158" s="413"/>
      <c r="G158" s="413"/>
      <c r="H158" s="413"/>
      <c r="I158" s="413"/>
      <c r="J158" s="413"/>
      <c r="K158" s="413"/>
      <c r="L158" s="413"/>
      <c r="M158" s="413"/>
      <c r="N158" s="413"/>
      <c r="O158" s="413"/>
      <c r="P158" s="413"/>
      <c r="Q158" s="413"/>
      <c r="R158" s="414">
        <f>R155+R156+R157</f>
        <v>0</v>
      </c>
      <c r="S158" s="415"/>
      <c r="T158" s="348"/>
    </row>
    <row r="159" spans="1:21" x14ac:dyDescent="0.3">
      <c r="A159" s="249"/>
      <c r="B159" s="277"/>
      <c r="C159" s="277"/>
      <c r="D159" s="277"/>
      <c r="E159" s="277"/>
      <c r="F159" s="277"/>
      <c r="G159" s="277"/>
      <c r="H159" s="277"/>
      <c r="I159" s="277"/>
      <c r="J159" s="277"/>
      <c r="K159" s="277"/>
      <c r="L159" s="277"/>
      <c r="M159" s="277"/>
      <c r="N159" s="277"/>
      <c r="O159" s="277"/>
      <c r="P159" s="277"/>
      <c r="Q159" s="277"/>
      <c r="R159" s="297"/>
      <c r="S159" s="252"/>
      <c r="T159" s="247"/>
    </row>
    <row r="160" spans="1:21" x14ac:dyDescent="0.3">
      <c r="A160" s="249"/>
      <c r="B160" s="296" t="s">
        <v>39</v>
      </c>
      <c r="C160" s="251"/>
      <c r="D160" s="251"/>
      <c r="E160" s="251"/>
      <c r="F160" s="251"/>
      <c r="G160" s="251"/>
      <c r="H160" s="251"/>
      <c r="I160" s="251"/>
      <c r="J160" s="251"/>
      <c r="K160" s="251"/>
      <c r="L160" s="251"/>
      <c r="M160" s="251"/>
      <c r="N160" s="251"/>
      <c r="O160" s="251"/>
      <c r="P160" s="251"/>
      <c r="Q160" s="251"/>
      <c r="R160" s="300"/>
      <c r="S160" s="252"/>
      <c r="T160" s="247"/>
    </row>
    <row r="161" spans="1:252" s="349" customFormat="1" x14ac:dyDescent="0.3">
      <c r="A161" s="365"/>
      <c r="B161" s="358" t="s">
        <v>40</v>
      </c>
      <c r="C161" s="358"/>
      <c r="D161" s="358"/>
      <c r="E161" s="358"/>
      <c r="F161" s="358"/>
      <c r="G161" s="358"/>
      <c r="H161" s="358"/>
      <c r="I161" s="358"/>
      <c r="J161" s="358"/>
      <c r="K161" s="358"/>
      <c r="L161" s="358"/>
      <c r="M161" s="358"/>
      <c r="N161" s="358"/>
      <c r="O161" s="358"/>
      <c r="P161" s="358"/>
      <c r="Q161" s="358"/>
      <c r="R161" s="404">
        <v>0</v>
      </c>
      <c r="S161" s="361"/>
      <c r="T161" s="348"/>
    </row>
    <row r="162" spans="1:252" s="349" customFormat="1" x14ac:dyDescent="0.3">
      <c r="A162" s="365"/>
      <c r="B162" s="358" t="s">
        <v>41</v>
      </c>
      <c r="C162" s="358"/>
      <c r="D162" s="358"/>
      <c r="E162" s="358"/>
      <c r="F162" s="358"/>
      <c r="G162" s="358"/>
      <c r="H162" s="358"/>
      <c r="I162" s="358"/>
      <c r="J162" s="358"/>
      <c r="K162" s="358"/>
      <c r="L162" s="358"/>
      <c r="M162" s="358"/>
      <c r="N162" s="358"/>
      <c r="O162" s="358"/>
      <c r="P162" s="358"/>
      <c r="Q162" s="358"/>
      <c r="R162" s="404">
        <v>0</v>
      </c>
      <c r="S162" s="361"/>
      <c r="T162" s="348"/>
    </row>
    <row r="163" spans="1:252" s="349" customFormat="1" x14ac:dyDescent="0.3">
      <c r="A163" s="365"/>
      <c r="B163" s="358" t="s">
        <v>42</v>
      </c>
      <c r="C163" s="358"/>
      <c r="D163" s="358"/>
      <c r="E163" s="358"/>
      <c r="F163" s="358"/>
      <c r="G163" s="358"/>
      <c r="H163" s="358"/>
      <c r="I163" s="358"/>
      <c r="J163" s="358"/>
      <c r="K163" s="358"/>
      <c r="L163" s="358"/>
      <c r="M163" s="358"/>
      <c r="N163" s="358"/>
      <c r="O163" s="358"/>
      <c r="P163" s="358"/>
      <c r="Q163" s="358"/>
      <c r="R163" s="404">
        <f>R162+R161</f>
        <v>0</v>
      </c>
      <c r="S163" s="361"/>
      <c r="T163" s="348"/>
    </row>
    <row r="164" spans="1:252" s="349" customFormat="1" x14ac:dyDescent="0.3">
      <c r="A164" s="365"/>
      <c r="B164" s="358" t="s">
        <v>174</v>
      </c>
      <c r="C164" s="358"/>
      <c r="D164" s="358"/>
      <c r="E164" s="358"/>
      <c r="F164" s="358"/>
      <c r="G164" s="358"/>
      <c r="H164" s="358"/>
      <c r="I164" s="358"/>
      <c r="J164" s="358"/>
      <c r="K164" s="358"/>
      <c r="L164" s="358"/>
      <c r="M164" s="358"/>
      <c r="N164" s="358"/>
      <c r="O164" s="358"/>
      <c r="P164" s="358"/>
      <c r="Q164" s="358"/>
      <c r="R164" s="404">
        <f>R111</f>
        <v>0</v>
      </c>
      <c r="S164" s="361"/>
      <c r="T164" s="348"/>
    </row>
    <row r="165" spans="1:252" s="349" customFormat="1" x14ac:dyDescent="0.3">
      <c r="A165" s="365"/>
      <c r="B165" s="358" t="s">
        <v>43</v>
      </c>
      <c r="C165" s="358"/>
      <c r="D165" s="358"/>
      <c r="E165" s="358"/>
      <c r="F165" s="358"/>
      <c r="G165" s="358"/>
      <c r="H165" s="358"/>
      <c r="I165" s="358"/>
      <c r="J165" s="358"/>
      <c r="K165" s="358"/>
      <c r="L165" s="358"/>
      <c r="M165" s="358"/>
      <c r="N165" s="358"/>
      <c r="O165" s="358"/>
      <c r="P165" s="358"/>
      <c r="Q165" s="358"/>
      <c r="R165" s="404">
        <f>R163+R164</f>
        <v>0</v>
      </c>
      <c r="S165" s="361"/>
      <c r="T165" s="348"/>
    </row>
    <row r="166" spans="1:252" s="349" customFormat="1" x14ac:dyDescent="0.3">
      <c r="A166" s="365"/>
      <c r="B166" s="358" t="s">
        <v>150</v>
      </c>
      <c r="C166" s="358"/>
      <c r="D166" s="358"/>
      <c r="E166" s="358"/>
      <c r="F166" s="358"/>
      <c r="G166" s="358"/>
      <c r="H166" s="358"/>
      <c r="I166" s="358"/>
      <c r="J166" s="358"/>
      <c r="K166" s="358"/>
      <c r="L166" s="358"/>
      <c r="M166" s="358"/>
      <c r="N166" s="358"/>
      <c r="O166" s="358"/>
      <c r="P166" s="358"/>
      <c r="Q166" s="358"/>
      <c r="R166" s="404">
        <f>-R99</f>
        <v>0</v>
      </c>
      <c r="S166" s="361"/>
      <c r="T166" s="348"/>
    </row>
    <row r="167" spans="1:252" ht="16.2" thickBot="1" x14ac:dyDescent="0.35">
      <c r="A167" s="249"/>
      <c r="B167" s="277"/>
      <c r="C167" s="277"/>
      <c r="D167" s="277"/>
      <c r="E167" s="277"/>
      <c r="F167" s="277"/>
      <c r="G167" s="277"/>
      <c r="H167" s="277"/>
      <c r="I167" s="277"/>
      <c r="J167" s="277"/>
      <c r="K167" s="277"/>
      <c r="L167" s="277"/>
      <c r="M167" s="277"/>
      <c r="N167" s="277"/>
      <c r="O167" s="277"/>
      <c r="P167" s="277"/>
      <c r="Q167" s="277"/>
      <c r="R167" s="297"/>
      <c r="S167" s="252"/>
      <c r="T167" s="247"/>
    </row>
    <row r="168" spans="1:252" x14ac:dyDescent="0.3">
      <c r="A168" s="244"/>
      <c r="B168" s="245"/>
      <c r="C168" s="245"/>
      <c r="D168" s="245"/>
      <c r="E168" s="245"/>
      <c r="F168" s="245"/>
      <c r="G168" s="245"/>
      <c r="H168" s="245"/>
      <c r="I168" s="245"/>
      <c r="J168" s="245"/>
      <c r="K168" s="245"/>
      <c r="L168" s="245"/>
      <c r="M168" s="245"/>
      <c r="N168" s="245"/>
      <c r="O168" s="245"/>
      <c r="P168" s="245"/>
      <c r="Q168" s="245"/>
      <c r="R168" s="301"/>
      <c r="S168" s="246"/>
      <c r="T168" s="247"/>
    </row>
    <row r="169" spans="1:252" s="303" customFormat="1" x14ac:dyDescent="0.3">
      <c r="A169" s="249"/>
      <c r="B169" s="296" t="s">
        <v>204</v>
      </c>
      <c r="C169" s="277"/>
      <c r="D169" s="277"/>
      <c r="E169" s="277"/>
      <c r="F169" s="277"/>
      <c r="G169" s="277"/>
      <c r="H169" s="277"/>
      <c r="I169" s="277"/>
      <c r="J169" s="277"/>
      <c r="K169" s="277"/>
      <c r="L169" s="277"/>
      <c r="M169" s="277"/>
      <c r="N169" s="277"/>
      <c r="O169" s="277"/>
      <c r="P169" s="277"/>
      <c r="Q169" s="277"/>
      <c r="R169" s="302"/>
      <c r="S169" s="252"/>
      <c r="T169" s="247"/>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c r="BT169" s="248"/>
      <c r="BU169" s="248"/>
      <c r="BV169" s="248"/>
      <c r="BW169" s="248"/>
      <c r="BX169" s="248"/>
      <c r="BY169" s="248"/>
      <c r="BZ169" s="248"/>
      <c r="CA169" s="248"/>
      <c r="CB169" s="248"/>
      <c r="CC169" s="248"/>
      <c r="CD169" s="248"/>
      <c r="CE169" s="248"/>
      <c r="CF169" s="248"/>
      <c r="CG169" s="248"/>
      <c r="CH169" s="248"/>
      <c r="CI169" s="248"/>
      <c r="CJ169" s="248"/>
      <c r="CK169" s="248"/>
      <c r="CL169" s="248"/>
      <c r="CM169" s="248"/>
      <c r="CN169" s="248"/>
      <c r="CO169" s="248"/>
      <c r="CP169" s="248"/>
      <c r="CQ169" s="248"/>
      <c r="CR169" s="248"/>
      <c r="CS169" s="248"/>
      <c r="CT169" s="248"/>
      <c r="CU169" s="248"/>
      <c r="CV169" s="248"/>
      <c r="CW169" s="248"/>
      <c r="CX169" s="248"/>
      <c r="CY169" s="248"/>
      <c r="CZ169" s="248"/>
      <c r="DA169" s="248"/>
      <c r="DB169" s="248"/>
      <c r="DC169" s="248"/>
      <c r="DD169" s="248"/>
      <c r="DE169" s="248"/>
      <c r="DF169" s="248"/>
      <c r="DG169" s="248"/>
      <c r="DH169" s="248"/>
      <c r="DI169" s="248"/>
      <c r="DJ169" s="248"/>
      <c r="DK169" s="248"/>
      <c r="DL169" s="248"/>
      <c r="DM169" s="248"/>
      <c r="DN169" s="248"/>
      <c r="DO169" s="248"/>
      <c r="DP169" s="248"/>
      <c r="DQ169" s="248"/>
      <c r="DR169" s="248"/>
      <c r="DS169" s="248"/>
      <c r="DT169" s="248"/>
      <c r="DU169" s="248"/>
      <c r="DV169" s="248"/>
      <c r="DW169" s="248"/>
      <c r="DX169" s="248"/>
      <c r="DY169" s="248"/>
      <c r="DZ169" s="248"/>
      <c r="EA169" s="248"/>
      <c r="EB169" s="248"/>
      <c r="EC169" s="248"/>
      <c r="ED169" s="248"/>
      <c r="EE169" s="248"/>
      <c r="EF169" s="248"/>
      <c r="EG169" s="248"/>
      <c r="EH169" s="248"/>
      <c r="EI169" s="248"/>
      <c r="EJ169" s="248"/>
      <c r="EK169" s="248"/>
      <c r="EL169" s="248"/>
      <c r="EM169" s="248"/>
      <c r="EN169" s="248"/>
      <c r="EO169" s="248"/>
      <c r="EP169" s="248"/>
      <c r="EQ169" s="248"/>
      <c r="ER169" s="248"/>
      <c r="ES169" s="248"/>
      <c r="ET169" s="248"/>
      <c r="EU169" s="248"/>
      <c r="EV169" s="248"/>
      <c r="EW169" s="248"/>
      <c r="EX169" s="248"/>
      <c r="EY169" s="248"/>
      <c r="EZ169" s="248"/>
      <c r="FA169" s="248"/>
      <c r="FB169" s="248"/>
      <c r="FC169" s="248"/>
      <c r="FD169" s="248"/>
      <c r="FE169" s="248"/>
      <c r="FF169" s="248"/>
      <c r="FG169" s="248"/>
      <c r="FH169" s="248"/>
      <c r="FI169" s="248"/>
      <c r="FJ169" s="248"/>
      <c r="FK169" s="248"/>
      <c r="FL169" s="248"/>
      <c r="FM169" s="248"/>
      <c r="FN169" s="248"/>
      <c r="FO169" s="248"/>
      <c r="FP169" s="248"/>
      <c r="FQ169" s="248"/>
      <c r="FR169" s="248"/>
      <c r="FS169" s="248"/>
      <c r="FT169" s="248"/>
      <c r="FU169" s="248"/>
      <c r="FV169" s="248"/>
      <c r="FW169" s="248"/>
      <c r="FX169" s="248"/>
      <c r="FY169" s="248"/>
      <c r="FZ169" s="248"/>
      <c r="GA169" s="248"/>
      <c r="GB169" s="248"/>
      <c r="GC169" s="248"/>
      <c r="GD169" s="248"/>
      <c r="GE169" s="248"/>
      <c r="GF169" s="248"/>
      <c r="GG169" s="248"/>
      <c r="GH169" s="248"/>
      <c r="GI169" s="248"/>
      <c r="GJ169" s="248"/>
      <c r="GK169" s="248"/>
      <c r="GL169" s="248"/>
      <c r="GM169" s="248"/>
      <c r="GN169" s="248"/>
      <c r="GO169" s="248"/>
      <c r="GP169" s="248"/>
      <c r="GQ169" s="248"/>
      <c r="GR169" s="248"/>
      <c r="GS169" s="248"/>
      <c r="GT169" s="248"/>
      <c r="GU169" s="248"/>
      <c r="GV169" s="248"/>
      <c r="GW169" s="248"/>
      <c r="GX169" s="248"/>
      <c r="GY169" s="248"/>
      <c r="GZ169" s="248"/>
      <c r="HA169" s="248"/>
      <c r="HB169" s="248"/>
      <c r="HC169" s="248"/>
      <c r="HD169" s="248"/>
      <c r="HE169" s="248"/>
      <c r="HF169" s="248"/>
      <c r="HG169" s="248"/>
      <c r="HH169" s="248"/>
      <c r="HI169" s="248"/>
      <c r="HJ169" s="248"/>
      <c r="HK169" s="248"/>
      <c r="HL169" s="248"/>
      <c r="HM169" s="248"/>
      <c r="HN169" s="248"/>
      <c r="HO169" s="248"/>
      <c r="HP169" s="248"/>
      <c r="HQ169" s="248"/>
      <c r="HR169" s="248"/>
      <c r="HS169" s="248"/>
      <c r="HT169" s="248"/>
      <c r="HU169" s="248"/>
      <c r="HV169" s="248"/>
      <c r="HW169" s="248"/>
      <c r="HX169" s="248"/>
      <c r="HY169" s="248"/>
      <c r="HZ169" s="248"/>
      <c r="IA169" s="248"/>
      <c r="IB169" s="248"/>
      <c r="IC169" s="248"/>
      <c r="ID169" s="248"/>
      <c r="IE169" s="248"/>
      <c r="IF169" s="248"/>
      <c r="IG169" s="248"/>
      <c r="IH169" s="248"/>
      <c r="II169" s="248"/>
      <c r="IJ169" s="248"/>
      <c r="IK169" s="248"/>
      <c r="IL169" s="248"/>
      <c r="IM169" s="248"/>
      <c r="IN169" s="248"/>
      <c r="IO169" s="248"/>
      <c r="IP169" s="248"/>
      <c r="IQ169" s="248"/>
      <c r="IR169" s="248"/>
    </row>
    <row r="170" spans="1:252" s="416" customFormat="1" x14ac:dyDescent="0.3">
      <c r="A170" s="365"/>
      <c r="B170" s="358" t="s">
        <v>141</v>
      </c>
      <c r="C170" s="358"/>
      <c r="D170" s="358"/>
      <c r="E170" s="358"/>
      <c r="F170" s="358"/>
      <c r="G170" s="358"/>
      <c r="H170" s="358"/>
      <c r="I170" s="358"/>
      <c r="J170" s="358"/>
      <c r="K170" s="358"/>
      <c r="L170" s="358"/>
      <c r="M170" s="358"/>
      <c r="N170" s="358"/>
      <c r="O170" s="358"/>
      <c r="P170" s="358"/>
      <c r="Q170" s="358"/>
      <c r="R170" s="404">
        <f>+'May 18'!R173</f>
        <v>1004</v>
      </c>
      <c r="S170" s="361"/>
      <c r="T170" s="348"/>
      <c r="U170" s="349"/>
      <c r="V170" s="349"/>
      <c r="W170" s="349"/>
      <c r="X170" s="349"/>
      <c r="Y170" s="349"/>
      <c r="Z170" s="349"/>
      <c r="AA170" s="349"/>
      <c r="AB170" s="349"/>
      <c r="AC170" s="349"/>
      <c r="AD170" s="349"/>
      <c r="AE170" s="349"/>
      <c r="AF170" s="349"/>
      <c r="AG170" s="349"/>
      <c r="AH170" s="349"/>
      <c r="AI170" s="349"/>
      <c r="AJ170" s="349"/>
      <c r="AK170" s="349"/>
      <c r="AL170" s="349"/>
      <c r="AM170" s="349"/>
      <c r="AN170" s="349"/>
      <c r="AO170" s="349"/>
      <c r="AP170" s="349"/>
      <c r="AQ170" s="349"/>
      <c r="AR170" s="349"/>
      <c r="AS170" s="349"/>
      <c r="AT170" s="349"/>
      <c r="AU170" s="349"/>
      <c r="AV170" s="349"/>
      <c r="AW170" s="349"/>
      <c r="AX170" s="349"/>
      <c r="AY170" s="349"/>
      <c r="AZ170" s="349"/>
      <c r="BA170" s="349"/>
      <c r="BB170" s="349"/>
      <c r="BC170" s="349"/>
      <c r="BD170" s="349"/>
      <c r="BE170" s="349"/>
      <c r="BF170" s="349"/>
      <c r="BG170" s="349"/>
      <c r="BH170" s="349"/>
      <c r="BI170" s="349"/>
      <c r="BJ170" s="349"/>
      <c r="BK170" s="349"/>
      <c r="BL170" s="349"/>
      <c r="BM170" s="349"/>
      <c r="BN170" s="349"/>
      <c r="BO170" s="349"/>
      <c r="BP170" s="349"/>
      <c r="BQ170" s="349"/>
      <c r="BR170" s="349"/>
      <c r="BS170" s="349"/>
      <c r="BT170" s="349"/>
      <c r="BU170" s="349"/>
      <c r="BV170" s="349"/>
      <c r="BW170" s="349"/>
      <c r="BX170" s="349"/>
      <c r="BY170" s="349"/>
      <c r="BZ170" s="349"/>
      <c r="CA170" s="349"/>
      <c r="CB170" s="349"/>
      <c r="CC170" s="349"/>
      <c r="CD170" s="349"/>
      <c r="CE170" s="349"/>
      <c r="CF170" s="349"/>
      <c r="CG170" s="349"/>
      <c r="CH170" s="349"/>
      <c r="CI170" s="349"/>
      <c r="CJ170" s="349"/>
      <c r="CK170" s="349"/>
      <c r="CL170" s="349"/>
      <c r="CM170" s="349"/>
      <c r="CN170" s="349"/>
      <c r="CO170" s="349"/>
      <c r="CP170" s="349"/>
      <c r="CQ170" s="349"/>
      <c r="CR170" s="349"/>
      <c r="CS170" s="349"/>
      <c r="CT170" s="349"/>
      <c r="CU170" s="349"/>
      <c r="CV170" s="349"/>
      <c r="CW170" s="349"/>
      <c r="CX170" s="349"/>
      <c r="CY170" s="349"/>
      <c r="CZ170" s="349"/>
      <c r="DA170" s="349"/>
      <c r="DB170" s="349"/>
      <c r="DC170" s="349"/>
      <c r="DD170" s="349"/>
      <c r="DE170" s="349"/>
      <c r="DF170" s="349"/>
      <c r="DG170" s="349"/>
      <c r="DH170" s="349"/>
      <c r="DI170" s="349"/>
      <c r="DJ170" s="349"/>
      <c r="DK170" s="349"/>
      <c r="DL170" s="349"/>
      <c r="DM170" s="349"/>
      <c r="DN170" s="349"/>
      <c r="DO170" s="349"/>
      <c r="DP170" s="349"/>
      <c r="DQ170" s="349"/>
      <c r="DR170" s="349"/>
      <c r="DS170" s="349"/>
      <c r="DT170" s="349"/>
      <c r="DU170" s="349"/>
      <c r="DV170" s="349"/>
      <c r="DW170" s="349"/>
      <c r="DX170" s="349"/>
      <c r="DY170" s="349"/>
      <c r="DZ170" s="349"/>
      <c r="EA170" s="349"/>
      <c r="EB170" s="349"/>
      <c r="EC170" s="349"/>
      <c r="ED170" s="349"/>
      <c r="EE170" s="349"/>
      <c r="EF170" s="349"/>
      <c r="EG170" s="349"/>
      <c r="EH170" s="349"/>
      <c r="EI170" s="349"/>
      <c r="EJ170" s="349"/>
      <c r="EK170" s="349"/>
      <c r="EL170" s="349"/>
      <c r="EM170" s="349"/>
      <c r="EN170" s="349"/>
      <c r="EO170" s="349"/>
      <c r="EP170" s="349"/>
      <c r="EQ170" s="349"/>
      <c r="ER170" s="349"/>
      <c r="ES170" s="349"/>
      <c r="ET170" s="349"/>
      <c r="EU170" s="349"/>
      <c r="EV170" s="349"/>
      <c r="EW170" s="349"/>
      <c r="EX170" s="349"/>
      <c r="EY170" s="349"/>
      <c r="EZ170" s="349"/>
      <c r="FA170" s="349"/>
      <c r="FB170" s="349"/>
      <c r="FC170" s="349"/>
      <c r="FD170" s="349"/>
      <c r="FE170" s="349"/>
      <c r="FF170" s="349"/>
      <c r="FG170" s="349"/>
      <c r="FH170" s="349"/>
      <c r="FI170" s="349"/>
      <c r="FJ170" s="349"/>
      <c r="FK170" s="349"/>
      <c r="FL170" s="349"/>
      <c r="FM170" s="349"/>
      <c r="FN170" s="349"/>
      <c r="FO170" s="349"/>
      <c r="FP170" s="349"/>
      <c r="FQ170" s="349"/>
      <c r="FR170" s="349"/>
      <c r="FS170" s="349"/>
      <c r="FT170" s="349"/>
      <c r="FU170" s="349"/>
      <c r="FV170" s="349"/>
      <c r="FW170" s="349"/>
      <c r="FX170" s="349"/>
      <c r="FY170" s="349"/>
      <c r="FZ170" s="349"/>
      <c r="GA170" s="349"/>
      <c r="GB170" s="349"/>
      <c r="GC170" s="349"/>
      <c r="GD170" s="349"/>
      <c r="GE170" s="349"/>
      <c r="GF170" s="349"/>
      <c r="GG170" s="349"/>
      <c r="GH170" s="349"/>
      <c r="GI170" s="349"/>
      <c r="GJ170" s="349"/>
      <c r="GK170" s="349"/>
      <c r="GL170" s="349"/>
      <c r="GM170" s="349"/>
      <c r="GN170" s="349"/>
      <c r="GO170" s="349"/>
      <c r="GP170" s="349"/>
      <c r="GQ170" s="349"/>
      <c r="GR170" s="349"/>
      <c r="GS170" s="349"/>
      <c r="GT170" s="349"/>
      <c r="GU170" s="349"/>
      <c r="GV170" s="349"/>
      <c r="GW170" s="349"/>
      <c r="GX170" s="349"/>
      <c r="GY170" s="349"/>
      <c r="GZ170" s="349"/>
      <c r="HA170" s="349"/>
      <c r="HB170" s="349"/>
      <c r="HC170" s="349"/>
      <c r="HD170" s="349"/>
      <c r="HE170" s="349"/>
      <c r="HF170" s="349"/>
      <c r="HG170" s="349"/>
      <c r="HH170" s="349"/>
      <c r="HI170" s="349"/>
      <c r="HJ170" s="349"/>
      <c r="HK170" s="349"/>
      <c r="HL170" s="349"/>
      <c r="HM170" s="349"/>
      <c r="HN170" s="349"/>
      <c r="HO170" s="349"/>
      <c r="HP170" s="349"/>
      <c r="HQ170" s="349"/>
      <c r="HR170" s="349"/>
      <c r="HS170" s="349"/>
      <c r="HT170" s="349"/>
      <c r="HU170" s="349"/>
      <c r="HV170" s="349"/>
      <c r="HW170" s="349"/>
      <c r="HX170" s="349"/>
      <c r="HY170" s="349"/>
      <c r="HZ170" s="349"/>
      <c r="IA170" s="349"/>
      <c r="IB170" s="349"/>
      <c r="IC170" s="349"/>
      <c r="ID170" s="349"/>
      <c r="IE170" s="349"/>
      <c r="IF170" s="349"/>
      <c r="IG170" s="349"/>
      <c r="IH170" s="349"/>
      <c r="II170" s="349"/>
      <c r="IJ170" s="349"/>
      <c r="IK170" s="349"/>
      <c r="IL170" s="349"/>
      <c r="IM170" s="349"/>
      <c r="IN170" s="349"/>
      <c r="IO170" s="349"/>
      <c r="IP170" s="349"/>
      <c r="IQ170" s="349"/>
      <c r="IR170" s="349"/>
    </row>
    <row r="171" spans="1:252" s="416" customFormat="1" x14ac:dyDescent="0.3">
      <c r="A171" s="365"/>
      <c r="B171" s="358" t="s">
        <v>288</v>
      </c>
      <c r="C171" s="358"/>
      <c r="D171" s="358"/>
      <c r="E171" s="358"/>
      <c r="F171" s="358"/>
      <c r="G171" s="358"/>
      <c r="H171" s="358"/>
      <c r="I171" s="358"/>
      <c r="J171" s="358"/>
      <c r="K171" s="358"/>
      <c r="L171" s="358"/>
      <c r="M171" s="358"/>
      <c r="N171" s="358"/>
      <c r="O171" s="358"/>
      <c r="P171" s="358"/>
      <c r="Q171" s="358"/>
      <c r="R171" s="404">
        <v>0</v>
      </c>
      <c r="S171" s="361"/>
      <c r="T171" s="348"/>
      <c r="U171" s="349"/>
      <c r="V171" s="349"/>
      <c r="W171" s="349"/>
      <c r="X171" s="349"/>
      <c r="Y171" s="349"/>
      <c r="Z171" s="349"/>
      <c r="AA171" s="349"/>
      <c r="AB171" s="349"/>
      <c r="AC171" s="349"/>
      <c r="AD171" s="349"/>
      <c r="AE171" s="349"/>
      <c r="AF171" s="349"/>
      <c r="AG171" s="349"/>
      <c r="AH171" s="349"/>
      <c r="AI171" s="349"/>
      <c r="AJ171" s="349"/>
      <c r="AK171" s="349"/>
      <c r="AL171" s="349"/>
      <c r="AM171" s="349"/>
      <c r="AN171" s="349"/>
      <c r="AO171" s="349"/>
      <c r="AP171" s="349"/>
      <c r="AQ171" s="349"/>
      <c r="AR171" s="349"/>
      <c r="AS171" s="349"/>
      <c r="AT171" s="349"/>
      <c r="AU171" s="349"/>
      <c r="AV171" s="349"/>
      <c r="AW171" s="349"/>
      <c r="AX171" s="349"/>
      <c r="AY171" s="349"/>
      <c r="AZ171" s="349"/>
      <c r="BA171" s="349"/>
      <c r="BB171" s="349"/>
      <c r="BC171" s="349"/>
      <c r="BD171" s="349"/>
      <c r="BE171" s="349"/>
      <c r="BF171" s="349"/>
      <c r="BG171" s="349"/>
      <c r="BH171" s="349"/>
      <c r="BI171" s="349"/>
      <c r="BJ171" s="349"/>
      <c r="BK171" s="349"/>
      <c r="BL171" s="349"/>
      <c r="BM171" s="349"/>
      <c r="BN171" s="349"/>
      <c r="BO171" s="349"/>
      <c r="BP171" s="349"/>
      <c r="BQ171" s="349"/>
      <c r="BR171" s="349"/>
      <c r="BS171" s="349"/>
      <c r="BT171" s="349"/>
      <c r="BU171" s="349"/>
      <c r="BV171" s="349"/>
      <c r="BW171" s="349"/>
      <c r="BX171" s="349"/>
      <c r="BY171" s="349"/>
      <c r="BZ171" s="349"/>
      <c r="CA171" s="349"/>
      <c r="CB171" s="349"/>
      <c r="CC171" s="349"/>
      <c r="CD171" s="349"/>
      <c r="CE171" s="349"/>
      <c r="CF171" s="349"/>
      <c r="CG171" s="349"/>
      <c r="CH171" s="349"/>
      <c r="CI171" s="349"/>
      <c r="CJ171" s="349"/>
      <c r="CK171" s="349"/>
      <c r="CL171" s="349"/>
      <c r="CM171" s="349"/>
      <c r="CN171" s="349"/>
      <c r="CO171" s="349"/>
      <c r="CP171" s="349"/>
      <c r="CQ171" s="349"/>
      <c r="CR171" s="349"/>
      <c r="CS171" s="349"/>
      <c r="CT171" s="349"/>
      <c r="CU171" s="349"/>
      <c r="CV171" s="349"/>
      <c r="CW171" s="349"/>
      <c r="CX171" s="349"/>
      <c r="CY171" s="349"/>
      <c r="CZ171" s="349"/>
      <c r="DA171" s="349"/>
      <c r="DB171" s="349"/>
      <c r="DC171" s="349"/>
      <c r="DD171" s="349"/>
      <c r="DE171" s="349"/>
      <c r="DF171" s="349"/>
      <c r="DG171" s="349"/>
      <c r="DH171" s="349"/>
      <c r="DI171" s="349"/>
      <c r="DJ171" s="349"/>
      <c r="DK171" s="349"/>
      <c r="DL171" s="349"/>
      <c r="DM171" s="349"/>
      <c r="DN171" s="349"/>
      <c r="DO171" s="349"/>
      <c r="DP171" s="349"/>
      <c r="DQ171" s="349"/>
      <c r="DR171" s="349"/>
      <c r="DS171" s="349"/>
      <c r="DT171" s="349"/>
      <c r="DU171" s="349"/>
      <c r="DV171" s="349"/>
      <c r="DW171" s="349"/>
      <c r="DX171" s="349"/>
      <c r="DY171" s="349"/>
      <c r="DZ171" s="349"/>
      <c r="EA171" s="349"/>
      <c r="EB171" s="349"/>
      <c r="EC171" s="349"/>
      <c r="ED171" s="349"/>
      <c r="EE171" s="349"/>
      <c r="EF171" s="349"/>
      <c r="EG171" s="349"/>
      <c r="EH171" s="349"/>
      <c r="EI171" s="349"/>
      <c r="EJ171" s="349"/>
      <c r="EK171" s="349"/>
      <c r="EL171" s="349"/>
      <c r="EM171" s="349"/>
      <c r="EN171" s="349"/>
      <c r="EO171" s="349"/>
      <c r="EP171" s="349"/>
      <c r="EQ171" s="349"/>
      <c r="ER171" s="349"/>
      <c r="ES171" s="349"/>
      <c r="ET171" s="349"/>
      <c r="EU171" s="349"/>
      <c r="EV171" s="349"/>
      <c r="EW171" s="349"/>
      <c r="EX171" s="349"/>
      <c r="EY171" s="349"/>
      <c r="EZ171" s="349"/>
      <c r="FA171" s="349"/>
      <c r="FB171" s="349"/>
      <c r="FC171" s="349"/>
      <c r="FD171" s="349"/>
      <c r="FE171" s="349"/>
      <c r="FF171" s="349"/>
      <c r="FG171" s="349"/>
      <c r="FH171" s="349"/>
      <c r="FI171" s="349"/>
      <c r="FJ171" s="349"/>
      <c r="FK171" s="349"/>
      <c r="FL171" s="349"/>
      <c r="FM171" s="349"/>
      <c r="FN171" s="349"/>
      <c r="FO171" s="349"/>
      <c r="FP171" s="349"/>
      <c r="FQ171" s="349"/>
      <c r="FR171" s="349"/>
      <c r="FS171" s="349"/>
      <c r="FT171" s="349"/>
      <c r="FU171" s="349"/>
      <c r="FV171" s="349"/>
      <c r="FW171" s="349"/>
      <c r="FX171" s="349"/>
      <c r="FY171" s="349"/>
      <c r="FZ171" s="349"/>
      <c r="GA171" s="349"/>
      <c r="GB171" s="349"/>
      <c r="GC171" s="349"/>
      <c r="GD171" s="349"/>
      <c r="GE171" s="349"/>
      <c r="GF171" s="349"/>
      <c r="GG171" s="349"/>
      <c r="GH171" s="349"/>
      <c r="GI171" s="349"/>
      <c r="GJ171" s="349"/>
      <c r="GK171" s="349"/>
      <c r="GL171" s="349"/>
      <c r="GM171" s="349"/>
      <c r="GN171" s="349"/>
      <c r="GO171" s="349"/>
      <c r="GP171" s="349"/>
      <c r="GQ171" s="349"/>
      <c r="GR171" s="349"/>
      <c r="GS171" s="349"/>
      <c r="GT171" s="349"/>
      <c r="GU171" s="349"/>
      <c r="GV171" s="349"/>
      <c r="GW171" s="349"/>
      <c r="GX171" s="349"/>
      <c r="GY171" s="349"/>
      <c r="GZ171" s="349"/>
      <c r="HA171" s="349"/>
      <c r="HB171" s="349"/>
      <c r="HC171" s="349"/>
      <c r="HD171" s="349"/>
      <c r="HE171" s="349"/>
      <c r="HF171" s="349"/>
      <c r="HG171" s="349"/>
      <c r="HH171" s="349"/>
      <c r="HI171" s="349"/>
      <c r="HJ171" s="349"/>
      <c r="HK171" s="349"/>
      <c r="HL171" s="349"/>
      <c r="HM171" s="349"/>
      <c r="HN171" s="349"/>
      <c r="HO171" s="349"/>
      <c r="HP171" s="349"/>
      <c r="HQ171" s="349"/>
      <c r="HR171" s="349"/>
      <c r="HS171" s="349"/>
      <c r="HT171" s="349"/>
      <c r="HU171" s="349"/>
      <c r="HV171" s="349"/>
      <c r="HW171" s="349"/>
      <c r="HX171" s="349"/>
      <c r="HY171" s="349"/>
      <c r="HZ171" s="349"/>
      <c r="IA171" s="349"/>
      <c r="IB171" s="349"/>
      <c r="IC171" s="349"/>
      <c r="ID171" s="349"/>
      <c r="IE171" s="349"/>
      <c r="IF171" s="349"/>
      <c r="IG171" s="349"/>
      <c r="IH171" s="349"/>
      <c r="II171" s="349"/>
      <c r="IJ171" s="349"/>
      <c r="IK171" s="349"/>
      <c r="IL171" s="349"/>
      <c r="IM171" s="349"/>
      <c r="IN171" s="349"/>
      <c r="IO171" s="349"/>
      <c r="IP171" s="349"/>
      <c r="IQ171" s="349"/>
      <c r="IR171" s="349"/>
    </row>
    <row r="172" spans="1:252" s="416" customFormat="1" x14ac:dyDescent="0.3">
      <c r="A172" s="365"/>
      <c r="B172" s="358" t="s">
        <v>144</v>
      </c>
      <c r="C172" s="358"/>
      <c r="D172" s="358"/>
      <c r="E172" s="358"/>
      <c r="F172" s="358"/>
      <c r="G172" s="358"/>
      <c r="H172" s="358"/>
      <c r="I172" s="358"/>
      <c r="J172" s="358"/>
      <c r="K172" s="358"/>
      <c r="L172" s="358"/>
      <c r="M172" s="358"/>
      <c r="N172" s="358"/>
      <c r="O172" s="358"/>
      <c r="P172" s="358"/>
      <c r="Q172" s="358"/>
      <c r="R172" s="404">
        <f>+R92</f>
        <v>125</v>
      </c>
      <c r="S172" s="361"/>
      <c r="T172" s="348"/>
      <c r="U172" s="349"/>
      <c r="V172" s="349"/>
      <c r="W172" s="349"/>
      <c r="X172" s="349"/>
      <c r="Y172" s="349"/>
      <c r="Z172" s="349"/>
      <c r="AA172" s="349"/>
      <c r="AB172" s="349"/>
      <c r="AC172" s="349"/>
      <c r="AD172" s="349"/>
      <c r="AE172" s="349"/>
      <c r="AF172" s="349"/>
      <c r="AG172" s="349"/>
      <c r="AH172" s="349"/>
      <c r="AI172" s="349"/>
      <c r="AJ172" s="349"/>
      <c r="AK172" s="349"/>
      <c r="AL172" s="349"/>
      <c r="AM172" s="349"/>
      <c r="AN172" s="349"/>
      <c r="AO172" s="349"/>
      <c r="AP172" s="349"/>
      <c r="AQ172" s="349"/>
      <c r="AR172" s="349"/>
      <c r="AS172" s="349"/>
      <c r="AT172" s="349"/>
      <c r="AU172" s="349"/>
      <c r="AV172" s="349"/>
      <c r="AW172" s="349"/>
      <c r="AX172" s="349"/>
      <c r="AY172" s="349"/>
      <c r="AZ172" s="349"/>
      <c r="BA172" s="349"/>
      <c r="BB172" s="349"/>
      <c r="BC172" s="349"/>
      <c r="BD172" s="349"/>
      <c r="BE172" s="349"/>
      <c r="BF172" s="349"/>
      <c r="BG172" s="349"/>
      <c r="BH172" s="349"/>
      <c r="BI172" s="349"/>
      <c r="BJ172" s="349"/>
      <c r="BK172" s="349"/>
      <c r="BL172" s="349"/>
      <c r="BM172" s="349"/>
      <c r="BN172" s="349"/>
      <c r="BO172" s="349"/>
      <c r="BP172" s="349"/>
      <c r="BQ172" s="349"/>
      <c r="BR172" s="349"/>
      <c r="BS172" s="349"/>
      <c r="BT172" s="349"/>
      <c r="BU172" s="349"/>
      <c r="BV172" s="349"/>
      <c r="BW172" s="349"/>
      <c r="BX172" s="349"/>
      <c r="BY172" s="349"/>
      <c r="BZ172" s="349"/>
      <c r="CA172" s="349"/>
      <c r="CB172" s="349"/>
      <c r="CC172" s="349"/>
      <c r="CD172" s="349"/>
      <c r="CE172" s="349"/>
      <c r="CF172" s="349"/>
      <c r="CG172" s="349"/>
      <c r="CH172" s="349"/>
      <c r="CI172" s="349"/>
      <c r="CJ172" s="349"/>
      <c r="CK172" s="349"/>
      <c r="CL172" s="349"/>
      <c r="CM172" s="349"/>
      <c r="CN172" s="349"/>
      <c r="CO172" s="349"/>
      <c r="CP172" s="349"/>
      <c r="CQ172" s="349"/>
      <c r="CR172" s="349"/>
      <c r="CS172" s="349"/>
      <c r="CT172" s="349"/>
      <c r="CU172" s="349"/>
      <c r="CV172" s="349"/>
      <c r="CW172" s="349"/>
      <c r="CX172" s="349"/>
      <c r="CY172" s="349"/>
      <c r="CZ172" s="349"/>
      <c r="DA172" s="349"/>
      <c r="DB172" s="349"/>
      <c r="DC172" s="349"/>
      <c r="DD172" s="349"/>
      <c r="DE172" s="349"/>
      <c r="DF172" s="349"/>
      <c r="DG172" s="349"/>
      <c r="DH172" s="349"/>
      <c r="DI172" s="349"/>
      <c r="DJ172" s="349"/>
      <c r="DK172" s="349"/>
      <c r="DL172" s="349"/>
      <c r="DM172" s="349"/>
      <c r="DN172" s="349"/>
      <c r="DO172" s="349"/>
      <c r="DP172" s="349"/>
      <c r="DQ172" s="349"/>
      <c r="DR172" s="349"/>
      <c r="DS172" s="349"/>
      <c r="DT172" s="349"/>
      <c r="DU172" s="349"/>
      <c r="DV172" s="349"/>
      <c r="DW172" s="349"/>
      <c r="DX172" s="349"/>
      <c r="DY172" s="349"/>
      <c r="DZ172" s="349"/>
      <c r="EA172" s="349"/>
      <c r="EB172" s="349"/>
      <c r="EC172" s="349"/>
      <c r="ED172" s="349"/>
      <c r="EE172" s="349"/>
      <c r="EF172" s="349"/>
      <c r="EG172" s="349"/>
      <c r="EH172" s="349"/>
      <c r="EI172" s="349"/>
      <c r="EJ172" s="349"/>
      <c r="EK172" s="349"/>
      <c r="EL172" s="349"/>
      <c r="EM172" s="349"/>
      <c r="EN172" s="349"/>
      <c r="EO172" s="349"/>
      <c r="EP172" s="349"/>
      <c r="EQ172" s="349"/>
      <c r="ER172" s="349"/>
      <c r="ES172" s="349"/>
      <c r="ET172" s="349"/>
      <c r="EU172" s="349"/>
      <c r="EV172" s="349"/>
      <c r="EW172" s="349"/>
      <c r="EX172" s="349"/>
      <c r="EY172" s="349"/>
      <c r="EZ172" s="349"/>
      <c r="FA172" s="349"/>
      <c r="FB172" s="349"/>
      <c r="FC172" s="349"/>
      <c r="FD172" s="349"/>
      <c r="FE172" s="349"/>
      <c r="FF172" s="349"/>
      <c r="FG172" s="349"/>
      <c r="FH172" s="349"/>
      <c r="FI172" s="349"/>
      <c r="FJ172" s="349"/>
      <c r="FK172" s="349"/>
      <c r="FL172" s="349"/>
      <c r="FM172" s="349"/>
      <c r="FN172" s="349"/>
      <c r="FO172" s="349"/>
      <c r="FP172" s="349"/>
      <c r="FQ172" s="349"/>
      <c r="FR172" s="349"/>
      <c r="FS172" s="349"/>
      <c r="FT172" s="349"/>
      <c r="FU172" s="349"/>
      <c r="FV172" s="349"/>
      <c r="FW172" s="349"/>
      <c r="FX172" s="349"/>
      <c r="FY172" s="349"/>
      <c r="FZ172" s="349"/>
      <c r="GA172" s="349"/>
      <c r="GB172" s="349"/>
      <c r="GC172" s="349"/>
      <c r="GD172" s="349"/>
      <c r="GE172" s="349"/>
      <c r="GF172" s="349"/>
      <c r="GG172" s="349"/>
      <c r="GH172" s="349"/>
      <c r="GI172" s="349"/>
      <c r="GJ172" s="349"/>
      <c r="GK172" s="349"/>
      <c r="GL172" s="349"/>
      <c r="GM172" s="349"/>
      <c r="GN172" s="349"/>
      <c r="GO172" s="349"/>
      <c r="GP172" s="349"/>
      <c r="GQ172" s="349"/>
      <c r="GR172" s="349"/>
      <c r="GS172" s="349"/>
      <c r="GT172" s="349"/>
      <c r="GU172" s="349"/>
      <c r="GV172" s="349"/>
      <c r="GW172" s="349"/>
      <c r="GX172" s="349"/>
      <c r="GY172" s="349"/>
      <c r="GZ172" s="349"/>
      <c r="HA172" s="349"/>
      <c r="HB172" s="349"/>
      <c r="HC172" s="349"/>
      <c r="HD172" s="349"/>
      <c r="HE172" s="349"/>
      <c r="HF172" s="349"/>
      <c r="HG172" s="349"/>
      <c r="HH172" s="349"/>
      <c r="HI172" s="349"/>
      <c r="HJ172" s="349"/>
      <c r="HK172" s="349"/>
      <c r="HL172" s="349"/>
      <c r="HM172" s="349"/>
      <c r="HN172" s="349"/>
      <c r="HO172" s="349"/>
      <c r="HP172" s="349"/>
      <c r="HQ172" s="349"/>
      <c r="HR172" s="349"/>
      <c r="HS172" s="349"/>
      <c r="HT172" s="349"/>
      <c r="HU172" s="349"/>
      <c r="HV172" s="349"/>
      <c r="HW172" s="349"/>
      <c r="HX172" s="349"/>
      <c r="HY172" s="349"/>
      <c r="HZ172" s="349"/>
      <c r="IA172" s="349"/>
      <c r="IB172" s="349"/>
      <c r="IC172" s="349"/>
      <c r="ID172" s="349"/>
      <c r="IE172" s="349"/>
      <c r="IF172" s="349"/>
      <c r="IG172" s="349"/>
      <c r="IH172" s="349"/>
      <c r="II172" s="349"/>
      <c r="IJ172" s="349"/>
      <c r="IK172" s="349"/>
      <c r="IL172" s="349"/>
      <c r="IM172" s="349"/>
      <c r="IN172" s="349"/>
      <c r="IO172" s="349"/>
      <c r="IP172" s="349"/>
      <c r="IQ172" s="349"/>
      <c r="IR172" s="349"/>
    </row>
    <row r="173" spans="1:252" s="416" customFormat="1" x14ac:dyDescent="0.3">
      <c r="A173" s="365"/>
      <c r="B173" s="358" t="s">
        <v>142</v>
      </c>
      <c r="C173" s="358"/>
      <c r="D173" s="358"/>
      <c r="E173" s="358"/>
      <c r="F173" s="358"/>
      <c r="G173" s="358"/>
      <c r="H173" s="358"/>
      <c r="I173" s="358"/>
      <c r="J173" s="358"/>
      <c r="K173" s="358"/>
      <c r="L173" s="358"/>
      <c r="M173" s="358"/>
      <c r="N173" s="358"/>
      <c r="O173" s="358"/>
      <c r="P173" s="358"/>
      <c r="Q173" s="358"/>
      <c r="R173" s="404">
        <f>R170+R171-R172</f>
        <v>879</v>
      </c>
      <c r="S173" s="361"/>
      <c r="T173" s="348"/>
      <c r="U173" s="349"/>
      <c r="V173" s="349"/>
      <c r="W173" s="349"/>
      <c r="X173" s="349"/>
      <c r="Y173" s="349"/>
      <c r="Z173" s="349"/>
      <c r="AA173" s="349"/>
      <c r="AB173" s="349"/>
      <c r="AC173" s="349"/>
      <c r="AD173" s="349"/>
      <c r="AE173" s="349"/>
      <c r="AF173" s="349"/>
      <c r="AG173" s="349"/>
      <c r="AH173" s="349"/>
      <c r="AI173" s="349"/>
      <c r="AJ173" s="349"/>
      <c r="AK173" s="349"/>
      <c r="AL173" s="349"/>
      <c r="AM173" s="349"/>
      <c r="AN173" s="349"/>
      <c r="AO173" s="349"/>
      <c r="AP173" s="349"/>
      <c r="AQ173" s="349"/>
      <c r="AR173" s="349"/>
      <c r="AS173" s="349"/>
      <c r="AT173" s="349"/>
      <c r="AU173" s="349"/>
      <c r="AV173" s="349"/>
      <c r="AW173" s="349"/>
      <c r="AX173" s="349"/>
      <c r="AY173" s="349"/>
      <c r="AZ173" s="349"/>
      <c r="BA173" s="349"/>
      <c r="BB173" s="349"/>
      <c r="BC173" s="349"/>
      <c r="BD173" s="349"/>
      <c r="BE173" s="349"/>
      <c r="BF173" s="349"/>
      <c r="BG173" s="349"/>
      <c r="BH173" s="349"/>
      <c r="BI173" s="349"/>
      <c r="BJ173" s="349"/>
      <c r="BK173" s="349"/>
      <c r="BL173" s="349"/>
      <c r="BM173" s="349"/>
      <c r="BN173" s="349"/>
      <c r="BO173" s="349"/>
      <c r="BP173" s="349"/>
      <c r="BQ173" s="349"/>
      <c r="BR173" s="349"/>
      <c r="BS173" s="349"/>
      <c r="BT173" s="349"/>
      <c r="BU173" s="349"/>
      <c r="BV173" s="349"/>
      <c r="BW173" s="349"/>
      <c r="BX173" s="349"/>
      <c r="BY173" s="349"/>
      <c r="BZ173" s="349"/>
      <c r="CA173" s="349"/>
      <c r="CB173" s="349"/>
      <c r="CC173" s="349"/>
      <c r="CD173" s="349"/>
      <c r="CE173" s="349"/>
      <c r="CF173" s="349"/>
      <c r="CG173" s="349"/>
      <c r="CH173" s="349"/>
      <c r="CI173" s="349"/>
      <c r="CJ173" s="349"/>
      <c r="CK173" s="349"/>
      <c r="CL173" s="349"/>
      <c r="CM173" s="349"/>
      <c r="CN173" s="349"/>
      <c r="CO173" s="349"/>
      <c r="CP173" s="349"/>
      <c r="CQ173" s="349"/>
      <c r="CR173" s="349"/>
      <c r="CS173" s="349"/>
      <c r="CT173" s="349"/>
      <c r="CU173" s="349"/>
      <c r="CV173" s="349"/>
      <c r="CW173" s="349"/>
      <c r="CX173" s="349"/>
      <c r="CY173" s="349"/>
      <c r="CZ173" s="349"/>
      <c r="DA173" s="349"/>
      <c r="DB173" s="349"/>
      <c r="DC173" s="349"/>
      <c r="DD173" s="349"/>
      <c r="DE173" s="349"/>
      <c r="DF173" s="349"/>
      <c r="DG173" s="349"/>
      <c r="DH173" s="349"/>
      <c r="DI173" s="349"/>
      <c r="DJ173" s="349"/>
      <c r="DK173" s="349"/>
      <c r="DL173" s="349"/>
      <c r="DM173" s="349"/>
      <c r="DN173" s="349"/>
      <c r="DO173" s="349"/>
      <c r="DP173" s="349"/>
      <c r="DQ173" s="349"/>
      <c r="DR173" s="349"/>
      <c r="DS173" s="349"/>
      <c r="DT173" s="349"/>
      <c r="DU173" s="349"/>
      <c r="DV173" s="349"/>
      <c r="DW173" s="349"/>
      <c r="DX173" s="349"/>
      <c r="DY173" s="349"/>
      <c r="DZ173" s="349"/>
      <c r="EA173" s="349"/>
      <c r="EB173" s="349"/>
      <c r="EC173" s="349"/>
      <c r="ED173" s="349"/>
      <c r="EE173" s="349"/>
      <c r="EF173" s="349"/>
      <c r="EG173" s="349"/>
      <c r="EH173" s="349"/>
      <c r="EI173" s="349"/>
      <c r="EJ173" s="349"/>
      <c r="EK173" s="349"/>
      <c r="EL173" s="349"/>
      <c r="EM173" s="349"/>
      <c r="EN173" s="349"/>
      <c r="EO173" s="349"/>
      <c r="EP173" s="349"/>
      <c r="EQ173" s="349"/>
      <c r="ER173" s="349"/>
      <c r="ES173" s="349"/>
      <c r="ET173" s="349"/>
      <c r="EU173" s="349"/>
      <c r="EV173" s="349"/>
      <c r="EW173" s="349"/>
      <c r="EX173" s="349"/>
      <c r="EY173" s="349"/>
      <c r="EZ173" s="349"/>
      <c r="FA173" s="349"/>
      <c r="FB173" s="349"/>
      <c r="FC173" s="349"/>
      <c r="FD173" s="349"/>
      <c r="FE173" s="349"/>
      <c r="FF173" s="349"/>
      <c r="FG173" s="349"/>
      <c r="FH173" s="349"/>
      <c r="FI173" s="349"/>
      <c r="FJ173" s="349"/>
      <c r="FK173" s="349"/>
      <c r="FL173" s="349"/>
      <c r="FM173" s="349"/>
      <c r="FN173" s="349"/>
      <c r="FO173" s="349"/>
      <c r="FP173" s="349"/>
      <c r="FQ173" s="349"/>
      <c r="FR173" s="349"/>
      <c r="FS173" s="349"/>
      <c r="FT173" s="349"/>
      <c r="FU173" s="349"/>
      <c r="FV173" s="349"/>
      <c r="FW173" s="349"/>
      <c r="FX173" s="349"/>
      <c r="FY173" s="349"/>
      <c r="FZ173" s="349"/>
      <c r="GA173" s="349"/>
      <c r="GB173" s="349"/>
      <c r="GC173" s="349"/>
      <c r="GD173" s="349"/>
      <c r="GE173" s="349"/>
      <c r="GF173" s="349"/>
      <c r="GG173" s="349"/>
      <c r="GH173" s="349"/>
      <c r="GI173" s="349"/>
      <c r="GJ173" s="349"/>
      <c r="GK173" s="349"/>
      <c r="GL173" s="349"/>
      <c r="GM173" s="349"/>
      <c r="GN173" s="349"/>
      <c r="GO173" s="349"/>
      <c r="GP173" s="349"/>
      <c r="GQ173" s="349"/>
      <c r="GR173" s="349"/>
      <c r="GS173" s="349"/>
      <c r="GT173" s="349"/>
      <c r="GU173" s="349"/>
      <c r="GV173" s="349"/>
      <c r="GW173" s="349"/>
      <c r="GX173" s="349"/>
      <c r="GY173" s="349"/>
      <c r="GZ173" s="349"/>
      <c r="HA173" s="349"/>
      <c r="HB173" s="349"/>
      <c r="HC173" s="349"/>
      <c r="HD173" s="349"/>
      <c r="HE173" s="349"/>
      <c r="HF173" s="349"/>
      <c r="HG173" s="349"/>
      <c r="HH173" s="349"/>
      <c r="HI173" s="349"/>
      <c r="HJ173" s="349"/>
      <c r="HK173" s="349"/>
      <c r="HL173" s="349"/>
      <c r="HM173" s="349"/>
      <c r="HN173" s="349"/>
      <c r="HO173" s="349"/>
      <c r="HP173" s="349"/>
      <c r="HQ173" s="349"/>
      <c r="HR173" s="349"/>
      <c r="HS173" s="349"/>
      <c r="HT173" s="349"/>
      <c r="HU173" s="349"/>
      <c r="HV173" s="349"/>
      <c r="HW173" s="349"/>
      <c r="HX173" s="349"/>
      <c r="HY173" s="349"/>
      <c r="HZ173" s="349"/>
      <c r="IA173" s="349"/>
      <c r="IB173" s="349"/>
      <c r="IC173" s="349"/>
      <c r="ID173" s="349"/>
      <c r="IE173" s="349"/>
      <c r="IF173" s="349"/>
      <c r="IG173" s="349"/>
      <c r="IH173" s="349"/>
      <c r="II173" s="349"/>
      <c r="IJ173" s="349"/>
      <c r="IK173" s="349"/>
      <c r="IL173" s="349"/>
      <c r="IM173" s="349"/>
      <c r="IN173" s="349"/>
      <c r="IO173" s="349"/>
      <c r="IP173" s="349"/>
      <c r="IQ173" s="349"/>
      <c r="IR173" s="349"/>
    </row>
    <row r="174" spans="1:252" s="304" customFormat="1" ht="16.2" thickBot="1" x14ac:dyDescent="0.35">
      <c r="A174" s="278"/>
      <c r="B174" s="277"/>
      <c r="C174" s="277"/>
      <c r="D174" s="277"/>
      <c r="E174" s="277"/>
      <c r="F174" s="277"/>
      <c r="G174" s="277"/>
      <c r="H174" s="277"/>
      <c r="I174" s="277"/>
      <c r="J174" s="277"/>
      <c r="K174" s="277"/>
      <c r="L174" s="277"/>
      <c r="M174" s="277"/>
      <c r="N174" s="277"/>
      <c r="O174" s="277"/>
      <c r="P174" s="277"/>
      <c r="Q174" s="277"/>
      <c r="R174" s="297"/>
      <c r="S174" s="252"/>
      <c r="T174" s="247"/>
      <c r="U174" s="248"/>
      <c r="V174" s="248"/>
      <c r="W174" s="248"/>
      <c r="X174" s="248"/>
      <c r="Y174" s="248"/>
      <c r="Z174" s="248"/>
      <c r="AA174" s="248"/>
      <c r="AB174" s="248"/>
      <c r="AC174" s="248"/>
      <c r="AD174" s="248"/>
      <c r="AE174" s="248"/>
      <c r="AF174" s="248"/>
      <c r="AG174" s="248"/>
      <c r="AH174" s="248"/>
      <c r="AI174" s="248"/>
      <c r="AJ174" s="248"/>
      <c r="AK174" s="248"/>
      <c r="AL174" s="248"/>
      <c r="AM174" s="248"/>
      <c r="AN174" s="248"/>
      <c r="AO174" s="248"/>
      <c r="AP174" s="248"/>
      <c r="AQ174" s="248"/>
      <c r="AR174" s="248"/>
      <c r="AS174" s="248"/>
      <c r="AT174" s="248"/>
      <c r="AU174" s="248"/>
      <c r="AV174" s="248"/>
      <c r="AW174" s="248"/>
      <c r="AX174" s="248"/>
      <c r="AY174" s="248"/>
      <c r="AZ174" s="248"/>
      <c r="BA174" s="248"/>
      <c r="BB174" s="248"/>
      <c r="BC174" s="248"/>
      <c r="BD174" s="248"/>
      <c r="BE174" s="248"/>
      <c r="BF174" s="248"/>
      <c r="BG174" s="248"/>
      <c r="BH174" s="248"/>
      <c r="BI174" s="248"/>
      <c r="BJ174" s="248"/>
      <c r="BK174" s="248"/>
      <c r="BL174" s="248"/>
      <c r="BM174" s="248"/>
      <c r="BN174" s="248"/>
      <c r="BO174" s="248"/>
      <c r="BP174" s="248"/>
      <c r="BQ174" s="248"/>
      <c r="BR174" s="248"/>
      <c r="BS174" s="248"/>
      <c r="BT174" s="248"/>
      <c r="BU174" s="248"/>
      <c r="BV174" s="248"/>
      <c r="BW174" s="248"/>
      <c r="BX174" s="248"/>
      <c r="BY174" s="248"/>
      <c r="BZ174" s="248"/>
      <c r="CA174" s="248"/>
      <c r="CB174" s="248"/>
      <c r="CC174" s="248"/>
      <c r="CD174" s="248"/>
      <c r="CE174" s="248"/>
      <c r="CF174" s="248"/>
      <c r="CG174" s="248"/>
      <c r="CH174" s="248"/>
      <c r="CI174" s="248"/>
      <c r="CJ174" s="248"/>
      <c r="CK174" s="248"/>
      <c r="CL174" s="248"/>
      <c r="CM174" s="248"/>
      <c r="CN174" s="248"/>
      <c r="CO174" s="248"/>
      <c r="CP174" s="248"/>
      <c r="CQ174" s="248"/>
      <c r="CR174" s="248"/>
      <c r="CS174" s="248"/>
      <c r="CT174" s="248"/>
      <c r="CU174" s="248"/>
      <c r="CV174" s="248"/>
      <c r="CW174" s="248"/>
      <c r="CX174" s="248"/>
      <c r="CY174" s="248"/>
      <c r="CZ174" s="248"/>
      <c r="DA174" s="248"/>
      <c r="DB174" s="248"/>
      <c r="DC174" s="248"/>
      <c r="DD174" s="248"/>
      <c r="DE174" s="248"/>
      <c r="DF174" s="248"/>
      <c r="DG174" s="248"/>
      <c r="DH174" s="248"/>
      <c r="DI174" s="248"/>
      <c r="DJ174" s="248"/>
      <c r="DK174" s="248"/>
      <c r="DL174" s="248"/>
      <c r="DM174" s="248"/>
      <c r="DN174" s="248"/>
      <c r="DO174" s="248"/>
      <c r="DP174" s="248"/>
      <c r="DQ174" s="248"/>
      <c r="DR174" s="248"/>
      <c r="DS174" s="248"/>
      <c r="DT174" s="248"/>
      <c r="DU174" s="248"/>
      <c r="DV174" s="248"/>
      <c r="DW174" s="248"/>
      <c r="DX174" s="248"/>
      <c r="DY174" s="248"/>
      <c r="DZ174" s="248"/>
      <c r="EA174" s="248"/>
      <c r="EB174" s="248"/>
      <c r="EC174" s="248"/>
      <c r="ED174" s="248"/>
      <c r="EE174" s="248"/>
      <c r="EF174" s="248"/>
      <c r="EG174" s="248"/>
      <c r="EH174" s="248"/>
      <c r="EI174" s="248"/>
      <c r="EJ174" s="248"/>
      <c r="EK174" s="248"/>
      <c r="EL174" s="248"/>
      <c r="EM174" s="248"/>
      <c r="EN174" s="248"/>
      <c r="EO174" s="248"/>
      <c r="EP174" s="248"/>
      <c r="EQ174" s="248"/>
      <c r="ER174" s="248"/>
      <c r="ES174" s="248"/>
      <c r="ET174" s="248"/>
      <c r="EU174" s="248"/>
      <c r="EV174" s="248"/>
      <c r="EW174" s="248"/>
      <c r="EX174" s="248"/>
      <c r="EY174" s="248"/>
      <c r="EZ174" s="248"/>
      <c r="FA174" s="248"/>
      <c r="FB174" s="248"/>
      <c r="FC174" s="248"/>
      <c r="FD174" s="248"/>
      <c r="FE174" s="248"/>
      <c r="FF174" s="248"/>
      <c r="FG174" s="248"/>
      <c r="FH174" s="248"/>
      <c r="FI174" s="248"/>
      <c r="FJ174" s="248"/>
      <c r="FK174" s="248"/>
      <c r="FL174" s="248"/>
      <c r="FM174" s="248"/>
      <c r="FN174" s="248"/>
      <c r="FO174" s="248"/>
      <c r="FP174" s="248"/>
      <c r="FQ174" s="248"/>
      <c r="FR174" s="248"/>
      <c r="FS174" s="248"/>
      <c r="FT174" s="248"/>
      <c r="FU174" s="248"/>
      <c r="FV174" s="248"/>
      <c r="FW174" s="248"/>
      <c r="FX174" s="248"/>
      <c r="FY174" s="248"/>
      <c r="FZ174" s="248"/>
      <c r="GA174" s="248"/>
      <c r="GB174" s="248"/>
      <c r="GC174" s="248"/>
      <c r="GD174" s="248"/>
      <c r="GE174" s="248"/>
      <c r="GF174" s="248"/>
      <c r="GG174" s="248"/>
      <c r="GH174" s="248"/>
      <c r="GI174" s="248"/>
      <c r="GJ174" s="248"/>
      <c r="GK174" s="248"/>
      <c r="GL174" s="248"/>
      <c r="GM174" s="248"/>
      <c r="GN174" s="248"/>
      <c r="GO174" s="248"/>
      <c r="GP174" s="248"/>
      <c r="GQ174" s="248"/>
      <c r="GR174" s="248"/>
      <c r="GS174" s="248"/>
      <c r="GT174" s="248"/>
      <c r="GU174" s="248"/>
      <c r="GV174" s="248"/>
      <c r="GW174" s="248"/>
      <c r="GX174" s="248"/>
      <c r="GY174" s="248"/>
      <c r="GZ174" s="248"/>
      <c r="HA174" s="248"/>
      <c r="HB174" s="248"/>
      <c r="HC174" s="248"/>
      <c r="HD174" s="248"/>
      <c r="HE174" s="248"/>
      <c r="HF174" s="248"/>
      <c r="HG174" s="248"/>
      <c r="HH174" s="248"/>
      <c r="HI174" s="248"/>
      <c r="HJ174" s="248"/>
      <c r="HK174" s="248"/>
      <c r="HL174" s="248"/>
      <c r="HM174" s="248"/>
      <c r="HN174" s="248"/>
      <c r="HO174" s="248"/>
      <c r="HP174" s="248"/>
      <c r="HQ174" s="248"/>
      <c r="HR174" s="248"/>
      <c r="HS174" s="248"/>
      <c r="HT174" s="248"/>
      <c r="HU174" s="248"/>
      <c r="HV174" s="248"/>
      <c r="HW174" s="248"/>
      <c r="HX174" s="248"/>
      <c r="HY174" s="248"/>
      <c r="HZ174" s="248"/>
      <c r="IA174" s="248"/>
      <c r="IB174" s="248"/>
      <c r="IC174" s="248"/>
      <c r="ID174" s="248"/>
      <c r="IE174" s="248"/>
      <c r="IF174" s="248"/>
      <c r="IG174" s="248"/>
      <c r="IH174" s="248"/>
      <c r="II174" s="248"/>
      <c r="IJ174" s="248"/>
      <c r="IK174" s="248"/>
      <c r="IL174" s="248"/>
      <c r="IM174" s="248"/>
      <c r="IN174" s="248"/>
      <c r="IO174" s="248"/>
      <c r="IP174" s="248"/>
      <c r="IQ174" s="248"/>
      <c r="IR174" s="248"/>
    </row>
    <row r="175" spans="1:252" s="305" customFormat="1" x14ac:dyDescent="0.3">
      <c r="A175" s="244"/>
      <c r="B175" s="245"/>
      <c r="C175" s="245"/>
      <c r="D175" s="245"/>
      <c r="E175" s="245"/>
      <c r="F175" s="245"/>
      <c r="G175" s="245"/>
      <c r="H175" s="245"/>
      <c r="I175" s="245"/>
      <c r="J175" s="245"/>
      <c r="K175" s="245"/>
      <c r="L175" s="245"/>
      <c r="M175" s="245"/>
      <c r="N175" s="245"/>
      <c r="O175" s="245"/>
      <c r="P175" s="245"/>
      <c r="Q175" s="245"/>
      <c r="R175" s="301"/>
      <c r="S175" s="246"/>
      <c r="T175" s="247"/>
      <c r="U175" s="248"/>
      <c r="V175" s="248"/>
      <c r="W175" s="248"/>
      <c r="X175" s="248"/>
      <c r="Y175" s="248"/>
      <c r="Z175" s="248"/>
      <c r="AA175" s="248"/>
      <c r="AB175" s="248"/>
      <c r="AC175" s="248"/>
      <c r="AD175" s="248"/>
      <c r="AE175" s="248"/>
      <c r="AF175" s="248"/>
      <c r="AG175" s="248"/>
      <c r="AH175" s="248"/>
      <c r="AI175" s="248"/>
      <c r="AJ175" s="248"/>
      <c r="AK175" s="248"/>
      <c r="AL175" s="248"/>
      <c r="AM175" s="248"/>
      <c r="AN175" s="248"/>
      <c r="AO175" s="248"/>
      <c r="AP175" s="248"/>
      <c r="AQ175" s="248"/>
      <c r="AR175" s="248"/>
      <c r="AS175" s="248"/>
      <c r="AT175" s="248"/>
      <c r="AU175" s="248"/>
      <c r="AV175" s="248"/>
      <c r="AW175" s="248"/>
      <c r="AX175" s="248"/>
      <c r="AY175" s="248"/>
      <c r="AZ175" s="248"/>
      <c r="BA175" s="248"/>
      <c r="BB175" s="248"/>
      <c r="BC175" s="248"/>
      <c r="BD175" s="248"/>
      <c r="BE175" s="248"/>
      <c r="BF175" s="248"/>
      <c r="BG175" s="248"/>
      <c r="BH175" s="248"/>
      <c r="BI175" s="248"/>
      <c r="BJ175" s="248"/>
      <c r="BK175" s="248"/>
      <c r="BL175" s="248"/>
      <c r="BM175" s="248"/>
      <c r="BN175" s="248"/>
      <c r="BO175" s="248"/>
      <c r="BP175" s="248"/>
      <c r="BQ175" s="248"/>
      <c r="BR175" s="248"/>
      <c r="BS175" s="248"/>
      <c r="BT175" s="248"/>
      <c r="BU175" s="248"/>
      <c r="BV175" s="248"/>
      <c r="BW175" s="248"/>
      <c r="BX175" s="248"/>
      <c r="BY175" s="248"/>
      <c r="BZ175" s="248"/>
      <c r="CA175" s="248"/>
      <c r="CB175" s="248"/>
      <c r="CC175" s="248"/>
      <c r="CD175" s="248"/>
      <c r="CE175" s="248"/>
      <c r="CF175" s="248"/>
      <c r="CG175" s="248"/>
      <c r="CH175" s="248"/>
      <c r="CI175" s="248"/>
      <c r="CJ175" s="248"/>
      <c r="CK175" s="248"/>
      <c r="CL175" s="248"/>
      <c r="CM175" s="248"/>
      <c r="CN175" s="248"/>
      <c r="CO175" s="248"/>
      <c r="CP175" s="248"/>
      <c r="CQ175" s="248"/>
      <c r="CR175" s="248"/>
      <c r="CS175" s="248"/>
      <c r="CT175" s="248"/>
      <c r="CU175" s="248"/>
      <c r="CV175" s="248"/>
      <c r="CW175" s="248"/>
      <c r="CX175" s="248"/>
      <c r="CY175" s="248"/>
      <c r="CZ175" s="248"/>
      <c r="DA175" s="248"/>
      <c r="DB175" s="248"/>
      <c r="DC175" s="248"/>
      <c r="DD175" s="248"/>
      <c r="DE175" s="248"/>
      <c r="DF175" s="248"/>
      <c r="DG175" s="248"/>
      <c r="DH175" s="248"/>
      <c r="DI175" s="248"/>
      <c r="DJ175" s="248"/>
      <c r="DK175" s="248"/>
      <c r="DL175" s="248"/>
      <c r="DM175" s="248"/>
      <c r="DN175" s="248"/>
      <c r="DO175" s="248"/>
      <c r="DP175" s="248"/>
      <c r="DQ175" s="248"/>
      <c r="DR175" s="248"/>
      <c r="DS175" s="248"/>
      <c r="DT175" s="248"/>
      <c r="DU175" s="248"/>
      <c r="DV175" s="248"/>
      <c r="DW175" s="248"/>
      <c r="DX175" s="248"/>
      <c r="DY175" s="248"/>
      <c r="DZ175" s="248"/>
      <c r="EA175" s="248"/>
      <c r="EB175" s="248"/>
      <c r="EC175" s="248"/>
      <c r="ED175" s="248"/>
      <c r="EE175" s="248"/>
      <c r="EF175" s="248"/>
      <c r="EG175" s="248"/>
      <c r="EH175" s="248"/>
      <c r="EI175" s="248"/>
      <c r="EJ175" s="248"/>
      <c r="EK175" s="248"/>
      <c r="EL175" s="248"/>
      <c r="EM175" s="248"/>
      <c r="EN175" s="248"/>
      <c r="EO175" s="248"/>
      <c r="EP175" s="248"/>
      <c r="EQ175" s="248"/>
      <c r="ER175" s="248"/>
      <c r="ES175" s="248"/>
      <c r="ET175" s="248"/>
      <c r="EU175" s="248"/>
      <c r="EV175" s="248"/>
      <c r="EW175" s="248"/>
      <c r="EX175" s="248"/>
      <c r="EY175" s="248"/>
      <c r="EZ175" s="248"/>
      <c r="FA175" s="248"/>
      <c r="FB175" s="248"/>
      <c r="FC175" s="248"/>
      <c r="FD175" s="248"/>
      <c r="FE175" s="248"/>
      <c r="FF175" s="248"/>
      <c r="FG175" s="248"/>
      <c r="FH175" s="248"/>
      <c r="FI175" s="248"/>
      <c r="FJ175" s="248"/>
      <c r="FK175" s="248"/>
      <c r="FL175" s="248"/>
      <c r="FM175" s="248"/>
      <c r="FN175" s="248"/>
      <c r="FO175" s="248"/>
      <c r="FP175" s="248"/>
      <c r="FQ175" s="248"/>
      <c r="FR175" s="248"/>
      <c r="FS175" s="248"/>
      <c r="FT175" s="248"/>
      <c r="FU175" s="248"/>
      <c r="FV175" s="248"/>
      <c r="FW175" s="248"/>
      <c r="FX175" s="248"/>
      <c r="FY175" s="248"/>
      <c r="FZ175" s="248"/>
      <c r="GA175" s="248"/>
      <c r="GB175" s="248"/>
      <c r="GC175" s="248"/>
      <c r="GD175" s="248"/>
      <c r="GE175" s="248"/>
      <c r="GF175" s="248"/>
      <c r="GG175" s="248"/>
      <c r="GH175" s="248"/>
      <c r="GI175" s="248"/>
      <c r="GJ175" s="248"/>
      <c r="GK175" s="248"/>
      <c r="GL175" s="248"/>
      <c r="GM175" s="248"/>
      <c r="GN175" s="248"/>
      <c r="GO175" s="248"/>
      <c r="GP175" s="248"/>
      <c r="GQ175" s="248"/>
      <c r="GR175" s="248"/>
      <c r="GS175" s="248"/>
      <c r="GT175" s="248"/>
      <c r="GU175" s="248"/>
      <c r="GV175" s="248"/>
      <c r="GW175" s="248"/>
      <c r="GX175" s="248"/>
      <c r="GY175" s="248"/>
      <c r="GZ175" s="248"/>
      <c r="HA175" s="248"/>
      <c r="HB175" s="248"/>
      <c r="HC175" s="248"/>
      <c r="HD175" s="248"/>
      <c r="HE175" s="248"/>
      <c r="HF175" s="248"/>
      <c r="HG175" s="248"/>
      <c r="HH175" s="248"/>
      <c r="HI175" s="248"/>
      <c r="HJ175" s="248"/>
      <c r="HK175" s="248"/>
      <c r="HL175" s="248"/>
      <c r="HM175" s="248"/>
      <c r="HN175" s="248"/>
      <c r="HO175" s="248"/>
      <c r="HP175" s="248"/>
      <c r="HQ175" s="248"/>
      <c r="HR175" s="248"/>
      <c r="HS175" s="248"/>
      <c r="HT175" s="248"/>
      <c r="HU175" s="248"/>
      <c r="HV175" s="248"/>
      <c r="HW175" s="248"/>
      <c r="HX175" s="248"/>
      <c r="HY175" s="248"/>
      <c r="HZ175" s="248"/>
      <c r="IA175" s="248"/>
      <c r="IB175" s="248"/>
      <c r="IC175" s="248"/>
      <c r="ID175" s="248"/>
      <c r="IE175" s="248"/>
      <c r="IF175" s="248"/>
      <c r="IG175" s="248"/>
      <c r="IH175" s="248"/>
      <c r="II175" s="248"/>
      <c r="IJ175" s="248"/>
      <c r="IK175" s="248"/>
      <c r="IL175" s="248"/>
      <c r="IM175" s="248"/>
      <c r="IN175" s="248"/>
      <c r="IO175" s="248"/>
      <c r="IP175" s="248"/>
      <c r="IQ175" s="248"/>
      <c r="IR175" s="248"/>
    </row>
    <row r="176" spans="1:252" x14ac:dyDescent="0.3">
      <c r="A176" s="249"/>
      <c r="B176" s="296" t="s">
        <v>44</v>
      </c>
      <c r="C176" s="251"/>
      <c r="D176" s="251"/>
      <c r="E176" s="251"/>
      <c r="F176" s="251"/>
      <c r="G176" s="251"/>
      <c r="H176" s="251"/>
      <c r="I176" s="251"/>
      <c r="J176" s="251"/>
      <c r="K176" s="251"/>
      <c r="L176" s="251"/>
      <c r="M176" s="251"/>
      <c r="N176" s="251"/>
      <c r="O176" s="251"/>
      <c r="P176" s="251"/>
      <c r="Q176" s="251"/>
      <c r="R176" s="279"/>
      <c r="S176" s="252"/>
      <c r="T176" s="247"/>
    </row>
    <row r="177" spans="1:20" x14ac:dyDescent="0.3">
      <c r="A177" s="249"/>
      <c r="B177" s="295"/>
      <c r="C177" s="251"/>
      <c r="D177" s="251"/>
      <c r="E177" s="251"/>
      <c r="F177" s="251"/>
      <c r="G177" s="251"/>
      <c r="H177" s="251"/>
      <c r="I177" s="251"/>
      <c r="J177" s="251"/>
      <c r="K177" s="251"/>
      <c r="L177" s="251"/>
      <c r="M177" s="251"/>
      <c r="N177" s="251"/>
      <c r="O177" s="251"/>
      <c r="P177" s="251"/>
      <c r="Q177" s="251"/>
      <c r="R177" s="279"/>
      <c r="S177" s="252"/>
      <c r="T177" s="247"/>
    </row>
    <row r="178" spans="1:20" s="349" customFormat="1" x14ac:dyDescent="0.3">
      <c r="A178" s="365"/>
      <c r="B178" s="358" t="s">
        <v>172</v>
      </c>
      <c r="C178" s="358"/>
      <c r="D178" s="358"/>
      <c r="E178" s="358"/>
      <c r="F178" s="358"/>
      <c r="G178" s="358"/>
      <c r="H178" s="358"/>
      <c r="I178" s="358"/>
      <c r="J178" s="358"/>
      <c r="K178" s="358"/>
      <c r="L178" s="358"/>
      <c r="M178" s="358"/>
      <c r="N178" s="358"/>
      <c r="O178" s="358"/>
      <c r="P178" s="358"/>
      <c r="Q178" s="358"/>
      <c r="R178" s="404">
        <f>+R67</f>
        <v>74480</v>
      </c>
      <c r="S178" s="361"/>
      <c r="T178" s="348"/>
    </row>
    <row r="179" spans="1:20" s="349" customFormat="1" x14ac:dyDescent="0.3">
      <c r="A179" s="365"/>
      <c r="B179" s="358" t="s">
        <v>173</v>
      </c>
      <c r="C179" s="358"/>
      <c r="D179" s="358"/>
      <c r="E179" s="358"/>
      <c r="F179" s="358"/>
      <c r="G179" s="358"/>
      <c r="H179" s="358"/>
      <c r="I179" s="358"/>
      <c r="J179" s="358"/>
      <c r="K179" s="358"/>
      <c r="L179" s="358"/>
      <c r="M179" s="358"/>
      <c r="N179" s="358"/>
      <c r="O179" s="358"/>
      <c r="P179" s="358"/>
      <c r="Q179" s="358"/>
      <c r="R179" s="404">
        <f>+R77</f>
        <v>0</v>
      </c>
      <c r="S179" s="361"/>
      <c r="T179" s="348"/>
    </row>
    <row r="180" spans="1:20" s="349" customFormat="1" x14ac:dyDescent="0.3">
      <c r="A180" s="365"/>
      <c r="B180" s="358" t="s">
        <v>216</v>
      </c>
      <c r="C180" s="358"/>
      <c r="D180" s="358"/>
      <c r="E180" s="358"/>
      <c r="F180" s="358"/>
      <c r="G180" s="358"/>
      <c r="H180" s="358"/>
      <c r="I180" s="358"/>
      <c r="J180" s="358"/>
      <c r="K180" s="358"/>
      <c r="L180" s="358"/>
      <c r="M180" s="358"/>
      <c r="N180" s="358"/>
      <c r="O180" s="358"/>
      <c r="P180" s="358"/>
      <c r="Q180" s="358"/>
      <c r="R180" s="404">
        <f>+R78</f>
        <v>0</v>
      </c>
      <c r="S180" s="361"/>
      <c r="T180" s="348"/>
    </row>
    <row r="181" spans="1:20" s="349" customFormat="1" x14ac:dyDescent="0.3">
      <c r="A181" s="365"/>
      <c r="B181" s="358" t="s">
        <v>126</v>
      </c>
      <c r="C181" s="358"/>
      <c r="D181" s="358"/>
      <c r="E181" s="358"/>
      <c r="F181" s="358"/>
      <c r="G181" s="358"/>
      <c r="H181" s="358"/>
      <c r="I181" s="358"/>
      <c r="J181" s="358"/>
      <c r="K181" s="358"/>
      <c r="L181" s="358"/>
      <c r="M181" s="358"/>
      <c r="N181" s="358"/>
      <c r="O181" s="358"/>
      <c r="P181" s="358"/>
      <c r="Q181" s="358"/>
      <c r="R181" s="404">
        <f>+R178+R179+R180</f>
        <v>74480</v>
      </c>
      <c r="S181" s="361"/>
      <c r="T181" s="348"/>
    </row>
    <row r="182" spans="1:20" s="349" customFormat="1" x14ac:dyDescent="0.3">
      <c r="A182" s="365"/>
      <c r="B182" s="358" t="s">
        <v>45</v>
      </c>
      <c r="C182" s="358"/>
      <c r="D182" s="358"/>
      <c r="E182" s="358"/>
      <c r="F182" s="358"/>
      <c r="G182" s="358"/>
      <c r="H182" s="358"/>
      <c r="I182" s="358"/>
      <c r="J182" s="358"/>
      <c r="K182" s="358"/>
      <c r="L182" s="358"/>
      <c r="M182" s="358"/>
      <c r="N182" s="358"/>
      <c r="O182" s="358"/>
      <c r="P182" s="358"/>
      <c r="Q182" s="358"/>
      <c r="R182" s="404">
        <f>R80</f>
        <v>74480</v>
      </c>
      <c r="S182" s="361"/>
      <c r="T182" s="348"/>
    </row>
    <row r="183" spans="1:20" ht="16.2" thickBot="1" x14ac:dyDescent="0.35">
      <c r="A183" s="249"/>
      <c r="B183" s="277"/>
      <c r="C183" s="277"/>
      <c r="D183" s="277"/>
      <c r="E183" s="277"/>
      <c r="F183" s="277"/>
      <c r="G183" s="277"/>
      <c r="H183" s="277"/>
      <c r="I183" s="277"/>
      <c r="J183" s="277"/>
      <c r="K183" s="277"/>
      <c r="L183" s="277"/>
      <c r="M183" s="277"/>
      <c r="N183" s="277"/>
      <c r="O183" s="277"/>
      <c r="P183" s="277"/>
      <c r="Q183" s="277"/>
      <c r="R183" s="297"/>
      <c r="S183" s="252"/>
      <c r="T183" s="247"/>
    </row>
    <row r="184" spans="1:20" x14ac:dyDescent="0.3">
      <c r="A184" s="244"/>
      <c r="B184" s="245"/>
      <c r="C184" s="245"/>
      <c r="D184" s="245"/>
      <c r="E184" s="245"/>
      <c r="F184" s="245"/>
      <c r="G184" s="245"/>
      <c r="H184" s="245"/>
      <c r="I184" s="245"/>
      <c r="J184" s="245"/>
      <c r="K184" s="245"/>
      <c r="L184" s="245"/>
      <c r="M184" s="245"/>
      <c r="N184" s="245"/>
      <c r="O184" s="245"/>
      <c r="P184" s="245"/>
      <c r="Q184" s="245"/>
      <c r="R184" s="301"/>
      <c r="S184" s="246"/>
      <c r="T184" s="247"/>
    </row>
    <row r="185" spans="1:20" s="273" customFormat="1" x14ac:dyDescent="0.3">
      <c r="A185" s="280"/>
      <c r="B185" s="296" t="s">
        <v>46</v>
      </c>
      <c r="C185" s="306"/>
      <c r="D185" s="307"/>
      <c r="E185" s="307"/>
      <c r="F185" s="307"/>
      <c r="G185" s="307"/>
      <c r="H185" s="307"/>
      <c r="I185" s="307"/>
      <c r="J185" s="307"/>
      <c r="K185" s="307"/>
      <c r="L185" s="307"/>
      <c r="M185" s="307"/>
      <c r="N185" s="307"/>
      <c r="O185" s="307" t="s">
        <v>82</v>
      </c>
      <c r="P185" s="307" t="s">
        <v>170</v>
      </c>
      <c r="Q185" s="254"/>
      <c r="R185" s="308" t="s">
        <v>94</v>
      </c>
      <c r="S185" s="309"/>
      <c r="T185" s="272"/>
    </row>
    <row r="186" spans="1:20" s="349" customFormat="1" x14ac:dyDescent="0.3">
      <c r="A186" s="365"/>
      <c r="B186" s="358" t="s">
        <v>47</v>
      </c>
      <c r="C186" s="358"/>
      <c r="D186" s="358"/>
      <c r="E186" s="358"/>
      <c r="F186" s="358"/>
      <c r="G186" s="358"/>
      <c r="H186" s="358"/>
      <c r="I186" s="358"/>
      <c r="J186" s="358"/>
      <c r="K186" s="358"/>
      <c r="L186" s="358"/>
      <c r="M186" s="358"/>
      <c r="N186" s="358"/>
      <c r="O186" s="404">
        <f>+R31*0.08</f>
        <v>24000.720000000001</v>
      </c>
      <c r="P186" s="383"/>
      <c r="Q186" s="358"/>
      <c r="R186" s="404"/>
      <c r="S186" s="361"/>
      <c r="T186" s="348"/>
    </row>
    <row r="187" spans="1:20" s="349" customFormat="1" x14ac:dyDescent="0.3">
      <c r="A187" s="365"/>
      <c r="B187" s="358" t="s">
        <v>48</v>
      </c>
      <c r="C187" s="358"/>
      <c r="D187" s="358"/>
      <c r="E187" s="358"/>
      <c r="F187" s="358"/>
      <c r="G187" s="358"/>
      <c r="H187" s="358"/>
      <c r="I187" s="358"/>
      <c r="J187" s="358"/>
      <c r="K187" s="358"/>
      <c r="L187" s="358"/>
      <c r="M187" s="358"/>
      <c r="N187" s="358"/>
      <c r="O187" s="404">
        <f>+'May 18'!O189</f>
        <v>544</v>
      </c>
      <c r="P187" s="404">
        <f>+'May 18'!P189</f>
        <v>694</v>
      </c>
      <c r="Q187" s="358"/>
      <c r="R187" s="404">
        <f>O187+P187</f>
        <v>1238</v>
      </c>
      <c r="S187" s="361"/>
      <c r="T187" s="348"/>
    </row>
    <row r="188" spans="1:20" s="349" customFormat="1" x14ac:dyDescent="0.3">
      <c r="A188" s="365"/>
      <c r="B188" s="358" t="s">
        <v>49</v>
      </c>
      <c r="C188" s="358"/>
      <c r="D188" s="358"/>
      <c r="E188" s="358"/>
      <c r="F188" s="358"/>
      <c r="G188" s="358"/>
      <c r="H188" s="358"/>
      <c r="I188" s="358"/>
      <c r="J188" s="358"/>
      <c r="K188" s="358"/>
      <c r="L188" s="358"/>
      <c r="M188" s="358"/>
      <c r="N188" s="358"/>
      <c r="O188" s="403">
        <v>25</v>
      </c>
      <c r="P188" s="403">
        <v>0</v>
      </c>
      <c r="Q188" s="358"/>
      <c r="R188" s="404">
        <f>O188+P188</f>
        <v>25</v>
      </c>
      <c r="S188" s="361"/>
      <c r="T188" s="348"/>
    </row>
    <row r="189" spans="1:20" s="349" customFormat="1" x14ac:dyDescent="0.3">
      <c r="A189" s="365"/>
      <c r="B189" s="358" t="s">
        <v>50</v>
      </c>
      <c r="C189" s="358"/>
      <c r="D189" s="358"/>
      <c r="E189" s="358"/>
      <c r="F189" s="358"/>
      <c r="G189" s="358"/>
      <c r="H189" s="358"/>
      <c r="I189" s="358"/>
      <c r="J189" s="358"/>
      <c r="K189" s="358"/>
      <c r="L189" s="358"/>
      <c r="M189" s="358"/>
      <c r="N189" s="358"/>
      <c r="O189" s="404">
        <f>O187+O188</f>
        <v>569</v>
      </c>
      <c r="P189" s="404">
        <f>P188+P187</f>
        <v>694</v>
      </c>
      <c r="Q189" s="358"/>
      <c r="R189" s="404">
        <f>O189+P189</f>
        <v>1263</v>
      </c>
      <c r="S189" s="361"/>
      <c r="T189" s="348"/>
    </row>
    <row r="190" spans="1:20" s="349" customFormat="1" x14ac:dyDescent="0.3">
      <c r="A190" s="365"/>
      <c r="B190" s="358" t="s">
        <v>51</v>
      </c>
      <c r="C190" s="358"/>
      <c r="D190" s="358"/>
      <c r="E190" s="358"/>
      <c r="F190" s="358"/>
      <c r="G190" s="358"/>
      <c r="H190" s="358"/>
      <c r="I190" s="358"/>
      <c r="J190" s="358"/>
      <c r="K190" s="358"/>
      <c r="L190" s="358"/>
      <c r="M190" s="358"/>
      <c r="N190" s="358"/>
      <c r="O190" s="404">
        <f>O186-O189-P189</f>
        <v>22737.72</v>
      </c>
      <c r="P190" s="383"/>
      <c r="Q190" s="358"/>
      <c r="R190" s="404"/>
      <c r="S190" s="361"/>
      <c r="T190" s="348"/>
    </row>
    <row r="191" spans="1:20" ht="16.2" thickBot="1" x14ac:dyDescent="0.35">
      <c r="A191" s="249"/>
      <c r="B191" s="277"/>
      <c r="C191" s="277"/>
      <c r="D191" s="277"/>
      <c r="E191" s="277"/>
      <c r="F191" s="277"/>
      <c r="G191" s="277"/>
      <c r="H191" s="277"/>
      <c r="I191" s="277"/>
      <c r="J191" s="277"/>
      <c r="K191" s="277"/>
      <c r="L191" s="277"/>
      <c r="M191" s="277"/>
      <c r="N191" s="277"/>
      <c r="O191" s="277"/>
      <c r="P191" s="277"/>
      <c r="Q191" s="277"/>
      <c r="R191" s="297"/>
      <c r="S191" s="252"/>
      <c r="T191" s="247"/>
    </row>
    <row r="192" spans="1:20" x14ac:dyDescent="0.3">
      <c r="A192" s="244"/>
      <c r="B192" s="245"/>
      <c r="C192" s="245"/>
      <c r="D192" s="245"/>
      <c r="E192" s="245"/>
      <c r="F192" s="245"/>
      <c r="G192" s="245"/>
      <c r="H192" s="245"/>
      <c r="I192" s="245"/>
      <c r="J192" s="245"/>
      <c r="K192" s="245"/>
      <c r="L192" s="245"/>
      <c r="M192" s="245"/>
      <c r="N192" s="245"/>
      <c r="O192" s="245"/>
      <c r="P192" s="245"/>
      <c r="Q192" s="245"/>
      <c r="R192" s="301"/>
      <c r="S192" s="246"/>
      <c r="T192" s="247"/>
    </row>
    <row r="193" spans="1:20" x14ac:dyDescent="0.3">
      <c r="A193" s="249"/>
      <c r="B193" s="296" t="s">
        <v>52</v>
      </c>
      <c r="C193" s="251"/>
      <c r="D193" s="251"/>
      <c r="E193" s="251"/>
      <c r="F193" s="251"/>
      <c r="G193" s="251"/>
      <c r="H193" s="251"/>
      <c r="I193" s="251"/>
      <c r="J193" s="251"/>
      <c r="K193" s="251"/>
      <c r="L193" s="251"/>
      <c r="M193" s="251"/>
      <c r="N193" s="251"/>
      <c r="O193" s="251"/>
      <c r="P193" s="251"/>
      <c r="Q193" s="251"/>
      <c r="R193" s="310"/>
      <c r="S193" s="252"/>
      <c r="T193" s="247"/>
    </row>
    <row r="194" spans="1:20" s="349" customFormat="1" x14ac:dyDescent="0.3">
      <c r="A194" s="365"/>
      <c r="B194" s="358" t="s">
        <v>53</v>
      </c>
      <c r="C194" s="358"/>
      <c r="D194" s="358"/>
      <c r="E194" s="358"/>
      <c r="F194" s="358"/>
      <c r="G194" s="358"/>
      <c r="H194" s="358"/>
      <c r="I194" s="358"/>
      <c r="J194" s="358"/>
      <c r="K194" s="358"/>
      <c r="L194" s="358"/>
      <c r="M194" s="358"/>
      <c r="N194" s="358"/>
      <c r="O194" s="358"/>
      <c r="P194" s="358"/>
      <c r="Q194" s="358"/>
      <c r="R194" s="417">
        <f>(R100+R102+R103+R104+R105)/-(R106+R107)</f>
        <v>5.4352331606217614</v>
      </c>
      <c r="S194" s="361" t="s">
        <v>95</v>
      </c>
      <c r="T194" s="348"/>
    </row>
    <row r="195" spans="1:20" s="349" customFormat="1" x14ac:dyDescent="0.3">
      <c r="A195" s="365"/>
      <c r="B195" s="358" t="s">
        <v>54</v>
      </c>
      <c r="C195" s="358"/>
      <c r="D195" s="358"/>
      <c r="E195" s="358"/>
      <c r="F195" s="358"/>
      <c r="G195" s="358"/>
      <c r="H195" s="358"/>
      <c r="I195" s="358"/>
      <c r="J195" s="358"/>
      <c r="K195" s="358"/>
      <c r="L195" s="358"/>
      <c r="M195" s="358"/>
      <c r="N195" s="358"/>
      <c r="O195" s="358"/>
      <c r="P195" s="358"/>
      <c r="Q195" s="358"/>
      <c r="R195" s="418">
        <v>3.56</v>
      </c>
      <c r="S195" s="361" t="s">
        <v>95</v>
      </c>
      <c r="T195" s="348"/>
    </row>
    <row r="196" spans="1:20" s="349" customFormat="1" x14ac:dyDescent="0.3">
      <c r="A196" s="365"/>
      <c r="B196" s="358" t="s">
        <v>183</v>
      </c>
      <c r="C196" s="358"/>
      <c r="D196" s="358"/>
      <c r="E196" s="358"/>
      <c r="F196" s="358"/>
      <c r="G196" s="358"/>
      <c r="H196" s="358"/>
      <c r="I196" s="358"/>
      <c r="J196" s="358"/>
      <c r="K196" s="358"/>
      <c r="L196" s="358"/>
      <c r="M196" s="358"/>
      <c r="N196" s="358"/>
      <c r="O196" s="358"/>
      <c r="P196" s="358"/>
      <c r="Q196" s="358"/>
      <c r="R196" s="417">
        <f>(R100+R102+R103+R104+R105+R106+R107)/-(R108)</f>
        <v>14.032786885245901</v>
      </c>
      <c r="S196" s="361" t="s">
        <v>95</v>
      </c>
      <c r="T196" s="348"/>
    </row>
    <row r="197" spans="1:20" s="349" customFormat="1" x14ac:dyDescent="0.3">
      <c r="A197" s="365"/>
      <c r="B197" s="358" t="s">
        <v>184</v>
      </c>
      <c r="C197" s="358"/>
      <c r="D197" s="358"/>
      <c r="E197" s="358"/>
      <c r="F197" s="358"/>
      <c r="G197" s="358"/>
      <c r="H197" s="358"/>
      <c r="I197" s="358"/>
      <c r="J197" s="358"/>
      <c r="K197" s="358"/>
      <c r="L197" s="358"/>
      <c r="M197" s="358"/>
      <c r="N197" s="358"/>
      <c r="O197" s="358"/>
      <c r="P197" s="358"/>
      <c r="Q197" s="358"/>
      <c r="R197" s="418">
        <v>30.88</v>
      </c>
      <c r="S197" s="361" t="s">
        <v>95</v>
      </c>
      <c r="T197" s="348"/>
    </row>
    <row r="198" spans="1:20" s="349" customFormat="1" x14ac:dyDescent="0.3">
      <c r="A198" s="365"/>
      <c r="B198" s="358" t="s">
        <v>185</v>
      </c>
      <c r="C198" s="358"/>
      <c r="D198" s="358"/>
      <c r="E198" s="358"/>
      <c r="F198" s="358"/>
      <c r="G198" s="358"/>
      <c r="H198" s="358"/>
      <c r="I198" s="358"/>
      <c r="J198" s="358"/>
      <c r="K198" s="358"/>
      <c r="L198" s="358"/>
      <c r="M198" s="358"/>
      <c r="N198" s="358"/>
      <c r="O198" s="358"/>
      <c r="P198" s="358"/>
      <c r="Q198" s="358"/>
      <c r="R198" s="417">
        <f>(R100+R102+R103+R104+R105+R106+R107+R108)/-(R109)</f>
        <v>11.357142857142858</v>
      </c>
      <c r="S198" s="361" t="s">
        <v>95</v>
      </c>
      <c r="T198" s="348"/>
    </row>
    <row r="199" spans="1:20" s="349" customFormat="1" x14ac:dyDescent="0.3">
      <c r="A199" s="365"/>
      <c r="B199" s="358" t="s">
        <v>186</v>
      </c>
      <c r="C199" s="358"/>
      <c r="D199" s="358"/>
      <c r="E199" s="358"/>
      <c r="F199" s="358"/>
      <c r="G199" s="358"/>
      <c r="H199" s="358"/>
      <c r="I199" s="358"/>
      <c r="J199" s="358"/>
      <c r="K199" s="358"/>
      <c r="L199" s="358"/>
      <c r="M199" s="358"/>
      <c r="N199" s="358"/>
      <c r="O199" s="358"/>
      <c r="P199" s="358"/>
      <c r="Q199" s="358"/>
      <c r="R199" s="418">
        <v>25.68</v>
      </c>
      <c r="S199" s="361" t="s">
        <v>95</v>
      </c>
      <c r="T199" s="348"/>
    </row>
    <row r="200" spans="1:20" s="349" customFormat="1" x14ac:dyDescent="0.3">
      <c r="A200" s="365"/>
      <c r="B200" s="358" t="s">
        <v>257</v>
      </c>
      <c r="C200" s="358"/>
      <c r="D200" s="358"/>
      <c r="E200" s="358"/>
      <c r="F200" s="358"/>
      <c r="G200" s="358"/>
      <c r="H200" s="358"/>
      <c r="I200" s="358"/>
      <c r="J200" s="358"/>
      <c r="K200" s="358"/>
      <c r="L200" s="358"/>
      <c r="M200" s="358"/>
      <c r="N200" s="358"/>
      <c r="O200" s="358"/>
      <c r="P200" s="358"/>
      <c r="Q200" s="358"/>
      <c r="R200" s="417">
        <f>(R100+R102+R103+R104+R105+R106+R107+R108+R109+R110+R111+R112+R113+R114)/-(R115)</f>
        <v>13.823529411764707</v>
      </c>
      <c r="S200" s="361" t="s">
        <v>95</v>
      </c>
      <c r="T200" s="348"/>
    </row>
    <row r="201" spans="1:20" s="349" customFormat="1" x14ac:dyDescent="0.3">
      <c r="A201" s="365"/>
      <c r="B201" s="358" t="s">
        <v>258</v>
      </c>
      <c r="C201" s="358"/>
      <c r="D201" s="358"/>
      <c r="E201" s="358"/>
      <c r="F201" s="358"/>
      <c r="G201" s="358"/>
      <c r="H201" s="358"/>
      <c r="I201" s="358"/>
      <c r="J201" s="358"/>
      <c r="K201" s="358"/>
      <c r="L201" s="358"/>
      <c r="M201" s="358"/>
      <c r="N201" s="358"/>
      <c r="O201" s="358"/>
      <c r="P201" s="358"/>
      <c r="Q201" s="358"/>
      <c r="R201" s="418">
        <v>33.47</v>
      </c>
      <c r="S201" s="361" t="s">
        <v>95</v>
      </c>
      <c r="T201" s="348"/>
    </row>
    <row r="202" spans="1:20" s="349" customFormat="1" x14ac:dyDescent="0.3">
      <c r="A202" s="365"/>
      <c r="B202" s="358"/>
      <c r="C202" s="358"/>
      <c r="D202" s="358"/>
      <c r="E202" s="358"/>
      <c r="F202" s="358"/>
      <c r="G202" s="358"/>
      <c r="H202" s="358"/>
      <c r="I202" s="358"/>
      <c r="J202" s="358"/>
      <c r="K202" s="358"/>
      <c r="L202" s="358"/>
      <c r="M202" s="358"/>
      <c r="N202" s="358"/>
      <c r="O202" s="358"/>
      <c r="P202" s="358"/>
      <c r="Q202" s="358"/>
      <c r="R202" s="358"/>
      <c r="S202" s="361"/>
      <c r="T202" s="348"/>
    </row>
    <row r="203" spans="1:20" s="349" customFormat="1" x14ac:dyDescent="0.3">
      <c r="A203" s="344"/>
      <c r="B203" s="393"/>
      <c r="C203" s="393"/>
      <c r="D203" s="393"/>
      <c r="E203" s="393"/>
      <c r="F203" s="393"/>
      <c r="G203" s="393"/>
      <c r="H203" s="393"/>
      <c r="I203" s="393"/>
      <c r="J203" s="393"/>
      <c r="K203" s="393"/>
      <c r="L203" s="393"/>
      <c r="M203" s="393"/>
      <c r="N203" s="393"/>
      <c r="O203" s="393"/>
      <c r="P203" s="393"/>
      <c r="Q203" s="393"/>
      <c r="R203" s="393"/>
      <c r="S203" s="347"/>
      <c r="T203" s="348"/>
    </row>
    <row r="204" spans="1:20" s="349" customFormat="1" x14ac:dyDescent="0.3">
      <c r="A204" s="344"/>
      <c r="B204" s="346"/>
      <c r="C204" s="346"/>
      <c r="D204" s="346"/>
      <c r="E204" s="346"/>
      <c r="F204" s="346"/>
      <c r="G204" s="346"/>
      <c r="H204" s="346"/>
      <c r="I204" s="346"/>
      <c r="J204" s="346"/>
      <c r="K204" s="346"/>
      <c r="L204" s="346"/>
      <c r="M204" s="346"/>
      <c r="N204" s="346"/>
      <c r="O204" s="346"/>
      <c r="P204" s="346"/>
      <c r="Q204" s="346"/>
      <c r="R204" s="346"/>
      <c r="S204" s="347"/>
      <c r="T204" s="348"/>
    </row>
    <row r="205" spans="1:20" s="349" customFormat="1" ht="18.600000000000001" thickBot="1" x14ac:dyDescent="0.4">
      <c r="A205" s="398"/>
      <c r="B205" s="399" t="str">
        <f>B132</f>
        <v>PM22 INVESTOR REPORT QUARTER ENDING AUGUST 2018</v>
      </c>
      <c r="C205" s="400"/>
      <c r="D205" s="400"/>
      <c r="E205" s="400"/>
      <c r="F205" s="400"/>
      <c r="G205" s="400"/>
      <c r="H205" s="400"/>
      <c r="I205" s="400"/>
      <c r="J205" s="400"/>
      <c r="K205" s="400"/>
      <c r="L205" s="400"/>
      <c r="M205" s="400"/>
      <c r="N205" s="400"/>
      <c r="O205" s="400"/>
      <c r="P205" s="400"/>
      <c r="Q205" s="400"/>
      <c r="R205" s="400"/>
      <c r="S205" s="402"/>
      <c r="T205" s="348"/>
    </row>
    <row r="206" spans="1:20" x14ac:dyDescent="0.3">
      <c r="A206" s="456"/>
      <c r="B206" s="457" t="s">
        <v>55</v>
      </c>
      <c r="C206" s="461"/>
      <c r="D206" s="462"/>
      <c r="E206" s="462"/>
      <c r="F206" s="462"/>
      <c r="G206" s="462"/>
      <c r="H206" s="462"/>
      <c r="I206" s="462"/>
      <c r="J206" s="462"/>
      <c r="K206" s="462"/>
      <c r="L206" s="462"/>
      <c r="M206" s="462"/>
      <c r="N206" s="462"/>
      <c r="O206" s="462"/>
      <c r="P206" s="462">
        <v>43343</v>
      </c>
      <c r="Q206" s="458"/>
      <c r="R206" s="458"/>
      <c r="S206" s="460"/>
      <c r="T206" s="247"/>
    </row>
    <row r="207" spans="1:20" x14ac:dyDescent="0.3">
      <c r="A207" s="312"/>
      <c r="B207" s="313"/>
      <c r="C207" s="314"/>
      <c r="D207" s="315"/>
      <c r="E207" s="315"/>
      <c r="F207" s="315"/>
      <c r="G207" s="315"/>
      <c r="H207" s="315"/>
      <c r="I207" s="315"/>
      <c r="J207" s="315"/>
      <c r="K207" s="315"/>
      <c r="L207" s="315"/>
      <c r="M207" s="315"/>
      <c r="N207" s="315"/>
      <c r="O207" s="315"/>
      <c r="P207" s="315"/>
      <c r="Q207" s="251"/>
      <c r="R207" s="251"/>
      <c r="S207" s="252"/>
      <c r="T207" s="247"/>
    </row>
    <row r="208" spans="1:20" s="349" customFormat="1" x14ac:dyDescent="0.3">
      <c r="A208" s="365"/>
      <c r="B208" s="358" t="s">
        <v>56</v>
      </c>
      <c r="C208" s="419"/>
      <c r="D208" s="387"/>
      <c r="E208" s="387"/>
      <c r="F208" s="387"/>
      <c r="G208" s="387"/>
      <c r="H208" s="387"/>
      <c r="I208" s="387"/>
      <c r="J208" s="387"/>
      <c r="K208" s="387"/>
      <c r="L208" s="387"/>
      <c r="M208" s="387"/>
      <c r="N208" s="387"/>
      <c r="O208" s="387"/>
      <c r="P208" s="379">
        <v>4.079E-2</v>
      </c>
      <c r="Q208" s="358"/>
      <c r="R208" s="358"/>
      <c r="S208" s="361"/>
      <c r="T208" s="348"/>
    </row>
    <row r="209" spans="1:20" s="349" customFormat="1" x14ac:dyDescent="0.3">
      <c r="A209" s="365"/>
      <c r="B209" s="358" t="s">
        <v>158</v>
      </c>
      <c r="C209" s="419"/>
      <c r="D209" s="387"/>
      <c r="E209" s="387"/>
      <c r="F209" s="387"/>
      <c r="G209" s="387"/>
      <c r="H209" s="387"/>
      <c r="I209" s="387"/>
      <c r="J209" s="387"/>
      <c r="K209" s="387"/>
      <c r="L209" s="387"/>
      <c r="M209" s="387"/>
      <c r="N209" s="387"/>
      <c r="O209" s="387"/>
      <c r="P209" s="379">
        <v>1.5340718167454973E-2</v>
      </c>
      <c r="Q209" s="358"/>
      <c r="R209" s="358"/>
      <c r="S209" s="361"/>
      <c r="T209" s="348"/>
    </row>
    <row r="210" spans="1:20" s="349" customFormat="1" x14ac:dyDescent="0.3">
      <c r="A210" s="365"/>
      <c r="B210" s="358" t="s">
        <v>57</v>
      </c>
      <c r="C210" s="419"/>
      <c r="D210" s="387"/>
      <c r="E210" s="387"/>
      <c r="F210" s="387"/>
      <c r="G210" s="387"/>
      <c r="H210" s="387"/>
      <c r="I210" s="387"/>
      <c r="J210" s="387"/>
      <c r="K210" s="387"/>
      <c r="L210" s="387"/>
      <c r="M210" s="387"/>
      <c r="N210" s="387"/>
      <c r="O210" s="387"/>
      <c r="P210" s="379">
        <f>P208-P209</f>
        <v>2.5449281832545027E-2</v>
      </c>
      <c r="Q210" s="358"/>
      <c r="R210" s="358"/>
      <c r="S210" s="361"/>
      <c r="T210" s="348"/>
    </row>
    <row r="211" spans="1:20" s="349" customFormat="1" x14ac:dyDescent="0.3">
      <c r="A211" s="365"/>
      <c r="B211" s="358" t="s">
        <v>161</v>
      </c>
      <c r="C211" s="419"/>
      <c r="D211" s="387"/>
      <c r="E211" s="387"/>
      <c r="F211" s="387"/>
      <c r="G211" s="387"/>
      <c r="H211" s="387"/>
      <c r="I211" s="387"/>
      <c r="J211" s="387"/>
      <c r="K211" s="387"/>
      <c r="L211" s="387"/>
      <c r="M211" s="387"/>
      <c r="N211" s="387"/>
      <c r="O211" s="387"/>
      <c r="P211" s="379">
        <v>4.6307500000000001E-2</v>
      </c>
      <c r="Q211" s="358"/>
      <c r="R211" s="358"/>
      <c r="S211" s="361"/>
      <c r="T211" s="348"/>
    </row>
    <row r="212" spans="1:20" s="349" customFormat="1" x14ac:dyDescent="0.3">
      <c r="A212" s="365"/>
      <c r="B212" s="358" t="s">
        <v>58</v>
      </c>
      <c r="C212" s="419"/>
      <c r="D212" s="387"/>
      <c r="E212" s="387"/>
      <c r="F212" s="387"/>
      <c r="G212" s="387"/>
      <c r="H212" s="387"/>
      <c r="I212" s="387"/>
      <c r="J212" s="387"/>
      <c r="K212" s="387"/>
      <c r="L212" s="387"/>
      <c r="M212" s="387"/>
      <c r="N212" s="387"/>
      <c r="O212" s="387"/>
      <c r="P212" s="379">
        <v>4.8309999999999999E-2</v>
      </c>
      <c r="Q212" s="358"/>
      <c r="R212" s="358"/>
      <c r="S212" s="361"/>
      <c r="T212" s="348"/>
    </row>
    <row r="213" spans="1:20" s="349" customFormat="1" x14ac:dyDescent="0.3">
      <c r="A213" s="365"/>
      <c r="B213" s="358" t="s">
        <v>159</v>
      </c>
      <c r="C213" s="419"/>
      <c r="D213" s="387"/>
      <c r="E213" s="387"/>
      <c r="F213" s="387"/>
      <c r="G213" s="387"/>
      <c r="H213" s="387"/>
      <c r="I213" s="387"/>
      <c r="J213" s="387"/>
      <c r="K213" s="387"/>
      <c r="L213" s="387"/>
      <c r="M213" s="387"/>
      <c r="N213" s="387"/>
      <c r="O213" s="387"/>
      <c r="P213" s="379">
        <f>R40</f>
        <v>1.8157582222624234E-2</v>
      </c>
      <c r="Q213" s="358"/>
      <c r="R213" s="358"/>
      <c r="S213" s="361"/>
      <c r="T213" s="348"/>
    </row>
    <row r="214" spans="1:20" s="349" customFormat="1" x14ac:dyDescent="0.3">
      <c r="A214" s="365"/>
      <c r="B214" s="358" t="s">
        <v>59</v>
      </c>
      <c r="C214" s="419"/>
      <c r="D214" s="387"/>
      <c r="E214" s="387"/>
      <c r="F214" s="387"/>
      <c r="G214" s="387"/>
      <c r="H214" s="387"/>
      <c r="I214" s="387"/>
      <c r="J214" s="387"/>
      <c r="K214" s="387"/>
      <c r="L214" s="387"/>
      <c r="M214" s="387"/>
      <c r="N214" s="387"/>
      <c r="O214" s="387"/>
      <c r="P214" s="379">
        <f>P212-P213</f>
        <v>3.0152417777375765E-2</v>
      </c>
      <c r="Q214" s="358"/>
      <c r="R214" s="358"/>
      <c r="S214" s="361"/>
      <c r="T214" s="348"/>
    </row>
    <row r="215" spans="1:20" s="349" customFormat="1" x14ac:dyDescent="0.3">
      <c r="A215" s="365"/>
      <c r="B215" s="358" t="s">
        <v>139</v>
      </c>
      <c r="C215" s="419"/>
      <c r="D215" s="387"/>
      <c r="E215" s="387"/>
      <c r="F215" s="387"/>
      <c r="G215" s="387"/>
      <c r="H215" s="387"/>
      <c r="I215" s="387"/>
      <c r="J215" s="387"/>
      <c r="K215" s="387"/>
      <c r="L215" s="387"/>
      <c r="M215" s="387"/>
      <c r="N215" s="387"/>
      <c r="O215" s="387"/>
      <c r="P215" s="379">
        <f>(+R100+R102)/H80</f>
        <v>1.3873480835151138E-2</v>
      </c>
      <c r="Q215" s="358"/>
      <c r="R215" s="358"/>
      <c r="S215" s="361"/>
      <c r="T215" s="348"/>
    </row>
    <row r="216" spans="1:20" s="349" customFormat="1" x14ac:dyDescent="0.3">
      <c r="A216" s="365"/>
      <c r="B216" s="358" t="s">
        <v>132</v>
      </c>
      <c r="C216" s="419"/>
      <c r="D216" s="387"/>
      <c r="E216" s="387"/>
      <c r="F216" s="387"/>
      <c r="G216" s="387"/>
      <c r="H216" s="387"/>
      <c r="I216" s="387"/>
      <c r="J216" s="387"/>
      <c r="K216" s="387"/>
      <c r="L216" s="387"/>
      <c r="M216" s="387"/>
      <c r="N216" s="387"/>
      <c r="O216" s="387"/>
      <c r="P216" s="420">
        <v>52124</v>
      </c>
      <c r="Q216" s="358"/>
      <c r="R216" s="358"/>
      <c r="S216" s="361"/>
      <c r="T216" s="348"/>
    </row>
    <row r="217" spans="1:20" s="349" customFormat="1" x14ac:dyDescent="0.3">
      <c r="A217" s="365"/>
      <c r="B217" s="358" t="s">
        <v>187</v>
      </c>
      <c r="C217" s="419"/>
      <c r="D217" s="387"/>
      <c r="E217" s="387"/>
      <c r="F217" s="387"/>
      <c r="G217" s="387"/>
      <c r="H217" s="387"/>
      <c r="I217" s="387"/>
      <c r="J217" s="387"/>
      <c r="K217" s="387"/>
      <c r="L217" s="387"/>
      <c r="M217" s="387"/>
      <c r="N217" s="387"/>
      <c r="O217" s="387"/>
      <c r="P217" s="420">
        <v>15599</v>
      </c>
      <c r="Q217" s="358"/>
      <c r="R217" s="358"/>
      <c r="S217" s="361"/>
      <c r="T217" s="348"/>
    </row>
    <row r="218" spans="1:20" s="349" customFormat="1" x14ac:dyDescent="0.3">
      <c r="A218" s="365"/>
      <c r="B218" s="358" t="s">
        <v>188</v>
      </c>
      <c r="C218" s="419"/>
      <c r="D218" s="387"/>
      <c r="E218" s="387"/>
      <c r="F218" s="387"/>
      <c r="G218" s="387"/>
      <c r="H218" s="387"/>
      <c r="I218" s="387"/>
      <c r="J218" s="387"/>
      <c r="K218" s="387"/>
      <c r="L218" s="387"/>
      <c r="M218" s="387"/>
      <c r="N218" s="387"/>
      <c r="O218" s="387"/>
      <c r="P218" s="420">
        <v>15599</v>
      </c>
      <c r="Q218" s="358"/>
      <c r="R218" s="358"/>
      <c r="S218" s="361"/>
      <c r="T218" s="348"/>
    </row>
    <row r="219" spans="1:20" s="349" customFormat="1" x14ac:dyDescent="0.3">
      <c r="A219" s="365"/>
      <c r="B219" s="358" t="s">
        <v>259</v>
      </c>
      <c r="C219" s="419"/>
      <c r="D219" s="387"/>
      <c r="E219" s="387"/>
      <c r="F219" s="387"/>
      <c r="G219" s="387"/>
      <c r="H219" s="387"/>
      <c r="I219" s="387"/>
      <c r="J219" s="387"/>
      <c r="K219" s="387"/>
      <c r="L219" s="387"/>
      <c r="M219" s="387"/>
      <c r="N219" s="387"/>
      <c r="O219" s="387"/>
      <c r="P219" s="420">
        <v>15599</v>
      </c>
      <c r="Q219" s="358"/>
      <c r="R219" s="358"/>
      <c r="S219" s="361"/>
      <c r="T219" s="348"/>
    </row>
    <row r="220" spans="1:20" s="349" customFormat="1" x14ac:dyDescent="0.3">
      <c r="A220" s="365"/>
      <c r="B220" s="358" t="s">
        <v>60</v>
      </c>
      <c r="C220" s="419"/>
      <c r="D220" s="387"/>
      <c r="E220" s="387"/>
      <c r="F220" s="387"/>
      <c r="G220" s="387"/>
      <c r="H220" s="387"/>
      <c r="I220" s="387"/>
      <c r="J220" s="387"/>
      <c r="K220" s="387"/>
      <c r="L220" s="387"/>
      <c r="M220" s="387"/>
      <c r="N220" s="387"/>
      <c r="O220" s="387"/>
      <c r="P220" s="385">
        <v>20.55</v>
      </c>
      <c r="Q220" s="358" t="s">
        <v>90</v>
      </c>
      <c r="R220" s="358"/>
      <c r="S220" s="361"/>
      <c r="T220" s="348"/>
    </row>
    <row r="221" spans="1:20" s="349" customFormat="1" x14ac:dyDescent="0.3">
      <c r="A221" s="365"/>
      <c r="B221" s="358" t="s">
        <v>61</v>
      </c>
      <c r="C221" s="419"/>
      <c r="D221" s="387"/>
      <c r="E221" s="387"/>
      <c r="F221" s="387"/>
      <c r="G221" s="387"/>
      <c r="H221" s="387"/>
      <c r="I221" s="387"/>
      <c r="J221" s="387"/>
      <c r="K221" s="387"/>
      <c r="L221" s="387"/>
      <c r="M221" s="387"/>
      <c r="N221" s="387"/>
      <c r="O221" s="387"/>
      <c r="P221" s="385">
        <v>17.04</v>
      </c>
      <c r="Q221" s="358" t="s">
        <v>90</v>
      </c>
      <c r="R221" s="358"/>
      <c r="S221" s="361"/>
      <c r="T221" s="348"/>
    </row>
    <row r="222" spans="1:20" s="349" customFormat="1" x14ac:dyDescent="0.3">
      <c r="A222" s="365"/>
      <c r="B222" s="358" t="s">
        <v>62</v>
      </c>
      <c r="C222" s="419"/>
      <c r="D222" s="387"/>
      <c r="E222" s="387"/>
      <c r="F222" s="387"/>
      <c r="G222" s="387"/>
      <c r="H222" s="387"/>
      <c r="I222" s="387"/>
      <c r="J222" s="387"/>
      <c r="K222" s="387"/>
      <c r="L222" s="387"/>
      <c r="M222" s="387"/>
      <c r="N222" s="387"/>
      <c r="O222" s="387"/>
      <c r="P222" s="379">
        <f>(+J64+L64+P64)/H64</f>
        <v>7.192271735743222E-2</v>
      </c>
      <c r="Q222" s="358"/>
      <c r="R222" s="358"/>
      <c r="S222" s="361"/>
      <c r="T222" s="348"/>
    </row>
    <row r="223" spans="1:20" s="349" customFormat="1" x14ac:dyDescent="0.3">
      <c r="A223" s="365"/>
      <c r="B223" s="358" t="s">
        <v>63</v>
      </c>
      <c r="C223" s="419"/>
      <c r="D223" s="387"/>
      <c r="E223" s="387"/>
      <c r="F223" s="387"/>
      <c r="G223" s="387"/>
      <c r="H223" s="387"/>
      <c r="I223" s="387"/>
      <c r="J223" s="387"/>
      <c r="K223" s="387"/>
      <c r="L223" s="387"/>
      <c r="M223" s="387"/>
      <c r="N223" s="387"/>
      <c r="O223" s="387"/>
      <c r="P223" s="379">
        <v>0.3296</v>
      </c>
      <c r="Q223" s="358"/>
      <c r="R223" s="358"/>
      <c r="S223" s="361"/>
      <c r="T223" s="348"/>
    </row>
    <row r="224" spans="1:20" x14ac:dyDescent="0.3">
      <c r="A224" s="312"/>
      <c r="B224" s="316"/>
      <c r="C224" s="316"/>
      <c r="D224" s="277"/>
      <c r="E224" s="277"/>
      <c r="F224" s="277"/>
      <c r="G224" s="277"/>
      <c r="H224" s="277"/>
      <c r="I224" s="277"/>
      <c r="J224" s="277"/>
      <c r="K224" s="277"/>
      <c r="L224" s="277"/>
      <c r="M224" s="277"/>
      <c r="N224" s="277"/>
      <c r="O224" s="277"/>
      <c r="P224" s="297"/>
      <c r="Q224" s="277"/>
      <c r="R224" s="317"/>
      <c r="S224" s="252"/>
      <c r="T224" s="247"/>
    </row>
    <row r="225" spans="1:20" x14ac:dyDescent="0.3">
      <c r="A225" s="463"/>
      <c r="B225" s="452" t="s">
        <v>64</v>
      </c>
      <c r="C225" s="453"/>
      <c r="D225" s="453"/>
      <c r="E225" s="453"/>
      <c r="F225" s="453"/>
      <c r="G225" s="453"/>
      <c r="H225" s="453"/>
      <c r="I225" s="453"/>
      <c r="J225" s="453"/>
      <c r="K225" s="453"/>
      <c r="L225" s="453"/>
      <c r="M225" s="453"/>
      <c r="N225" s="453"/>
      <c r="O225" s="453" t="s">
        <v>83</v>
      </c>
      <c r="P225" s="469" t="s">
        <v>88</v>
      </c>
      <c r="Q225" s="447"/>
      <c r="R225" s="447"/>
      <c r="S225" s="445"/>
      <c r="T225" s="247"/>
    </row>
    <row r="226" spans="1:20" s="349" customFormat="1" x14ac:dyDescent="0.3">
      <c r="A226" s="464"/>
      <c r="B226" s="393" t="s">
        <v>65</v>
      </c>
      <c r="C226" s="408"/>
      <c r="D226" s="465"/>
      <c r="E226" s="465"/>
      <c r="F226" s="465"/>
      <c r="G226" s="465"/>
      <c r="H226" s="465"/>
      <c r="I226" s="465"/>
      <c r="J226" s="465"/>
      <c r="K226" s="465"/>
      <c r="L226" s="465"/>
      <c r="M226" s="465"/>
      <c r="N226" s="465"/>
      <c r="O226" s="465">
        <v>0</v>
      </c>
      <c r="P226" s="466">
        <v>0</v>
      </c>
      <c r="Q226" s="393"/>
      <c r="R226" s="467"/>
      <c r="S226" s="468"/>
      <c r="T226" s="348"/>
    </row>
    <row r="227" spans="1:20" s="349" customFormat="1" x14ac:dyDescent="0.3">
      <c r="A227" s="421"/>
      <c r="B227" s="358" t="s">
        <v>113</v>
      </c>
      <c r="C227" s="403"/>
      <c r="D227" s="366"/>
      <c r="E227" s="366"/>
      <c r="F227" s="366"/>
      <c r="G227" s="366"/>
      <c r="H227" s="366"/>
      <c r="I227" s="366"/>
      <c r="J227" s="366"/>
      <c r="K227" s="366"/>
      <c r="L227" s="366"/>
      <c r="M227" s="366"/>
      <c r="N227" s="366"/>
      <c r="O227" s="422">
        <f>+N279</f>
        <v>0</v>
      </c>
      <c r="P227" s="423">
        <f>+P279</f>
        <v>0</v>
      </c>
      <c r="Q227" s="358"/>
      <c r="R227" s="424"/>
      <c r="S227" s="425"/>
      <c r="T227" s="348"/>
    </row>
    <row r="228" spans="1:20" s="349" customFormat="1" x14ac:dyDescent="0.3">
      <c r="A228" s="421"/>
      <c r="B228" s="358" t="s">
        <v>66</v>
      </c>
      <c r="C228" s="403"/>
      <c r="D228" s="366"/>
      <c r="E228" s="366"/>
      <c r="F228" s="366"/>
      <c r="G228" s="366"/>
      <c r="H228" s="366"/>
      <c r="I228" s="366"/>
      <c r="J228" s="366"/>
      <c r="K228" s="366"/>
      <c r="L228" s="366"/>
      <c r="M228" s="366"/>
      <c r="N228" s="366"/>
      <c r="O228" s="422">
        <f>+N291</f>
        <v>0</v>
      </c>
      <c r="P228" s="423">
        <f>+P291</f>
        <v>0</v>
      </c>
      <c r="Q228" s="358"/>
      <c r="R228" s="424"/>
      <c r="S228" s="425"/>
      <c r="T228" s="348"/>
    </row>
    <row r="229" spans="1:20" x14ac:dyDescent="0.3">
      <c r="A229" s="318"/>
      <c r="B229" s="266" t="s">
        <v>284</v>
      </c>
      <c r="C229" s="321"/>
      <c r="D229" s="291"/>
      <c r="E229" s="291"/>
      <c r="F229" s="291"/>
      <c r="G229" s="291"/>
      <c r="H229" s="291"/>
      <c r="I229" s="291"/>
      <c r="J229" s="291"/>
      <c r="K229" s="291"/>
      <c r="L229" s="291"/>
      <c r="M229" s="291"/>
      <c r="N229" s="291"/>
      <c r="O229" s="263"/>
      <c r="P229" s="423">
        <f>+P64</f>
        <v>1000</v>
      </c>
      <c r="Q229" s="291"/>
      <c r="R229" s="322"/>
      <c r="S229" s="320"/>
      <c r="T229" s="247"/>
    </row>
    <row r="230" spans="1:20" x14ac:dyDescent="0.3">
      <c r="A230" s="318"/>
      <c r="B230" s="266" t="s">
        <v>140</v>
      </c>
      <c r="C230" s="321"/>
      <c r="D230" s="291"/>
      <c r="E230" s="291"/>
      <c r="F230" s="291"/>
      <c r="G230" s="291"/>
      <c r="H230" s="291"/>
      <c r="I230" s="291"/>
      <c r="J230" s="291"/>
      <c r="K230" s="291"/>
      <c r="L230" s="291"/>
      <c r="M230" s="291"/>
      <c r="N230" s="291"/>
      <c r="O230" s="263"/>
      <c r="P230" s="423">
        <f>-J77</f>
        <v>0</v>
      </c>
      <c r="Q230" s="291"/>
      <c r="R230" s="322"/>
      <c r="S230" s="320"/>
      <c r="T230" s="247"/>
    </row>
    <row r="231" spans="1:20" x14ac:dyDescent="0.3">
      <c r="A231" s="323"/>
      <c r="B231" s="266" t="s">
        <v>67</v>
      </c>
      <c r="C231" s="324"/>
      <c r="D231" s="291"/>
      <c r="E231" s="291"/>
      <c r="F231" s="291"/>
      <c r="G231" s="291"/>
      <c r="H231" s="291"/>
      <c r="I231" s="291"/>
      <c r="J231" s="291"/>
      <c r="K231" s="291"/>
      <c r="L231" s="291"/>
      <c r="M231" s="291"/>
      <c r="N231" s="291"/>
      <c r="O231" s="263"/>
      <c r="P231" s="319"/>
      <c r="Q231" s="291"/>
      <c r="R231" s="322"/>
      <c r="S231" s="325"/>
      <c r="T231" s="247"/>
    </row>
    <row r="232" spans="1:20" s="349" customFormat="1" x14ac:dyDescent="0.3">
      <c r="A232" s="426"/>
      <c r="B232" s="358" t="s">
        <v>68</v>
      </c>
      <c r="C232" s="358"/>
      <c r="D232" s="358"/>
      <c r="E232" s="358"/>
      <c r="F232" s="358"/>
      <c r="G232" s="358"/>
      <c r="H232" s="358"/>
      <c r="I232" s="358"/>
      <c r="J232" s="358"/>
      <c r="K232" s="358"/>
      <c r="L232" s="358"/>
      <c r="M232" s="358"/>
      <c r="N232" s="358"/>
      <c r="O232" s="366"/>
      <c r="P232" s="423">
        <f>R162</f>
        <v>0</v>
      </c>
      <c r="Q232" s="358"/>
      <c r="R232" s="424"/>
      <c r="S232" s="427"/>
      <c r="T232" s="348"/>
    </row>
    <row r="233" spans="1:20" s="349" customFormat="1" x14ac:dyDescent="0.3">
      <c r="A233" s="421"/>
      <c r="B233" s="358" t="s">
        <v>69</v>
      </c>
      <c r="C233" s="403"/>
      <c r="D233" s="358"/>
      <c r="E233" s="358"/>
      <c r="F233" s="358"/>
      <c r="G233" s="358"/>
      <c r="H233" s="358"/>
      <c r="I233" s="358"/>
      <c r="J233" s="358"/>
      <c r="K233" s="358"/>
      <c r="L233" s="358"/>
      <c r="M233" s="358"/>
      <c r="N233" s="358"/>
      <c r="O233" s="366"/>
      <c r="P233" s="423">
        <f>'May 18'!P233+P232</f>
        <v>0</v>
      </c>
      <c r="Q233" s="358"/>
      <c r="R233" s="424"/>
      <c r="S233" s="427"/>
      <c r="T233" s="348"/>
    </row>
    <row r="234" spans="1:20" x14ac:dyDescent="0.3">
      <c r="A234" s="323"/>
      <c r="B234" s="266" t="s">
        <v>151</v>
      </c>
      <c r="C234" s="324"/>
      <c r="D234" s="291"/>
      <c r="E234" s="291"/>
      <c r="F234" s="291"/>
      <c r="G234" s="291"/>
      <c r="H234" s="291"/>
      <c r="I234" s="291"/>
      <c r="J234" s="291"/>
      <c r="K234" s="291"/>
      <c r="L234" s="291"/>
      <c r="M234" s="291"/>
      <c r="N234" s="291"/>
      <c r="O234" s="264"/>
      <c r="P234" s="319"/>
      <c r="Q234" s="291"/>
      <c r="R234" s="322"/>
      <c r="S234" s="325"/>
      <c r="T234" s="247"/>
    </row>
    <row r="235" spans="1:20" s="349" customFormat="1" x14ac:dyDescent="0.3">
      <c r="A235" s="426"/>
      <c r="B235" s="358" t="s">
        <v>160</v>
      </c>
      <c r="C235" s="358"/>
      <c r="D235" s="358"/>
      <c r="E235" s="358"/>
      <c r="F235" s="358"/>
      <c r="G235" s="358"/>
      <c r="H235" s="358"/>
      <c r="I235" s="358"/>
      <c r="J235" s="358"/>
      <c r="K235" s="358"/>
      <c r="L235" s="358"/>
      <c r="M235" s="358"/>
      <c r="N235" s="358"/>
      <c r="O235" s="366">
        <v>0</v>
      </c>
      <c r="P235" s="423">
        <v>0</v>
      </c>
      <c r="Q235" s="358"/>
      <c r="R235" s="424"/>
      <c r="S235" s="427"/>
      <c r="T235" s="348"/>
    </row>
    <row r="236" spans="1:20" s="349" customFormat="1" x14ac:dyDescent="0.3">
      <c r="A236" s="421"/>
      <c r="B236" s="358" t="s">
        <v>70</v>
      </c>
      <c r="C236" s="383"/>
      <c r="D236" s="358"/>
      <c r="E236" s="358"/>
      <c r="F236" s="358"/>
      <c r="G236" s="358"/>
      <c r="H236" s="358"/>
      <c r="I236" s="358"/>
      <c r="J236" s="358"/>
      <c r="K236" s="358"/>
      <c r="L236" s="358"/>
      <c r="M236" s="358"/>
      <c r="N236" s="358"/>
      <c r="O236" s="358"/>
      <c r="P236" s="428">
        <v>0</v>
      </c>
      <c r="Q236" s="358"/>
      <c r="R236" s="424"/>
      <c r="S236" s="427"/>
      <c r="T236" s="348"/>
    </row>
    <row r="237" spans="1:20" s="349" customFormat="1" x14ac:dyDescent="0.3">
      <c r="A237" s="421"/>
      <c r="B237" s="358" t="s">
        <v>71</v>
      </c>
      <c r="C237" s="383"/>
      <c r="D237" s="358"/>
      <c r="E237" s="358"/>
      <c r="F237" s="358"/>
      <c r="G237" s="358"/>
      <c r="H237" s="358"/>
      <c r="I237" s="358"/>
      <c r="J237" s="358"/>
      <c r="K237" s="358"/>
      <c r="L237" s="358"/>
      <c r="M237" s="358"/>
      <c r="N237" s="358"/>
      <c r="O237" s="358"/>
      <c r="P237" s="428">
        <v>0</v>
      </c>
      <c r="Q237" s="358"/>
      <c r="R237" s="424"/>
      <c r="S237" s="427"/>
      <c r="T237" s="348"/>
    </row>
    <row r="238" spans="1:20" x14ac:dyDescent="0.3">
      <c r="A238" s="318"/>
      <c r="B238" s="266" t="s">
        <v>136</v>
      </c>
      <c r="C238" s="326"/>
      <c r="D238" s="291"/>
      <c r="E238" s="291"/>
      <c r="F238" s="291"/>
      <c r="G238" s="291"/>
      <c r="H238" s="291"/>
      <c r="I238" s="291"/>
      <c r="J238" s="291"/>
      <c r="K238" s="291"/>
      <c r="L238" s="291"/>
      <c r="M238" s="291"/>
      <c r="N238" s="291"/>
      <c r="O238" s="263"/>
      <c r="P238" s="327"/>
      <c r="Q238" s="291"/>
      <c r="R238" s="322"/>
      <c r="S238" s="325"/>
      <c r="T238" s="247"/>
    </row>
    <row r="239" spans="1:20" s="349" customFormat="1" x14ac:dyDescent="0.3">
      <c r="A239" s="421"/>
      <c r="B239" s="358" t="s">
        <v>160</v>
      </c>
      <c r="C239" s="383"/>
      <c r="D239" s="358"/>
      <c r="E239" s="358"/>
      <c r="F239" s="358"/>
      <c r="G239" s="358"/>
      <c r="H239" s="358"/>
      <c r="I239" s="358"/>
      <c r="J239" s="358"/>
      <c r="K239" s="358"/>
      <c r="L239" s="358"/>
      <c r="M239" s="358"/>
      <c r="N239" s="358"/>
      <c r="O239" s="366">
        <v>0</v>
      </c>
      <c r="P239" s="423">
        <v>0</v>
      </c>
      <c r="Q239" s="358"/>
      <c r="R239" s="424"/>
      <c r="S239" s="427"/>
      <c r="T239" s="348"/>
    </row>
    <row r="240" spans="1:20" s="349" customFormat="1" x14ac:dyDescent="0.3">
      <c r="A240" s="421"/>
      <c r="B240" s="358" t="s">
        <v>137</v>
      </c>
      <c r="C240" s="383"/>
      <c r="D240" s="358"/>
      <c r="E240" s="358"/>
      <c r="F240" s="358"/>
      <c r="G240" s="358"/>
      <c r="H240" s="358"/>
      <c r="I240" s="358"/>
      <c r="J240" s="358"/>
      <c r="K240" s="358"/>
      <c r="L240" s="358"/>
      <c r="M240" s="358"/>
      <c r="N240" s="358"/>
      <c r="O240" s="358"/>
      <c r="P240" s="428">
        <v>0</v>
      </c>
      <c r="Q240" s="358"/>
      <c r="R240" s="424"/>
      <c r="S240" s="427"/>
      <c r="T240" s="348"/>
    </row>
    <row r="241" spans="1:20" x14ac:dyDescent="0.3">
      <c r="A241" s="318"/>
      <c r="B241" s="324"/>
      <c r="C241" s="326"/>
      <c r="D241" s="291"/>
      <c r="E241" s="291"/>
      <c r="F241" s="291"/>
      <c r="G241" s="291"/>
      <c r="H241" s="291"/>
      <c r="I241" s="291"/>
      <c r="J241" s="291"/>
      <c r="K241" s="291"/>
      <c r="L241" s="291"/>
      <c r="M241" s="291"/>
      <c r="N241" s="291"/>
      <c r="O241" s="263"/>
      <c r="P241" s="327"/>
      <c r="Q241" s="291"/>
      <c r="R241" s="322"/>
      <c r="S241" s="325"/>
      <c r="T241" s="247"/>
    </row>
    <row r="242" spans="1:20" x14ac:dyDescent="0.3">
      <c r="A242" s="318"/>
      <c r="B242" s="324"/>
      <c r="C242" s="326"/>
      <c r="D242" s="291"/>
      <c r="E242" s="291"/>
      <c r="F242" s="291"/>
      <c r="G242" s="291"/>
      <c r="H242" s="291"/>
      <c r="I242" s="291"/>
      <c r="J242" s="291"/>
      <c r="K242" s="291"/>
      <c r="L242" s="291"/>
      <c r="M242" s="291"/>
      <c r="N242" s="291"/>
      <c r="O242" s="291"/>
      <c r="P242" s="328"/>
      <c r="Q242" s="291"/>
      <c r="R242" s="322"/>
      <c r="S242" s="325"/>
      <c r="T242" s="247"/>
    </row>
    <row r="243" spans="1:20" ht="18" x14ac:dyDescent="0.35">
      <c r="A243" s="318"/>
      <c r="B243" s="329" t="s">
        <v>129</v>
      </c>
      <c r="C243" s="326"/>
      <c r="D243" s="291"/>
      <c r="E243" s="291"/>
      <c r="F243" s="291"/>
      <c r="G243" s="291"/>
      <c r="H243" s="291"/>
      <c r="I243" s="291"/>
      <c r="J243" s="291"/>
      <c r="K243" s="291"/>
      <c r="L243" s="330"/>
      <c r="M243" s="291"/>
      <c r="N243" s="342" t="s">
        <v>291</v>
      </c>
      <c r="O243" s="330"/>
      <c r="P243" s="328"/>
      <c r="Q243" s="291"/>
      <c r="R243" s="322"/>
      <c r="S243" s="325"/>
      <c r="T243" s="247"/>
    </row>
    <row r="244" spans="1:20" ht="18" x14ac:dyDescent="0.35">
      <c r="A244" s="331"/>
      <c r="B244" s="332"/>
      <c r="C244" s="333"/>
      <c r="D244" s="277"/>
      <c r="E244" s="277"/>
      <c r="F244" s="277"/>
      <c r="G244" s="277"/>
      <c r="H244" s="277"/>
      <c r="I244" s="277"/>
      <c r="J244" s="277"/>
      <c r="K244" s="277"/>
      <c r="L244" s="334"/>
      <c r="M244" s="277"/>
      <c r="N244" s="277"/>
      <c r="O244" s="277"/>
      <c r="P244" s="335"/>
      <c r="Q244" s="277"/>
      <c r="R244" s="317"/>
      <c r="S244" s="336"/>
      <c r="T244" s="247"/>
    </row>
    <row r="245" spans="1:20" x14ac:dyDescent="0.3">
      <c r="A245" s="443"/>
      <c r="B245" s="452" t="s">
        <v>152</v>
      </c>
      <c r="C245" s="453"/>
      <c r="D245" s="453"/>
      <c r="E245" s="453"/>
      <c r="F245" s="453"/>
      <c r="G245" s="453"/>
      <c r="H245" s="453"/>
      <c r="I245" s="453"/>
      <c r="J245" s="453"/>
      <c r="K245" s="453"/>
      <c r="L245" s="453"/>
      <c r="M245" s="453"/>
      <c r="N245" s="469" t="s">
        <v>83</v>
      </c>
      <c r="O245" s="453" t="s">
        <v>84</v>
      </c>
      <c r="P245" s="469" t="s">
        <v>89</v>
      </c>
      <c r="Q245" s="453" t="s">
        <v>84</v>
      </c>
      <c r="R245" s="447"/>
      <c r="S245" s="470"/>
      <c r="T245" s="247"/>
    </row>
    <row r="246" spans="1:20" s="349" customFormat="1" x14ac:dyDescent="0.3">
      <c r="A246" s="344"/>
      <c r="B246" s="408" t="s">
        <v>72</v>
      </c>
      <c r="C246" s="471"/>
      <c r="D246" s="471"/>
      <c r="E246" s="471"/>
      <c r="F246" s="471"/>
      <c r="G246" s="471"/>
      <c r="H246" s="471"/>
      <c r="I246" s="471"/>
      <c r="J246" s="471"/>
      <c r="K246" s="471"/>
      <c r="L246" s="471"/>
      <c r="M246" s="471"/>
      <c r="N246" s="408">
        <f>+N258+N270+N282</f>
        <v>464</v>
      </c>
      <c r="O246" s="472">
        <f>N246/$N$255</f>
        <v>0.99570815450643779</v>
      </c>
      <c r="P246" s="411">
        <f t="shared" ref="P246:P253" si="5">+P258+P270+P282</f>
        <v>73976</v>
      </c>
      <c r="Q246" s="472">
        <f t="shared" ref="Q246:Q253" si="6">P246/$P$255</f>
        <v>0.99323308270676691</v>
      </c>
      <c r="R246" s="467"/>
      <c r="S246" s="473"/>
      <c r="T246" s="348"/>
    </row>
    <row r="247" spans="1:20" s="349" customFormat="1" x14ac:dyDescent="0.3">
      <c r="A247" s="365"/>
      <c r="B247" s="403" t="s">
        <v>73</v>
      </c>
      <c r="C247" s="429"/>
      <c r="D247" s="429"/>
      <c r="E247" s="429"/>
      <c r="F247" s="429"/>
      <c r="G247" s="429"/>
      <c r="H247" s="429"/>
      <c r="I247" s="429"/>
      <c r="J247" s="429"/>
      <c r="K247" s="429"/>
      <c r="L247" s="429"/>
      <c r="M247" s="429"/>
      <c r="N247" s="403">
        <f t="shared" ref="N247:N253" si="7">+N259+N271+N283</f>
        <v>1</v>
      </c>
      <c r="O247" s="430">
        <f t="shared" ref="O247:O253" si="8">N247/$N$255</f>
        <v>2.1459227467811159E-3</v>
      </c>
      <c r="P247" s="404">
        <f t="shared" si="5"/>
        <v>120</v>
      </c>
      <c r="Q247" s="430">
        <f t="shared" si="6"/>
        <v>1.611170784103115E-3</v>
      </c>
      <c r="R247" s="424"/>
      <c r="S247" s="427"/>
      <c r="T247" s="348"/>
    </row>
    <row r="248" spans="1:20" s="349" customFormat="1" x14ac:dyDescent="0.3">
      <c r="A248" s="365"/>
      <c r="B248" s="403" t="s">
        <v>74</v>
      </c>
      <c r="C248" s="429"/>
      <c r="D248" s="429"/>
      <c r="E248" s="429"/>
      <c r="F248" s="429"/>
      <c r="G248" s="429"/>
      <c r="H248" s="429"/>
      <c r="I248" s="429"/>
      <c r="J248" s="429"/>
      <c r="K248" s="429"/>
      <c r="L248" s="429"/>
      <c r="M248" s="429"/>
      <c r="N248" s="403">
        <f t="shared" si="7"/>
        <v>0</v>
      </c>
      <c r="O248" s="430">
        <f t="shared" si="8"/>
        <v>0</v>
      </c>
      <c r="P248" s="404">
        <f t="shared" si="5"/>
        <v>0</v>
      </c>
      <c r="Q248" s="430">
        <f t="shared" si="6"/>
        <v>0</v>
      </c>
      <c r="R248" s="424"/>
      <c r="S248" s="427"/>
      <c r="T248" s="348"/>
    </row>
    <row r="249" spans="1:20" s="349" customFormat="1" x14ac:dyDescent="0.3">
      <c r="A249" s="365"/>
      <c r="B249" s="403" t="s">
        <v>119</v>
      </c>
      <c r="C249" s="429"/>
      <c r="D249" s="429"/>
      <c r="E249" s="429"/>
      <c r="F249" s="429"/>
      <c r="G249" s="429"/>
      <c r="H249" s="429"/>
      <c r="I249" s="429"/>
      <c r="J249" s="429"/>
      <c r="K249" s="429"/>
      <c r="L249" s="429"/>
      <c r="M249" s="429"/>
      <c r="N249" s="403">
        <f t="shared" si="7"/>
        <v>0</v>
      </c>
      <c r="O249" s="430">
        <f t="shared" si="8"/>
        <v>0</v>
      </c>
      <c r="P249" s="404">
        <f t="shared" si="5"/>
        <v>0</v>
      </c>
      <c r="Q249" s="430">
        <f t="shared" si="6"/>
        <v>0</v>
      </c>
      <c r="R249" s="424"/>
      <c r="S249" s="427"/>
      <c r="T249" s="348"/>
    </row>
    <row r="250" spans="1:20" s="349" customFormat="1" x14ac:dyDescent="0.3">
      <c r="A250" s="365"/>
      <c r="B250" s="403" t="s">
        <v>120</v>
      </c>
      <c r="C250" s="429"/>
      <c r="D250" s="429"/>
      <c r="E250" s="429"/>
      <c r="F250" s="429"/>
      <c r="G250" s="429"/>
      <c r="H250" s="429"/>
      <c r="I250" s="429"/>
      <c r="J250" s="429"/>
      <c r="K250" s="429"/>
      <c r="L250" s="429"/>
      <c r="M250" s="429"/>
      <c r="N250" s="403">
        <f t="shared" si="7"/>
        <v>0</v>
      </c>
      <c r="O250" s="430">
        <f t="shared" si="8"/>
        <v>0</v>
      </c>
      <c r="P250" s="404">
        <f t="shared" si="5"/>
        <v>0</v>
      </c>
      <c r="Q250" s="430">
        <f t="shared" si="6"/>
        <v>0</v>
      </c>
      <c r="R250" s="424"/>
      <c r="S250" s="427"/>
      <c r="T250" s="348"/>
    </row>
    <row r="251" spans="1:20" s="349" customFormat="1" x14ac:dyDescent="0.3">
      <c r="A251" s="365"/>
      <c r="B251" s="403" t="s">
        <v>121</v>
      </c>
      <c r="C251" s="429"/>
      <c r="D251" s="429"/>
      <c r="E251" s="429"/>
      <c r="F251" s="429"/>
      <c r="G251" s="429"/>
      <c r="H251" s="429"/>
      <c r="I251" s="429"/>
      <c r="J251" s="429"/>
      <c r="K251" s="429"/>
      <c r="L251" s="429"/>
      <c r="M251" s="429"/>
      <c r="N251" s="403">
        <f t="shared" si="7"/>
        <v>0</v>
      </c>
      <c r="O251" s="430">
        <f t="shared" si="8"/>
        <v>0</v>
      </c>
      <c r="P251" s="404">
        <f t="shared" si="5"/>
        <v>0</v>
      </c>
      <c r="Q251" s="430">
        <f t="shared" si="6"/>
        <v>0</v>
      </c>
      <c r="R251" s="424"/>
      <c r="S251" s="427"/>
      <c r="T251" s="348"/>
    </row>
    <row r="252" spans="1:20" s="349" customFormat="1" x14ac:dyDescent="0.3">
      <c r="A252" s="365"/>
      <c r="B252" s="403" t="s">
        <v>122</v>
      </c>
      <c r="C252" s="429"/>
      <c r="D252" s="429"/>
      <c r="E252" s="429"/>
      <c r="F252" s="429"/>
      <c r="G252" s="429"/>
      <c r="H252" s="429"/>
      <c r="I252" s="429"/>
      <c r="J252" s="429"/>
      <c r="K252" s="429"/>
      <c r="L252" s="429"/>
      <c r="M252" s="429"/>
      <c r="N252" s="403">
        <f t="shared" si="7"/>
        <v>1</v>
      </c>
      <c r="O252" s="430">
        <f t="shared" si="8"/>
        <v>2.1459227467811159E-3</v>
      </c>
      <c r="P252" s="404">
        <f t="shared" si="5"/>
        <v>384</v>
      </c>
      <c r="Q252" s="430">
        <f t="shared" si="6"/>
        <v>5.1557465091299675E-3</v>
      </c>
      <c r="R252" s="424"/>
      <c r="S252" s="427"/>
      <c r="T252" s="348"/>
    </row>
    <row r="253" spans="1:20" s="349" customFormat="1" x14ac:dyDescent="0.3">
      <c r="A253" s="365"/>
      <c r="B253" s="403" t="s">
        <v>123</v>
      </c>
      <c r="C253" s="429"/>
      <c r="D253" s="429"/>
      <c r="E253" s="429"/>
      <c r="F253" s="429"/>
      <c r="G253" s="429"/>
      <c r="H253" s="429"/>
      <c r="I253" s="429"/>
      <c r="J253" s="429"/>
      <c r="K253" s="429"/>
      <c r="L253" s="429"/>
      <c r="M253" s="429"/>
      <c r="N253" s="403">
        <f t="shared" si="7"/>
        <v>0</v>
      </c>
      <c r="O253" s="430">
        <f t="shared" si="8"/>
        <v>0</v>
      </c>
      <c r="P253" s="404">
        <f t="shared" si="5"/>
        <v>0</v>
      </c>
      <c r="Q253" s="430">
        <f t="shared" si="6"/>
        <v>0</v>
      </c>
      <c r="R253" s="424"/>
      <c r="S253" s="427"/>
      <c r="T253" s="348"/>
    </row>
    <row r="254" spans="1:20" s="349" customFormat="1" x14ac:dyDescent="0.3">
      <c r="A254" s="365"/>
      <c r="B254" s="403"/>
      <c r="C254" s="429"/>
      <c r="D254" s="429"/>
      <c r="E254" s="429"/>
      <c r="F254" s="429"/>
      <c r="G254" s="429"/>
      <c r="H254" s="429"/>
      <c r="I254" s="429"/>
      <c r="J254" s="429"/>
      <c r="K254" s="429"/>
      <c r="L254" s="429"/>
      <c r="M254" s="429"/>
      <c r="N254" s="403"/>
      <c r="O254" s="430"/>
      <c r="P254" s="404"/>
      <c r="Q254" s="430"/>
      <c r="R254" s="424"/>
      <c r="S254" s="427"/>
      <c r="T254" s="348"/>
    </row>
    <row r="255" spans="1:20" s="349" customFormat="1" x14ac:dyDescent="0.3">
      <c r="A255" s="365"/>
      <c r="B255" s="358" t="s">
        <v>94</v>
      </c>
      <c r="C255" s="358"/>
      <c r="D255" s="431"/>
      <c r="E255" s="431"/>
      <c r="F255" s="431"/>
      <c r="G255" s="431"/>
      <c r="H255" s="431"/>
      <c r="I255" s="431"/>
      <c r="J255" s="431"/>
      <c r="K255" s="431"/>
      <c r="L255" s="431"/>
      <c r="M255" s="431"/>
      <c r="N255" s="403">
        <f>SUM(N246:N254)</f>
        <v>466</v>
      </c>
      <c r="O255" s="430">
        <f>SUM(O246:O254)</f>
        <v>1</v>
      </c>
      <c r="P255" s="404">
        <f>SUM(P246:P254)</f>
        <v>74480</v>
      </c>
      <c r="Q255" s="430">
        <f>SUM(Q246:Q254)</f>
        <v>1</v>
      </c>
      <c r="R255" s="358"/>
      <c r="S255" s="361"/>
      <c r="T255" s="348"/>
    </row>
    <row r="256" spans="1:20" x14ac:dyDescent="0.3">
      <c r="A256" s="249"/>
      <c r="B256" s="316"/>
      <c r="C256" s="333"/>
      <c r="D256" s="277"/>
      <c r="E256" s="277"/>
      <c r="F256" s="277"/>
      <c r="G256" s="277"/>
      <c r="H256" s="277"/>
      <c r="I256" s="277"/>
      <c r="J256" s="277"/>
      <c r="K256" s="277"/>
      <c r="L256" s="277"/>
      <c r="M256" s="277"/>
      <c r="N256" s="277"/>
      <c r="O256" s="277"/>
      <c r="P256" s="335"/>
      <c r="Q256" s="277"/>
      <c r="R256" s="277"/>
      <c r="S256" s="252"/>
      <c r="T256" s="247"/>
    </row>
    <row r="257" spans="1:21" x14ac:dyDescent="0.3">
      <c r="A257" s="443"/>
      <c r="B257" s="452" t="s">
        <v>124</v>
      </c>
      <c r="C257" s="453"/>
      <c r="D257" s="453"/>
      <c r="E257" s="453"/>
      <c r="F257" s="453"/>
      <c r="G257" s="453"/>
      <c r="H257" s="453"/>
      <c r="I257" s="453"/>
      <c r="J257" s="453"/>
      <c r="K257" s="453"/>
      <c r="L257" s="453"/>
      <c r="M257" s="453"/>
      <c r="N257" s="469" t="s">
        <v>83</v>
      </c>
      <c r="O257" s="453" t="s">
        <v>84</v>
      </c>
      <c r="P257" s="469" t="s">
        <v>89</v>
      </c>
      <c r="Q257" s="453" t="s">
        <v>84</v>
      </c>
      <c r="R257" s="447"/>
      <c r="S257" s="470"/>
      <c r="T257" s="247"/>
    </row>
    <row r="258" spans="1:21" s="349" customFormat="1" x14ac:dyDescent="0.3">
      <c r="A258" s="344"/>
      <c r="B258" s="408" t="s">
        <v>72</v>
      </c>
      <c r="C258" s="471"/>
      <c r="D258" s="471"/>
      <c r="E258" s="471"/>
      <c r="F258" s="471"/>
      <c r="G258" s="471"/>
      <c r="H258" s="471"/>
      <c r="I258" s="471"/>
      <c r="J258" s="471"/>
      <c r="K258" s="471"/>
      <c r="L258" s="471"/>
      <c r="M258" s="471"/>
      <c r="N258" s="408">
        <v>464</v>
      </c>
      <c r="O258" s="472">
        <f>N258/$N$267</f>
        <v>0.99570815450643779</v>
      </c>
      <c r="P258" s="411">
        <v>73976</v>
      </c>
      <c r="Q258" s="472">
        <f>P258/$P$267</f>
        <v>0.99323308270676691</v>
      </c>
      <c r="R258" s="467"/>
      <c r="S258" s="473"/>
      <c r="T258" s="348"/>
    </row>
    <row r="259" spans="1:21" s="349" customFormat="1" x14ac:dyDescent="0.3">
      <c r="A259" s="365"/>
      <c r="B259" s="403" t="s">
        <v>73</v>
      </c>
      <c r="C259" s="429"/>
      <c r="D259" s="429"/>
      <c r="E259" s="429"/>
      <c r="F259" s="429"/>
      <c r="G259" s="429"/>
      <c r="H259" s="429"/>
      <c r="I259" s="429"/>
      <c r="J259" s="429"/>
      <c r="K259" s="429"/>
      <c r="L259" s="429"/>
      <c r="M259" s="429"/>
      <c r="N259" s="403">
        <v>1</v>
      </c>
      <c r="O259" s="430">
        <f t="shared" ref="O259:O265" si="9">N259/$N$267</f>
        <v>2.1459227467811159E-3</v>
      </c>
      <c r="P259" s="404">
        <v>120</v>
      </c>
      <c r="Q259" s="430">
        <f t="shared" ref="Q259:Q265" si="10">P259/$P$267</f>
        <v>1.611170784103115E-3</v>
      </c>
      <c r="R259" s="424"/>
      <c r="S259" s="427"/>
      <c r="T259" s="348"/>
      <c r="U259" s="407"/>
    </row>
    <row r="260" spans="1:21" s="349" customFormat="1" x14ac:dyDescent="0.3">
      <c r="A260" s="365"/>
      <c r="B260" s="403" t="s">
        <v>74</v>
      </c>
      <c r="C260" s="429"/>
      <c r="D260" s="429"/>
      <c r="E260" s="429"/>
      <c r="F260" s="429"/>
      <c r="G260" s="429"/>
      <c r="H260" s="429"/>
      <c r="I260" s="429"/>
      <c r="J260" s="429"/>
      <c r="K260" s="429"/>
      <c r="L260" s="429"/>
      <c r="M260" s="429"/>
      <c r="N260" s="403">
        <v>0</v>
      </c>
      <c r="O260" s="430">
        <f t="shared" si="9"/>
        <v>0</v>
      </c>
      <c r="P260" s="404">
        <v>0</v>
      </c>
      <c r="Q260" s="430">
        <f t="shared" si="10"/>
        <v>0</v>
      </c>
      <c r="R260" s="424"/>
      <c r="S260" s="427"/>
      <c r="T260" s="348"/>
    </row>
    <row r="261" spans="1:21" s="349" customFormat="1" x14ac:dyDescent="0.3">
      <c r="A261" s="365"/>
      <c r="B261" s="403" t="s">
        <v>119</v>
      </c>
      <c r="C261" s="429"/>
      <c r="D261" s="429"/>
      <c r="E261" s="429"/>
      <c r="F261" s="429"/>
      <c r="G261" s="429"/>
      <c r="H261" s="429"/>
      <c r="I261" s="429"/>
      <c r="J261" s="429"/>
      <c r="K261" s="429"/>
      <c r="L261" s="429"/>
      <c r="M261" s="429"/>
      <c r="N261" s="403">
        <v>0</v>
      </c>
      <c r="O261" s="430">
        <f t="shared" si="9"/>
        <v>0</v>
      </c>
      <c r="P261" s="404">
        <v>0</v>
      </c>
      <c r="Q261" s="430">
        <f t="shared" si="10"/>
        <v>0</v>
      </c>
      <c r="R261" s="424"/>
      <c r="S261" s="427"/>
      <c r="T261" s="348"/>
      <c r="U261" s="407"/>
    </row>
    <row r="262" spans="1:21" s="349" customFormat="1" x14ac:dyDescent="0.3">
      <c r="A262" s="365"/>
      <c r="B262" s="403" t="s">
        <v>120</v>
      </c>
      <c r="C262" s="429"/>
      <c r="D262" s="429"/>
      <c r="E262" s="429"/>
      <c r="F262" s="429"/>
      <c r="G262" s="429"/>
      <c r="H262" s="429"/>
      <c r="I262" s="429"/>
      <c r="J262" s="429"/>
      <c r="K262" s="429"/>
      <c r="L262" s="429"/>
      <c r="M262" s="429"/>
      <c r="N262" s="403">
        <v>0</v>
      </c>
      <c r="O262" s="430">
        <f t="shared" si="9"/>
        <v>0</v>
      </c>
      <c r="P262" s="404">
        <v>0</v>
      </c>
      <c r="Q262" s="430">
        <f t="shared" si="10"/>
        <v>0</v>
      </c>
      <c r="R262" s="424"/>
      <c r="S262" s="427"/>
      <c r="T262" s="348"/>
    </row>
    <row r="263" spans="1:21" s="349" customFormat="1" x14ac:dyDescent="0.3">
      <c r="A263" s="365"/>
      <c r="B263" s="403" t="s">
        <v>121</v>
      </c>
      <c r="C263" s="429"/>
      <c r="D263" s="429"/>
      <c r="E263" s="429"/>
      <c r="F263" s="429"/>
      <c r="G263" s="429"/>
      <c r="H263" s="429"/>
      <c r="I263" s="429"/>
      <c r="J263" s="429"/>
      <c r="K263" s="429"/>
      <c r="L263" s="429"/>
      <c r="M263" s="429"/>
      <c r="N263" s="403">
        <v>0</v>
      </c>
      <c r="O263" s="430">
        <f t="shared" si="9"/>
        <v>0</v>
      </c>
      <c r="P263" s="404">
        <v>0</v>
      </c>
      <c r="Q263" s="430">
        <f t="shared" si="10"/>
        <v>0</v>
      </c>
      <c r="R263" s="424"/>
      <c r="S263" s="427"/>
      <c r="T263" s="348"/>
      <c r="U263" s="407"/>
    </row>
    <row r="264" spans="1:21" s="349" customFormat="1" x14ac:dyDescent="0.3">
      <c r="A264" s="365"/>
      <c r="B264" s="403" t="s">
        <v>122</v>
      </c>
      <c r="C264" s="429"/>
      <c r="D264" s="429"/>
      <c r="E264" s="429"/>
      <c r="F264" s="429"/>
      <c r="G264" s="429"/>
      <c r="H264" s="429"/>
      <c r="I264" s="429"/>
      <c r="J264" s="429"/>
      <c r="K264" s="429"/>
      <c r="L264" s="429"/>
      <c r="M264" s="429"/>
      <c r="N264" s="403">
        <v>1</v>
      </c>
      <c r="O264" s="430">
        <f t="shared" si="9"/>
        <v>2.1459227467811159E-3</v>
      </c>
      <c r="P264" s="404">
        <v>384</v>
      </c>
      <c r="Q264" s="430">
        <f t="shared" si="10"/>
        <v>5.1557465091299675E-3</v>
      </c>
      <c r="R264" s="424"/>
      <c r="S264" s="427"/>
      <c r="T264" s="348"/>
    </row>
    <row r="265" spans="1:21" s="349" customFormat="1" x14ac:dyDescent="0.3">
      <c r="A265" s="365"/>
      <c r="B265" s="403" t="s">
        <v>123</v>
      </c>
      <c r="C265" s="429"/>
      <c r="D265" s="429"/>
      <c r="E265" s="429"/>
      <c r="F265" s="429"/>
      <c r="G265" s="429"/>
      <c r="H265" s="429"/>
      <c r="I265" s="429"/>
      <c r="J265" s="429"/>
      <c r="K265" s="429"/>
      <c r="L265" s="429"/>
      <c r="M265" s="429"/>
      <c r="N265" s="403">
        <v>0</v>
      </c>
      <c r="O265" s="430">
        <f t="shared" si="9"/>
        <v>0</v>
      </c>
      <c r="P265" s="404">
        <v>0</v>
      </c>
      <c r="Q265" s="430">
        <f t="shared" si="10"/>
        <v>0</v>
      </c>
      <c r="R265" s="424"/>
      <c r="S265" s="427"/>
      <c r="T265" s="348"/>
      <c r="U265" s="407"/>
    </row>
    <row r="266" spans="1:21" s="349" customFormat="1" x14ac:dyDescent="0.3">
      <c r="A266" s="365"/>
      <c r="B266" s="403"/>
      <c r="C266" s="429"/>
      <c r="D266" s="429"/>
      <c r="E266" s="429"/>
      <c r="F266" s="429"/>
      <c r="G266" s="429"/>
      <c r="H266" s="429"/>
      <c r="I266" s="429"/>
      <c r="J266" s="429"/>
      <c r="K266" s="429"/>
      <c r="L266" s="429"/>
      <c r="M266" s="429"/>
      <c r="N266" s="403"/>
      <c r="O266" s="430"/>
      <c r="P266" s="404"/>
      <c r="Q266" s="430"/>
      <c r="R266" s="424"/>
      <c r="S266" s="427"/>
      <c r="T266" s="348"/>
    </row>
    <row r="267" spans="1:21" s="349" customFormat="1" x14ac:dyDescent="0.3">
      <c r="A267" s="365"/>
      <c r="B267" s="358" t="s">
        <v>94</v>
      </c>
      <c r="C267" s="358"/>
      <c r="D267" s="431"/>
      <c r="E267" s="431"/>
      <c r="F267" s="431"/>
      <c r="G267" s="431"/>
      <c r="H267" s="431"/>
      <c r="I267" s="431"/>
      <c r="J267" s="431"/>
      <c r="K267" s="431"/>
      <c r="L267" s="431"/>
      <c r="M267" s="431"/>
      <c r="N267" s="403">
        <f>SUM(N258:N266)</f>
        <v>466</v>
      </c>
      <c r="O267" s="430">
        <f>SUM(O258:O266)</f>
        <v>1</v>
      </c>
      <c r="P267" s="404">
        <f>SUM(P258:P266)</f>
        <v>74480</v>
      </c>
      <c r="Q267" s="430">
        <f>SUM(Q258:Q266)</f>
        <v>1</v>
      </c>
      <c r="R267" s="358"/>
      <c r="S267" s="361"/>
      <c r="T267" s="348"/>
    </row>
    <row r="268" spans="1:21" x14ac:dyDescent="0.3">
      <c r="A268" s="249"/>
      <c r="B268" s="277"/>
      <c r="C268" s="277"/>
      <c r="D268" s="337"/>
      <c r="E268" s="337"/>
      <c r="F268" s="337"/>
      <c r="G268" s="337"/>
      <c r="H268" s="337"/>
      <c r="I268" s="337"/>
      <c r="J268" s="337"/>
      <c r="K268" s="337"/>
      <c r="L268" s="337"/>
      <c r="M268" s="337"/>
      <c r="N268" s="287"/>
      <c r="O268" s="338"/>
      <c r="P268" s="339"/>
      <c r="Q268" s="338"/>
      <c r="R268" s="277"/>
      <c r="S268" s="252"/>
      <c r="T268" s="247"/>
    </row>
    <row r="269" spans="1:21" x14ac:dyDescent="0.3">
      <c r="A269" s="443"/>
      <c r="B269" s="452" t="s">
        <v>146</v>
      </c>
      <c r="C269" s="453"/>
      <c r="D269" s="453"/>
      <c r="E269" s="453"/>
      <c r="F269" s="453"/>
      <c r="G269" s="453"/>
      <c r="H269" s="453"/>
      <c r="I269" s="453"/>
      <c r="J269" s="453"/>
      <c r="K269" s="453"/>
      <c r="L269" s="453"/>
      <c r="M269" s="453"/>
      <c r="N269" s="469" t="s">
        <v>83</v>
      </c>
      <c r="O269" s="453" t="s">
        <v>84</v>
      </c>
      <c r="P269" s="469" t="s">
        <v>89</v>
      </c>
      <c r="Q269" s="453" t="s">
        <v>84</v>
      </c>
      <c r="R269" s="447"/>
      <c r="S269" s="445"/>
      <c r="T269" s="247"/>
    </row>
    <row r="270" spans="1:21" s="349" customFormat="1" x14ac:dyDescent="0.3">
      <c r="A270" s="344"/>
      <c r="B270" s="408" t="s">
        <v>72</v>
      </c>
      <c r="C270" s="471"/>
      <c r="D270" s="471"/>
      <c r="E270" s="471"/>
      <c r="F270" s="471"/>
      <c r="G270" s="471"/>
      <c r="H270" s="471"/>
      <c r="I270" s="471"/>
      <c r="J270" s="471"/>
      <c r="K270" s="471"/>
      <c r="L270" s="471"/>
      <c r="M270" s="471"/>
      <c r="N270" s="408">
        <v>0</v>
      </c>
      <c r="O270" s="472">
        <v>0</v>
      </c>
      <c r="P270" s="411">
        <v>0</v>
      </c>
      <c r="Q270" s="472">
        <v>0</v>
      </c>
      <c r="R270" s="393"/>
      <c r="S270" s="347"/>
      <c r="T270" s="348"/>
    </row>
    <row r="271" spans="1:21" s="349" customFormat="1" x14ac:dyDescent="0.3">
      <c r="A271" s="365"/>
      <c r="B271" s="403" t="s">
        <v>73</v>
      </c>
      <c r="C271" s="429"/>
      <c r="D271" s="429"/>
      <c r="E271" s="429"/>
      <c r="F271" s="429"/>
      <c r="G271" s="429"/>
      <c r="H271" s="429"/>
      <c r="I271" s="429"/>
      <c r="J271" s="429"/>
      <c r="K271" s="429"/>
      <c r="L271" s="429"/>
      <c r="M271" s="429"/>
      <c r="N271" s="403">
        <v>0</v>
      </c>
      <c r="O271" s="430">
        <v>0</v>
      </c>
      <c r="P271" s="404">
        <v>0</v>
      </c>
      <c r="Q271" s="430">
        <v>0</v>
      </c>
      <c r="R271" s="358"/>
      <c r="S271" s="361"/>
      <c r="T271" s="348"/>
    </row>
    <row r="272" spans="1:21" s="349" customFormat="1" x14ac:dyDescent="0.3">
      <c r="A272" s="365"/>
      <c r="B272" s="403" t="s">
        <v>74</v>
      </c>
      <c r="C272" s="429"/>
      <c r="D272" s="429"/>
      <c r="E272" s="429"/>
      <c r="F272" s="429"/>
      <c r="G272" s="429"/>
      <c r="H272" s="429"/>
      <c r="I272" s="429"/>
      <c r="J272" s="429"/>
      <c r="K272" s="429"/>
      <c r="L272" s="429"/>
      <c r="M272" s="429"/>
      <c r="N272" s="403">
        <v>0</v>
      </c>
      <c r="O272" s="430">
        <v>0</v>
      </c>
      <c r="P272" s="404">
        <v>0</v>
      </c>
      <c r="Q272" s="430">
        <v>0</v>
      </c>
      <c r="R272" s="358"/>
      <c r="S272" s="361"/>
      <c r="T272" s="348"/>
    </row>
    <row r="273" spans="1:20" s="349" customFormat="1" x14ac:dyDescent="0.3">
      <c r="A273" s="365"/>
      <c r="B273" s="403" t="s">
        <v>119</v>
      </c>
      <c r="C273" s="429"/>
      <c r="D273" s="429"/>
      <c r="E273" s="429"/>
      <c r="F273" s="429"/>
      <c r="G273" s="429"/>
      <c r="H273" s="429"/>
      <c r="I273" s="429"/>
      <c r="J273" s="429"/>
      <c r="K273" s="429"/>
      <c r="L273" s="429"/>
      <c r="M273" s="429"/>
      <c r="N273" s="403">
        <v>0</v>
      </c>
      <c r="O273" s="430">
        <v>0</v>
      </c>
      <c r="P273" s="404">
        <v>0</v>
      </c>
      <c r="Q273" s="430">
        <v>0</v>
      </c>
      <c r="R273" s="358"/>
      <c r="S273" s="361"/>
      <c r="T273" s="348"/>
    </row>
    <row r="274" spans="1:20" s="349" customFormat="1" x14ac:dyDescent="0.3">
      <c r="A274" s="365"/>
      <c r="B274" s="403" t="s">
        <v>120</v>
      </c>
      <c r="C274" s="429"/>
      <c r="D274" s="429"/>
      <c r="E274" s="429"/>
      <c r="F274" s="429"/>
      <c r="G274" s="429"/>
      <c r="H274" s="429"/>
      <c r="I274" s="429"/>
      <c r="J274" s="429"/>
      <c r="K274" s="429"/>
      <c r="L274" s="429"/>
      <c r="M274" s="429"/>
      <c r="N274" s="403">
        <v>0</v>
      </c>
      <c r="O274" s="430">
        <v>0</v>
      </c>
      <c r="P274" s="404">
        <v>0</v>
      </c>
      <c r="Q274" s="430">
        <v>0</v>
      </c>
      <c r="R274" s="358"/>
      <c r="S274" s="361"/>
      <c r="T274" s="348"/>
    </row>
    <row r="275" spans="1:20" s="349" customFormat="1" x14ac:dyDescent="0.3">
      <c r="A275" s="365"/>
      <c r="B275" s="403" t="s">
        <v>121</v>
      </c>
      <c r="C275" s="429"/>
      <c r="D275" s="429"/>
      <c r="E275" s="429"/>
      <c r="F275" s="429"/>
      <c r="G275" s="429"/>
      <c r="H275" s="429"/>
      <c r="I275" s="429"/>
      <c r="J275" s="429"/>
      <c r="K275" s="429"/>
      <c r="L275" s="429"/>
      <c r="M275" s="429"/>
      <c r="N275" s="403">
        <v>0</v>
      </c>
      <c r="O275" s="430">
        <v>0</v>
      </c>
      <c r="P275" s="404">
        <v>0</v>
      </c>
      <c r="Q275" s="430">
        <v>0</v>
      </c>
      <c r="R275" s="358"/>
      <c r="S275" s="361"/>
      <c r="T275" s="348"/>
    </row>
    <row r="276" spans="1:20" s="349" customFormat="1" x14ac:dyDescent="0.3">
      <c r="A276" s="365"/>
      <c r="B276" s="403" t="s">
        <v>122</v>
      </c>
      <c r="C276" s="429"/>
      <c r="D276" s="429"/>
      <c r="E276" s="429"/>
      <c r="F276" s="429"/>
      <c r="G276" s="429"/>
      <c r="H276" s="429"/>
      <c r="I276" s="429"/>
      <c r="J276" s="429"/>
      <c r="K276" s="429"/>
      <c r="L276" s="429"/>
      <c r="M276" s="429"/>
      <c r="N276" s="403">
        <v>0</v>
      </c>
      <c r="O276" s="430">
        <v>0</v>
      </c>
      <c r="P276" s="404">
        <v>0</v>
      </c>
      <c r="Q276" s="430">
        <v>0</v>
      </c>
      <c r="R276" s="358"/>
      <c r="S276" s="361"/>
      <c r="T276" s="348"/>
    </row>
    <row r="277" spans="1:20" s="349" customFormat="1" x14ac:dyDescent="0.3">
      <c r="A277" s="365"/>
      <c r="B277" s="403" t="s">
        <v>123</v>
      </c>
      <c r="C277" s="429"/>
      <c r="D277" s="429"/>
      <c r="E277" s="429"/>
      <c r="F277" s="429"/>
      <c r="G277" s="429"/>
      <c r="H277" s="429"/>
      <c r="I277" s="429"/>
      <c r="J277" s="429"/>
      <c r="K277" s="429"/>
      <c r="L277" s="429"/>
      <c r="M277" s="429"/>
      <c r="N277" s="403">
        <v>0</v>
      </c>
      <c r="O277" s="430">
        <v>0</v>
      </c>
      <c r="P277" s="404">
        <v>0</v>
      </c>
      <c r="Q277" s="430">
        <v>0</v>
      </c>
      <c r="R277" s="358"/>
      <c r="S277" s="361"/>
      <c r="T277" s="348"/>
    </row>
    <row r="278" spans="1:20" s="349" customFormat="1" x14ac:dyDescent="0.3">
      <c r="A278" s="365"/>
      <c r="B278" s="403"/>
      <c r="C278" s="429"/>
      <c r="D278" s="429"/>
      <c r="E278" s="429"/>
      <c r="F278" s="429"/>
      <c r="G278" s="429"/>
      <c r="H278" s="429"/>
      <c r="I278" s="429"/>
      <c r="J278" s="429"/>
      <c r="K278" s="429"/>
      <c r="L278" s="429"/>
      <c r="M278" s="429"/>
      <c r="N278" s="403"/>
      <c r="O278" s="430"/>
      <c r="P278" s="404"/>
      <c r="Q278" s="430"/>
      <c r="R278" s="358"/>
      <c r="S278" s="361"/>
      <c r="T278" s="348"/>
    </row>
    <row r="279" spans="1:20" s="349" customFormat="1" x14ac:dyDescent="0.3">
      <c r="A279" s="365"/>
      <c r="B279" s="358" t="s">
        <v>94</v>
      </c>
      <c r="C279" s="358"/>
      <c r="D279" s="431"/>
      <c r="E279" s="431"/>
      <c r="F279" s="431"/>
      <c r="G279" s="431"/>
      <c r="H279" s="431"/>
      <c r="I279" s="431"/>
      <c r="J279" s="431"/>
      <c r="K279" s="431"/>
      <c r="L279" s="431"/>
      <c r="M279" s="431"/>
      <c r="N279" s="403">
        <f>SUM(N270:N278)</f>
        <v>0</v>
      </c>
      <c r="O279" s="430">
        <f>SUM(O270:O278)</f>
        <v>0</v>
      </c>
      <c r="P279" s="404">
        <f>SUM(P270:P278)</f>
        <v>0</v>
      </c>
      <c r="Q279" s="430">
        <f>SUM(Q270:Q278)</f>
        <v>0</v>
      </c>
      <c r="R279" s="358"/>
      <c r="S279" s="361"/>
      <c r="T279" s="348"/>
    </row>
    <row r="280" spans="1:20" x14ac:dyDescent="0.3">
      <c r="A280" s="249"/>
      <c r="B280" s="277"/>
      <c r="C280" s="277"/>
      <c r="D280" s="337"/>
      <c r="E280" s="337"/>
      <c r="F280" s="337"/>
      <c r="G280" s="337"/>
      <c r="H280" s="337"/>
      <c r="I280" s="337"/>
      <c r="J280" s="337"/>
      <c r="K280" s="337"/>
      <c r="L280" s="337"/>
      <c r="M280" s="337"/>
      <c r="N280" s="287"/>
      <c r="O280" s="338"/>
      <c r="P280" s="339"/>
      <c r="Q280" s="338"/>
      <c r="R280" s="277"/>
      <c r="S280" s="252"/>
      <c r="T280" s="247"/>
    </row>
    <row r="281" spans="1:20" x14ac:dyDescent="0.3">
      <c r="A281" s="443"/>
      <c r="B281" s="452" t="s">
        <v>125</v>
      </c>
      <c r="C281" s="447"/>
      <c r="D281" s="475"/>
      <c r="E281" s="475"/>
      <c r="F281" s="475"/>
      <c r="G281" s="475"/>
      <c r="H281" s="475"/>
      <c r="I281" s="475"/>
      <c r="J281" s="475"/>
      <c r="K281" s="475"/>
      <c r="L281" s="475"/>
      <c r="M281" s="475"/>
      <c r="N281" s="469" t="s">
        <v>83</v>
      </c>
      <c r="O281" s="453" t="s">
        <v>84</v>
      </c>
      <c r="P281" s="469" t="s">
        <v>89</v>
      </c>
      <c r="Q281" s="453" t="s">
        <v>84</v>
      </c>
      <c r="R281" s="447"/>
      <c r="S281" s="445"/>
      <c r="T281" s="247"/>
    </row>
    <row r="282" spans="1:20" s="349" customFormat="1" x14ac:dyDescent="0.3">
      <c r="A282" s="344"/>
      <c r="B282" s="408" t="s">
        <v>72</v>
      </c>
      <c r="C282" s="393"/>
      <c r="D282" s="474"/>
      <c r="E282" s="474"/>
      <c r="F282" s="474"/>
      <c r="G282" s="474"/>
      <c r="H282" s="474"/>
      <c r="I282" s="474"/>
      <c r="J282" s="474"/>
      <c r="K282" s="474"/>
      <c r="L282" s="474"/>
      <c r="M282" s="474"/>
      <c r="N282" s="408">
        <v>0</v>
      </c>
      <c r="O282" s="472">
        <v>0</v>
      </c>
      <c r="P282" s="411">
        <v>0</v>
      </c>
      <c r="Q282" s="472">
        <v>0</v>
      </c>
      <c r="R282" s="393"/>
      <c r="S282" s="347"/>
      <c r="T282" s="348"/>
    </row>
    <row r="283" spans="1:20" s="349" customFormat="1" x14ac:dyDescent="0.3">
      <c r="A283" s="365"/>
      <c r="B283" s="403" t="s">
        <v>73</v>
      </c>
      <c r="C283" s="358"/>
      <c r="D283" s="431"/>
      <c r="E283" s="431"/>
      <c r="F283" s="431"/>
      <c r="G283" s="431"/>
      <c r="H283" s="431"/>
      <c r="I283" s="431"/>
      <c r="J283" s="431"/>
      <c r="K283" s="431"/>
      <c r="L283" s="431"/>
      <c r="M283" s="431"/>
      <c r="N283" s="403">
        <v>0</v>
      </c>
      <c r="O283" s="430">
        <v>0</v>
      </c>
      <c r="P283" s="404">
        <v>0</v>
      </c>
      <c r="Q283" s="430">
        <v>0</v>
      </c>
      <c r="R283" s="358"/>
      <c r="S283" s="361"/>
      <c r="T283" s="348"/>
    </row>
    <row r="284" spans="1:20" s="349" customFormat="1" x14ac:dyDescent="0.3">
      <c r="A284" s="365"/>
      <c r="B284" s="403" t="s">
        <v>74</v>
      </c>
      <c r="C284" s="358"/>
      <c r="D284" s="431"/>
      <c r="E284" s="431"/>
      <c r="F284" s="431"/>
      <c r="G284" s="431"/>
      <c r="H284" s="431"/>
      <c r="I284" s="431"/>
      <c r="J284" s="431"/>
      <c r="K284" s="431"/>
      <c r="L284" s="431"/>
      <c r="M284" s="431"/>
      <c r="N284" s="403">
        <v>0</v>
      </c>
      <c r="O284" s="430">
        <v>0</v>
      </c>
      <c r="P284" s="404">
        <v>0</v>
      </c>
      <c r="Q284" s="430">
        <v>0</v>
      </c>
      <c r="R284" s="358"/>
      <c r="S284" s="361"/>
      <c r="T284" s="348"/>
    </row>
    <row r="285" spans="1:20" s="349" customFormat="1" x14ac:dyDescent="0.3">
      <c r="A285" s="365"/>
      <c r="B285" s="403" t="s">
        <v>119</v>
      </c>
      <c r="C285" s="358"/>
      <c r="D285" s="431"/>
      <c r="E285" s="431"/>
      <c r="F285" s="431"/>
      <c r="G285" s="431"/>
      <c r="H285" s="431"/>
      <c r="I285" s="431"/>
      <c r="J285" s="431"/>
      <c r="K285" s="431"/>
      <c r="L285" s="431"/>
      <c r="M285" s="431"/>
      <c r="N285" s="403">
        <v>0</v>
      </c>
      <c r="O285" s="430">
        <v>0</v>
      </c>
      <c r="P285" s="404">
        <v>0</v>
      </c>
      <c r="Q285" s="430">
        <v>0</v>
      </c>
      <c r="R285" s="358"/>
      <c r="S285" s="361"/>
      <c r="T285" s="348"/>
    </row>
    <row r="286" spans="1:20" s="349" customFormat="1" x14ac:dyDescent="0.3">
      <c r="A286" s="365"/>
      <c r="B286" s="403" t="s">
        <v>120</v>
      </c>
      <c r="C286" s="358"/>
      <c r="D286" s="431"/>
      <c r="E286" s="431"/>
      <c r="F286" s="431"/>
      <c r="G286" s="431"/>
      <c r="H286" s="431"/>
      <c r="I286" s="431"/>
      <c r="J286" s="431"/>
      <c r="K286" s="431"/>
      <c r="L286" s="431"/>
      <c r="M286" s="431"/>
      <c r="N286" s="403">
        <v>0</v>
      </c>
      <c r="O286" s="430">
        <v>0</v>
      </c>
      <c r="P286" s="404">
        <v>0</v>
      </c>
      <c r="Q286" s="430">
        <v>0</v>
      </c>
      <c r="R286" s="358"/>
      <c r="S286" s="361"/>
      <c r="T286" s="348"/>
    </row>
    <row r="287" spans="1:20" s="349" customFormat="1" x14ac:dyDescent="0.3">
      <c r="A287" s="365"/>
      <c r="B287" s="403" t="s">
        <v>121</v>
      </c>
      <c r="C287" s="358"/>
      <c r="D287" s="431"/>
      <c r="E287" s="431"/>
      <c r="F287" s="431"/>
      <c r="G287" s="431"/>
      <c r="H287" s="431"/>
      <c r="I287" s="431"/>
      <c r="J287" s="431"/>
      <c r="K287" s="431"/>
      <c r="L287" s="431"/>
      <c r="M287" s="431"/>
      <c r="N287" s="403">
        <v>0</v>
      </c>
      <c r="O287" s="430">
        <v>0</v>
      </c>
      <c r="P287" s="404">
        <v>0</v>
      </c>
      <c r="Q287" s="430">
        <v>0</v>
      </c>
      <c r="R287" s="358"/>
      <c r="S287" s="361"/>
      <c r="T287" s="348"/>
    </row>
    <row r="288" spans="1:20" s="349" customFormat="1" x14ac:dyDescent="0.3">
      <c r="A288" s="365"/>
      <c r="B288" s="403" t="s">
        <v>122</v>
      </c>
      <c r="C288" s="358"/>
      <c r="D288" s="431"/>
      <c r="E288" s="431"/>
      <c r="F288" s="431"/>
      <c r="G288" s="431"/>
      <c r="H288" s="431"/>
      <c r="I288" s="431"/>
      <c r="J288" s="431"/>
      <c r="K288" s="431"/>
      <c r="L288" s="431"/>
      <c r="M288" s="431"/>
      <c r="N288" s="403">
        <v>0</v>
      </c>
      <c r="O288" s="430">
        <v>0</v>
      </c>
      <c r="P288" s="404">
        <v>0</v>
      </c>
      <c r="Q288" s="430">
        <v>0</v>
      </c>
      <c r="R288" s="358"/>
      <c r="S288" s="361"/>
      <c r="T288" s="348"/>
    </row>
    <row r="289" spans="1:20" s="349" customFormat="1" x14ac:dyDescent="0.3">
      <c r="A289" s="365"/>
      <c r="B289" s="403" t="s">
        <v>123</v>
      </c>
      <c r="C289" s="358"/>
      <c r="D289" s="431"/>
      <c r="E289" s="431"/>
      <c r="F289" s="431"/>
      <c r="G289" s="431"/>
      <c r="H289" s="431"/>
      <c r="I289" s="431"/>
      <c r="J289" s="431"/>
      <c r="K289" s="431"/>
      <c r="L289" s="431"/>
      <c r="M289" s="431"/>
      <c r="N289" s="403">
        <v>0</v>
      </c>
      <c r="O289" s="430">
        <v>0</v>
      </c>
      <c r="P289" s="404">
        <v>0</v>
      </c>
      <c r="Q289" s="430">
        <v>0</v>
      </c>
      <c r="R289" s="358"/>
      <c r="S289" s="361"/>
      <c r="T289" s="348"/>
    </row>
    <row r="290" spans="1:20" s="349" customFormat="1" x14ac:dyDescent="0.3">
      <c r="A290" s="365"/>
      <c r="B290" s="403"/>
      <c r="C290" s="358"/>
      <c r="D290" s="431"/>
      <c r="E290" s="431"/>
      <c r="F290" s="431"/>
      <c r="G290" s="431"/>
      <c r="H290" s="431"/>
      <c r="I290" s="431"/>
      <c r="J290" s="431"/>
      <c r="K290" s="431"/>
      <c r="L290" s="431"/>
      <c r="M290" s="431"/>
      <c r="N290" s="403"/>
      <c r="O290" s="430"/>
      <c r="P290" s="404"/>
      <c r="Q290" s="430"/>
      <c r="R290" s="358"/>
      <c r="S290" s="361"/>
      <c r="T290" s="348"/>
    </row>
    <row r="291" spans="1:20" s="349" customFormat="1" x14ac:dyDescent="0.3">
      <c r="A291" s="365"/>
      <c r="B291" s="358" t="s">
        <v>94</v>
      </c>
      <c r="C291" s="358"/>
      <c r="D291" s="431"/>
      <c r="E291" s="431"/>
      <c r="F291" s="431"/>
      <c r="G291" s="431"/>
      <c r="H291" s="431"/>
      <c r="I291" s="431"/>
      <c r="J291" s="431"/>
      <c r="K291" s="431"/>
      <c r="L291" s="431"/>
      <c r="M291" s="431"/>
      <c r="N291" s="403">
        <f>SUM(N282:N289)</f>
        <v>0</v>
      </c>
      <c r="O291" s="430">
        <f>SUM(O282:O289)</f>
        <v>0</v>
      </c>
      <c r="P291" s="404">
        <f>SUM(P282:P289)</f>
        <v>0</v>
      </c>
      <c r="Q291" s="430">
        <f>SUM(Q282:Q289)</f>
        <v>0</v>
      </c>
      <c r="R291" s="358"/>
      <c r="S291" s="361"/>
      <c r="T291" s="348"/>
    </row>
    <row r="292" spans="1:20" s="349" customFormat="1" x14ac:dyDescent="0.3">
      <c r="A292" s="365"/>
      <c r="B292" s="358"/>
      <c r="C292" s="358"/>
      <c r="D292" s="431"/>
      <c r="E292" s="431"/>
      <c r="F292" s="431"/>
      <c r="G292" s="431"/>
      <c r="H292" s="431"/>
      <c r="I292" s="431"/>
      <c r="J292" s="431"/>
      <c r="K292" s="431"/>
      <c r="L292" s="431"/>
      <c r="M292" s="431"/>
      <c r="N292" s="403"/>
      <c r="O292" s="430"/>
      <c r="P292" s="404"/>
      <c r="Q292" s="430"/>
      <c r="R292" s="358"/>
      <c r="S292" s="361"/>
      <c r="T292" s="348"/>
    </row>
    <row r="293" spans="1:20" s="349" customFormat="1" x14ac:dyDescent="0.3">
      <c r="A293" s="365"/>
      <c r="B293" s="362" t="s">
        <v>177</v>
      </c>
      <c r="C293" s="358"/>
      <c r="D293" s="431"/>
      <c r="E293" s="431"/>
      <c r="F293" s="431"/>
      <c r="G293" s="431"/>
      <c r="H293" s="431"/>
      <c r="I293" s="431"/>
      <c r="J293" s="431"/>
      <c r="K293" s="431"/>
      <c r="L293" s="431"/>
      <c r="M293" s="431"/>
      <c r="N293" s="432">
        <f>N291+N279+N267</f>
        <v>466</v>
      </c>
      <c r="O293" s="430"/>
      <c r="P293" s="433">
        <f>+P291+P279+P267</f>
        <v>74480</v>
      </c>
      <c r="Q293" s="430"/>
      <c r="R293" s="358"/>
      <c r="S293" s="361"/>
      <c r="T293" s="348"/>
    </row>
    <row r="294" spans="1:20" s="349" customFormat="1" x14ac:dyDescent="0.3">
      <c r="A294" s="365"/>
      <c r="B294" s="362" t="s">
        <v>217</v>
      </c>
      <c r="C294" s="362"/>
      <c r="D294" s="434"/>
      <c r="E294" s="434"/>
      <c r="F294" s="434"/>
      <c r="G294" s="434"/>
      <c r="H294" s="434"/>
      <c r="I294" s="434"/>
      <c r="J294" s="434"/>
      <c r="K294" s="434"/>
      <c r="L294" s="434"/>
      <c r="M294" s="434"/>
      <c r="N294" s="432"/>
      <c r="O294" s="435"/>
      <c r="P294" s="433">
        <f>+R180</f>
        <v>0</v>
      </c>
      <c r="Q294" s="430"/>
      <c r="R294" s="358"/>
      <c r="S294" s="361"/>
      <c r="T294" s="348"/>
    </row>
    <row r="295" spans="1:20" s="349" customFormat="1" x14ac:dyDescent="0.3">
      <c r="A295" s="365"/>
      <c r="B295" s="362" t="s">
        <v>126</v>
      </c>
      <c r="C295" s="362"/>
      <c r="D295" s="434"/>
      <c r="E295" s="434"/>
      <c r="F295" s="434"/>
      <c r="G295" s="434"/>
      <c r="H295" s="434"/>
      <c r="I295" s="434"/>
      <c r="J295" s="434"/>
      <c r="K295" s="434"/>
      <c r="L295" s="434"/>
      <c r="M295" s="434"/>
      <c r="N295" s="432"/>
      <c r="O295" s="435"/>
      <c r="P295" s="433">
        <f>+P293+P294</f>
        <v>74480</v>
      </c>
      <c r="Q295" s="430"/>
      <c r="R295" s="358"/>
      <c r="S295" s="361"/>
      <c r="T295" s="348"/>
    </row>
    <row r="296" spans="1:20" s="349" customFormat="1" x14ac:dyDescent="0.3">
      <c r="A296" s="365"/>
      <c r="B296" s="362" t="s">
        <v>176</v>
      </c>
      <c r="C296" s="358"/>
      <c r="D296" s="431"/>
      <c r="E296" s="431"/>
      <c r="F296" s="431"/>
      <c r="G296" s="431"/>
      <c r="H296" s="431"/>
      <c r="I296" s="431"/>
      <c r="J296" s="431"/>
      <c r="K296" s="431"/>
      <c r="L296" s="431"/>
      <c r="M296" s="431"/>
      <c r="N296" s="432"/>
      <c r="O296" s="430"/>
      <c r="P296" s="433">
        <f>+R80</f>
        <v>74480</v>
      </c>
      <c r="Q296" s="430"/>
      <c r="R296" s="358"/>
      <c r="S296" s="361"/>
      <c r="T296" s="348"/>
    </row>
    <row r="297" spans="1:20" s="349" customFormat="1" x14ac:dyDescent="0.3">
      <c r="A297" s="365"/>
      <c r="B297" s="362"/>
      <c r="C297" s="358"/>
      <c r="D297" s="431"/>
      <c r="E297" s="431"/>
      <c r="F297" s="431"/>
      <c r="G297" s="431"/>
      <c r="H297" s="431"/>
      <c r="I297" s="431"/>
      <c r="J297" s="431"/>
      <c r="K297" s="431"/>
      <c r="L297" s="431"/>
      <c r="M297" s="431"/>
      <c r="N297" s="432"/>
      <c r="O297" s="430"/>
      <c r="P297" s="433"/>
      <c r="Q297" s="430"/>
      <c r="R297" s="358"/>
      <c r="S297" s="361"/>
      <c r="T297" s="348"/>
    </row>
    <row r="298" spans="1:20" s="349" customFormat="1" x14ac:dyDescent="0.3">
      <c r="A298" s="365"/>
      <c r="B298" s="362" t="s">
        <v>202</v>
      </c>
      <c r="C298" s="358"/>
      <c r="D298" s="431"/>
      <c r="E298" s="431"/>
      <c r="F298" s="431"/>
      <c r="G298" s="431"/>
      <c r="H298" s="431"/>
      <c r="I298" s="431"/>
      <c r="J298" s="431"/>
      <c r="K298" s="431"/>
      <c r="L298" s="431"/>
      <c r="M298" s="431"/>
      <c r="N298" s="432"/>
      <c r="O298" s="430"/>
      <c r="P298" s="436">
        <f>(L33+R147)/R33</f>
        <v>0.20142212793651321</v>
      </c>
      <c r="Q298" s="430"/>
      <c r="R298" s="358"/>
      <c r="S298" s="361"/>
      <c r="T298" s="348"/>
    </row>
    <row r="299" spans="1:20" s="349" customFormat="1" x14ac:dyDescent="0.3">
      <c r="A299" s="344"/>
      <c r="B299" s="346"/>
      <c r="C299" s="346"/>
      <c r="D299" s="437"/>
      <c r="E299" s="437"/>
      <c r="F299" s="437"/>
      <c r="G299" s="437"/>
      <c r="H299" s="437"/>
      <c r="I299" s="437"/>
      <c r="J299" s="437"/>
      <c r="K299" s="437"/>
      <c r="L299" s="437"/>
      <c r="M299" s="437"/>
      <c r="N299" s="437"/>
      <c r="O299" s="437"/>
      <c r="P299" s="438"/>
      <c r="Q299" s="437"/>
      <c r="R299" s="346"/>
      <c r="S299" s="347"/>
      <c r="T299" s="348"/>
    </row>
    <row r="300" spans="1:20" s="349" customFormat="1" x14ac:dyDescent="0.3">
      <c r="A300" s="344"/>
      <c r="B300" s="350" t="s">
        <v>75</v>
      </c>
      <c r="C300" s="346"/>
      <c r="D300" s="439" t="s">
        <v>79</v>
      </c>
      <c r="E300" s="350"/>
      <c r="F300" s="350" t="s">
        <v>80</v>
      </c>
      <c r="G300" s="346"/>
      <c r="H300" s="350"/>
      <c r="I300" s="346"/>
      <c r="J300" s="346"/>
      <c r="K300" s="346"/>
      <c r="L300" s="346"/>
      <c r="M300" s="346"/>
      <c r="N300" s="346"/>
      <c r="O300" s="346"/>
      <c r="P300" s="346"/>
      <c r="Q300" s="346"/>
      <c r="R300" s="346"/>
      <c r="S300" s="347"/>
      <c r="T300" s="348"/>
    </row>
    <row r="301" spans="1:20" s="349" customFormat="1" x14ac:dyDescent="0.3">
      <c r="A301" s="344"/>
      <c r="B301" s="346"/>
      <c r="C301" s="346"/>
      <c r="D301" s="346"/>
      <c r="E301" s="346"/>
      <c r="F301" s="346"/>
      <c r="G301" s="346"/>
      <c r="H301" s="346"/>
      <c r="I301" s="346"/>
      <c r="J301" s="346"/>
      <c r="K301" s="346"/>
      <c r="L301" s="346"/>
      <c r="M301" s="346"/>
      <c r="N301" s="346"/>
      <c r="O301" s="346"/>
      <c r="P301" s="346"/>
      <c r="Q301" s="346"/>
      <c r="R301" s="346"/>
      <c r="S301" s="347"/>
      <c r="T301" s="348"/>
    </row>
    <row r="302" spans="1:20" s="349" customFormat="1" x14ac:dyDescent="0.3">
      <c r="A302" s="344"/>
      <c r="B302" s="350" t="s">
        <v>193</v>
      </c>
      <c r="C302" s="350"/>
      <c r="D302" s="440" t="s">
        <v>147</v>
      </c>
      <c r="E302" s="350"/>
      <c r="F302" s="441" t="s">
        <v>292</v>
      </c>
      <c r="G302" s="350"/>
      <c r="H302" s="350"/>
      <c r="I302" s="346"/>
      <c r="J302" s="346"/>
      <c r="K302" s="346"/>
      <c r="L302" s="346"/>
      <c r="M302" s="346"/>
      <c r="N302" s="346"/>
      <c r="O302" s="346"/>
      <c r="P302" s="346"/>
      <c r="Q302" s="346"/>
      <c r="R302" s="346"/>
      <c r="S302" s="347"/>
      <c r="T302" s="348"/>
    </row>
    <row r="303" spans="1:20" s="349" customFormat="1" x14ac:dyDescent="0.3">
      <c r="A303" s="344"/>
      <c r="B303" s="350" t="s">
        <v>194</v>
      </c>
      <c r="C303" s="350"/>
      <c r="D303" s="440" t="s">
        <v>114</v>
      </c>
      <c r="E303" s="350"/>
      <c r="F303" s="441" t="s">
        <v>293</v>
      </c>
      <c r="G303" s="350"/>
      <c r="H303" s="350"/>
      <c r="I303" s="346"/>
      <c r="J303" s="346"/>
      <c r="K303" s="346"/>
      <c r="L303" s="346"/>
      <c r="M303" s="346"/>
      <c r="N303" s="346"/>
      <c r="O303" s="346"/>
      <c r="P303" s="346"/>
      <c r="Q303" s="346"/>
      <c r="R303" s="346"/>
      <c r="S303" s="347"/>
      <c r="T303" s="348"/>
    </row>
    <row r="304" spans="1:20" x14ac:dyDescent="0.3">
      <c r="A304" s="340"/>
      <c r="B304" s="259"/>
      <c r="C304" s="259"/>
      <c r="D304" s="260"/>
      <c r="E304" s="260"/>
      <c r="F304" s="260"/>
      <c r="G304" s="260"/>
      <c r="H304" s="260"/>
      <c r="I304" s="260"/>
      <c r="J304" s="260"/>
      <c r="K304" s="260"/>
      <c r="L304" s="260"/>
      <c r="M304" s="260"/>
      <c r="N304" s="260"/>
      <c r="O304" s="260"/>
      <c r="P304" s="260"/>
      <c r="Q304" s="260"/>
      <c r="R304" s="260"/>
      <c r="S304" s="261"/>
      <c r="T304" s="247"/>
    </row>
    <row r="305" spans="1:20" x14ac:dyDescent="0.3">
      <c r="A305" s="340"/>
      <c r="B305" s="259"/>
      <c r="C305" s="259"/>
      <c r="D305" s="260"/>
      <c r="E305" s="260"/>
      <c r="F305" s="260"/>
      <c r="G305" s="260"/>
      <c r="H305" s="260"/>
      <c r="I305" s="260"/>
      <c r="J305" s="260"/>
      <c r="K305" s="260"/>
      <c r="L305" s="260"/>
      <c r="M305" s="260"/>
      <c r="N305" s="260"/>
      <c r="O305" s="260"/>
      <c r="P305" s="260"/>
      <c r="Q305" s="260"/>
      <c r="R305" s="260"/>
      <c r="S305" s="261"/>
      <c r="T305" s="247"/>
    </row>
    <row r="306" spans="1:20" ht="18.600000000000001" thickBot="1" x14ac:dyDescent="0.4">
      <c r="A306" s="340"/>
      <c r="B306" s="442" t="str">
        <f>B205</f>
        <v>PM22 INVESTOR REPORT QUARTER ENDING AUGUST 2018</v>
      </c>
      <c r="C306" s="259"/>
      <c r="D306" s="260"/>
      <c r="E306" s="260"/>
      <c r="F306" s="260"/>
      <c r="G306" s="260"/>
      <c r="H306" s="260"/>
      <c r="I306" s="260"/>
      <c r="J306" s="260"/>
      <c r="K306" s="260"/>
      <c r="L306" s="260"/>
      <c r="M306" s="260"/>
      <c r="N306" s="260"/>
      <c r="O306" s="260"/>
      <c r="P306" s="260"/>
      <c r="Q306" s="260"/>
      <c r="R306" s="260"/>
      <c r="S306" s="311"/>
      <c r="T306" s="247"/>
    </row>
    <row r="307" spans="1:20" x14ac:dyDescent="0.3">
      <c r="A307" s="341"/>
      <c r="B307" s="341"/>
      <c r="C307" s="341"/>
      <c r="D307" s="341"/>
      <c r="E307" s="341"/>
      <c r="F307" s="341"/>
      <c r="G307" s="341"/>
      <c r="H307" s="341"/>
      <c r="I307" s="341"/>
      <c r="J307" s="341"/>
      <c r="K307" s="341"/>
      <c r="L307" s="341"/>
      <c r="M307" s="341"/>
      <c r="N307" s="341"/>
      <c r="O307" s="341"/>
      <c r="P307" s="341"/>
      <c r="Q307" s="341"/>
      <c r="R307" s="341"/>
      <c r="S307" s="341"/>
    </row>
  </sheetData>
  <hyperlinks>
    <hyperlink ref="K9" r:id="rId1"/>
    <hyperlink ref="N243"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R307"/>
  <sheetViews>
    <sheetView showGridLines="0" showOutlineSymbols="0" zoomScale="70" zoomScaleNormal="70" workbookViewId="0"/>
  </sheetViews>
  <sheetFormatPr defaultColWidth="9.6328125" defaultRowHeight="15.6" x14ac:dyDescent="0.3"/>
  <cols>
    <col min="1" max="1" width="4" style="248" customWidth="1"/>
    <col min="2" max="2" width="71.1796875" style="248" customWidth="1"/>
    <col min="3" max="3" width="2.1796875" style="248" customWidth="1"/>
    <col min="4" max="4" width="16.1796875" style="248" customWidth="1"/>
    <col min="5" max="5" width="2.90625" style="248" customWidth="1"/>
    <col min="6" max="6" width="16.1796875" style="248" customWidth="1"/>
    <col min="7" max="7" width="2.1796875" style="248" customWidth="1"/>
    <col min="8" max="8" width="17.90625" style="248" customWidth="1"/>
    <col min="9" max="9" width="2.36328125" style="248" customWidth="1"/>
    <col min="10" max="10" width="14.90625" style="248" customWidth="1"/>
    <col min="11" max="11" width="2.36328125" style="248" customWidth="1"/>
    <col min="12" max="12" width="15.54296875" style="248" customWidth="1"/>
    <col min="13" max="13" width="2.1796875" style="248" customWidth="1"/>
    <col min="14" max="14" width="15.54296875" style="248" customWidth="1"/>
    <col min="15" max="16" width="12.6328125" style="248" customWidth="1"/>
    <col min="17" max="17" width="7.81640625" style="248" customWidth="1"/>
    <col min="18" max="18" width="14.6328125" style="248" customWidth="1"/>
    <col min="19" max="19" width="11.81640625" style="248" customWidth="1"/>
    <col min="20" max="16384" width="9.6328125" style="248"/>
  </cols>
  <sheetData>
    <row r="1" spans="1:20" ht="21" x14ac:dyDescent="0.4">
      <c r="A1" s="244"/>
      <c r="B1" s="343" t="s">
        <v>221</v>
      </c>
      <c r="C1" s="245"/>
      <c r="D1" s="245"/>
      <c r="E1" s="245"/>
      <c r="F1" s="245"/>
      <c r="G1" s="245"/>
      <c r="H1" s="245"/>
      <c r="I1" s="245"/>
      <c r="J1" s="245"/>
      <c r="K1" s="245"/>
      <c r="L1" s="245"/>
      <c r="M1" s="245"/>
      <c r="N1" s="245"/>
      <c r="O1" s="245"/>
      <c r="P1" s="245"/>
      <c r="Q1" s="245"/>
      <c r="R1" s="245"/>
      <c r="S1" s="246"/>
      <c r="T1" s="247"/>
    </row>
    <row r="2" spans="1:20" x14ac:dyDescent="0.3">
      <c r="A2" s="249"/>
      <c r="B2" s="250"/>
      <c r="C2" s="251"/>
      <c r="D2" s="251"/>
      <c r="E2" s="251"/>
      <c r="F2" s="251"/>
      <c r="G2" s="251"/>
      <c r="H2" s="251"/>
      <c r="I2" s="251"/>
      <c r="J2" s="251"/>
      <c r="K2" s="251"/>
      <c r="L2" s="251"/>
      <c r="M2" s="251"/>
      <c r="N2" s="251"/>
      <c r="O2" s="251"/>
      <c r="P2" s="251"/>
      <c r="Q2" s="251"/>
      <c r="R2" s="251"/>
      <c r="S2" s="252"/>
      <c r="T2" s="247"/>
    </row>
    <row r="3" spans="1:20" x14ac:dyDescent="0.3">
      <c r="A3" s="253"/>
      <c r="B3" s="254" t="s">
        <v>222</v>
      </c>
      <c r="C3" s="251"/>
      <c r="D3" s="251"/>
      <c r="E3" s="251"/>
      <c r="F3" s="251"/>
      <c r="G3" s="251"/>
      <c r="H3" s="251"/>
      <c r="I3" s="251"/>
      <c r="J3" s="251"/>
      <c r="K3" s="251"/>
      <c r="L3" s="251"/>
      <c r="M3" s="251"/>
      <c r="N3" s="251"/>
      <c r="O3" s="251"/>
      <c r="P3" s="251"/>
      <c r="Q3" s="251"/>
      <c r="R3" s="251"/>
      <c r="S3" s="252"/>
      <c r="T3" s="247"/>
    </row>
    <row r="4" spans="1:20" x14ac:dyDescent="0.3">
      <c r="A4" s="249"/>
      <c r="B4" s="250"/>
      <c r="C4" s="251"/>
      <c r="D4" s="251"/>
      <c r="E4" s="251"/>
      <c r="F4" s="251"/>
      <c r="G4" s="251"/>
      <c r="H4" s="251"/>
      <c r="I4" s="251"/>
      <c r="J4" s="251"/>
      <c r="K4" s="251"/>
      <c r="L4" s="251"/>
      <c r="M4" s="251"/>
      <c r="N4" s="251"/>
      <c r="O4" s="251"/>
      <c r="P4" s="251"/>
      <c r="Q4" s="251"/>
      <c r="R4" s="251"/>
      <c r="S4" s="252"/>
      <c r="T4" s="247"/>
    </row>
    <row r="5" spans="1:20" s="349" customFormat="1" x14ac:dyDescent="0.3">
      <c r="A5" s="344"/>
      <c r="B5" s="345" t="s">
        <v>109</v>
      </c>
      <c r="C5" s="346"/>
      <c r="D5" s="346"/>
      <c r="E5" s="346"/>
      <c r="F5" s="346"/>
      <c r="G5" s="346"/>
      <c r="H5" s="346"/>
      <c r="I5" s="346"/>
      <c r="J5" s="346"/>
      <c r="K5" s="346"/>
      <c r="L5" s="346"/>
      <c r="M5" s="346"/>
      <c r="N5" s="346"/>
      <c r="O5" s="346"/>
      <c r="P5" s="346"/>
      <c r="Q5" s="346"/>
      <c r="R5" s="346"/>
      <c r="S5" s="347"/>
      <c r="T5" s="348"/>
    </row>
    <row r="6" spans="1:20" s="349" customFormat="1" x14ac:dyDescent="0.3">
      <c r="A6" s="344"/>
      <c r="B6" s="345" t="s">
        <v>111</v>
      </c>
      <c r="C6" s="346"/>
      <c r="D6" s="346"/>
      <c r="E6" s="346"/>
      <c r="F6" s="346"/>
      <c r="G6" s="346"/>
      <c r="H6" s="346"/>
      <c r="I6" s="346"/>
      <c r="J6" s="346"/>
      <c r="K6" s="346"/>
      <c r="L6" s="346"/>
      <c r="M6" s="346"/>
      <c r="N6" s="346"/>
      <c r="O6" s="346"/>
      <c r="P6" s="346"/>
      <c r="Q6" s="346"/>
      <c r="R6" s="346"/>
      <c r="S6" s="347"/>
      <c r="T6" s="348"/>
    </row>
    <row r="7" spans="1:20" s="349" customFormat="1" x14ac:dyDescent="0.3">
      <c r="A7" s="344"/>
      <c r="B7" s="345" t="s">
        <v>110</v>
      </c>
      <c r="C7" s="346"/>
      <c r="D7" s="346"/>
      <c r="E7" s="346"/>
      <c r="F7" s="346"/>
      <c r="G7" s="346"/>
      <c r="H7" s="346"/>
      <c r="I7" s="346"/>
      <c r="J7" s="346"/>
      <c r="K7" s="346"/>
      <c r="L7" s="346"/>
      <c r="M7" s="346"/>
      <c r="N7" s="346"/>
      <c r="O7" s="346"/>
      <c r="P7" s="346"/>
      <c r="Q7" s="346"/>
      <c r="R7" s="346"/>
      <c r="S7" s="347"/>
      <c r="T7" s="348"/>
    </row>
    <row r="8" spans="1:20" x14ac:dyDescent="0.3">
      <c r="A8" s="249"/>
      <c r="B8" s="255"/>
      <c r="C8" s="251"/>
      <c r="D8" s="251"/>
      <c r="E8" s="251"/>
      <c r="F8" s="251"/>
      <c r="G8" s="251"/>
      <c r="H8" s="251"/>
      <c r="I8" s="251"/>
      <c r="J8" s="251"/>
      <c r="K8" s="251"/>
      <c r="L8" s="251"/>
      <c r="M8" s="251"/>
      <c r="N8" s="251"/>
      <c r="O8" s="251"/>
      <c r="P8" s="251"/>
      <c r="Q8" s="251"/>
      <c r="R8" s="251"/>
      <c r="S8" s="252"/>
      <c r="T8" s="247"/>
    </row>
    <row r="9" spans="1:20" ht="18" x14ac:dyDescent="0.35">
      <c r="A9" s="249"/>
      <c r="B9" s="256" t="s">
        <v>127</v>
      </c>
      <c r="C9" s="251"/>
      <c r="D9" s="251"/>
      <c r="E9" s="257"/>
      <c r="F9" s="251"/>
      <c r="G9" s="251"/>
      <c r="H9" s="257"/>
      <c r="I9" s="251"/>
      <c r="J9" s="257"/>
      <c r="K9" s="243" t="s">
        <v>291</v>
      </c>
      <c r="L9" s="257"/>
      <c r="M9" s="251"/>
      <c r="N9" s="251"/>
      <c r="O9" s="251"/>
      <c r="P9" s="251"/>
      <c r="Q9" s="251"/>
      <c r="R9" s="251"/>
      <c r="S9" s="252"/>
      <c r="T9" s="247"/>
    </row>
    <row r="10" spans="1:20" x14ac:dyDescent="0.3">
      <c r="A10" s="249"/>
      <c r="B10" s="255"/>
      <c r="C10" s="258"/>
      <c r="D10" s="251"/>
      <c r="E10" s="251"/>
      <c r="F10" s="251"/>
      <c r="G10" s="251"/>
      <c r="H10" s="251"/>
      <c r="I10" s="251"/>
      <c r="J10" s="251"/>
      <c r="K10" s="251"/>
      <c r="L10" s="251"/>
      <c r="M10" s="251"/>
      <c r="N10" s="251"/>
      <c r="O10" s="251"/>
      <c r="P10" s="251"/>
      <c r="Q10" s="251"/>
      <c r="R10" s="251"/>
      <c r="S10" s="252"/>
      <c r="T10" s="247"/>
    </row>
    <row r="11" spans="1:20" s="349" customFormat="1" x14ac:dyDescent="0.3">
      <c r="A11" s="344"/>
      <c r="B11" s="350" t="s">
        <v>0</v>
      </c>
      <c r="C11" s="346"/>
      <c r="D11" s="346"/>
      <c r="E11" s="346"/>
      <c r="F11" s="346"/>
      <c r="G11" s="346"/>
      <c r="H11" s="346"/>
      <c r="I11" s="346"/>
      <c r="J11" s="346"/>
      <c r="K11" s="346"/>
      <c r="L11" s="346"/>
      <c r="M11" s="346"/>
      <c r="N11" s="346"/>
      <c r="O11" s="346"/>
      <c r="P11" s="346"/>
      <c r="Q11" s="346"/>
      <c r="R11" s="346"/>
      <c r="S11" s="347"/>
      <c r="T11" s="348"/>
    </row>
    <row r="12" spans="1:20" ht="16.2" thickBot="1" x14ac:dyDescent="0.35">
      <c r="A12" s="249"/>
      <c r="B12" s="258"/>
      <c r="C12" s="251"/>
      <c r="D12" s="251"/>
      <c r="E12" s="251"/>
      <c r="F12" s="251"/>
      <c r="G12" s="251"/>
      <c r="H12" s="251"/>
      <c r="I12" s="251"/>
      <c r="J12" s="251"/>
      <c r="K12" s="251"/>
      <c r="L12" s="251"/>
      <c r="M12" s="251"/>
      <c r="N12" s="251"/>
      <c r="O12" s="251"/>
      <c r="P12" s="251"/>
      <c r="Q12" s="251"/>
      <c r="R12" s="251"/>
      <c r="S12" s="252"/>
      <c r="T12" s="247"/>
    </row>
    <row r="13" spans="1:20" x14ac:dyDescent="0.3">
      <c r="A13" s="244"/>
      <c r="B13" s="245"/>
      <c r="C13" s="245"/>
      <c r="D13" s="245"/>
      <c r="E13" s="245"/>
      <c r="F13" s="245"/>
      <c r="G13" s="245"/>
      <c r="H13" s="245"/>
      <c r="I13" s="245"/>
      <c r="J13" s="245"/>
      <c r="K13" s="245"/>
      <c r="L13" s="245"/>
      <c r="M13" s="245"/>
      <c r="N13" s="245"/>
      <c r="O13" s="245"/>
      <c r="P13" s="245"/>
      <c r="Q13" s="245"/>
      <c r="R13" s="245"/>
      <c r="S13" s="246"/>
      <c r="T13" s="247"/>
    </row>
    <row r="14" spans="1:20" s="349" customFormat="1" x14ac:dyDescent="0.3">
      <c r="A14" s="344"/>
      <c r="B14" s="350" t="s">
        <v>1</v>
      </c>
      <c r="C14" s="346"/>
      <c r="D14" s="346"/>
      <c r="E14" s="346"/>
      <c r="F14" s="346"/>
      <c r="G14" s="346"/>
      <c r="H14" s="346"/>
      <c r="I14" s="346"/>
      <c r="J14" s="346"/>
      <c r="K14" s="346"/>
      <c r="L14" s="346"/>
      <c r="M14" s="346"/>
      <c r="N14" s="346"/>
      <c r="O14" s="346"/>
      <c r="P14" s="346"/>
      <c r="Q14" s="346"/>
      <c r="R14" s="351" t="s">
        <v>223</v>
      </c>
      <c r="S14" s="347"/>
      <c r="T14" s="348"/>
    </row>
    <row r="15" spans="1:20" s="349" customFormat="1" x14ac:dyDescent="0.3">
      <c r="A15" s="344"/>
      <c r="B15" s="350" t="s">
        <v>2</v>
      </c>
      <c r="C15" s="346"/>
      <c r="D15" s="352"/>
      <c r="E15" s="352"/>
      <c r="F15" s="352"/>
      <c r="G15" s="352"/>
      <c r="H15" s="352"/>
      <c r="I15" s="352"/>
      <c r="J15" s="352"/>
      <c r="K15" s="352"/>
      <c r="L15" s="352"/>
      <c r="M15" s="352"/>
      <c r="N15" s="353"/>
      <c r="O15" s="353"/>
      <c r="P15" s="353" t="s">
        <v>154</v>
      </c>
      <c r="Q15" s="353">
        <v>1</v>
      </c>
      <c r="R15" s="351"/>
      <c r="S15" s="347"/>
      <c r="T15" s="348"/>
    </row>
    <row r="16" spans="1:20" s="349" customFormat="1" x14ac:dyDescent="0.3">
      <c r="A16" s="344"/>
      <c r="B16" s="350" t="s">
        <v>3</v>
      </c>
      <c r="C16" s="346"/>
      <c r="D16" s="352"/>
      <c r="E16" s="352"/>
      <c r="F16" s="352"/>
      <c r="G16" s="352"/>
      <c r="H16" s="352"/>
      <c r="I16" s="352"/>
      <c r="J16" s="352"/>
      <c r="K16" s="352"/>
      <c r="L16" s="352"/>
      <c r="M16" s="352"/>
      <c r="N16" s="353"/>
      <c r="O16" s="353"/>
      <c r="P16" s="353" t="s">
        <v>154</v>
      </c>
      <c r="Q16" s="353">
        <v>1</v>
      </c>
      <c r="R16" s="351"/>
      <c r="S16" s="347"/>
      <c r="T16" s="348"/>
    </row>
    <row r="17" spans="1:23" s="349" customFormat="1" x14ac:dyDescent="0.3">
      <c r="A17" s="344"/>
      <c r="B17" s="350" t="s">
        <v>4</v>
      </c>
      <c r="C17" s="346"/>
      <c r="D17" s="346"/>
      <c r="E17" s="346"/>
      <c r="F17" s="346"/>
      <c r="G17" s="346"/>
      <c r="H17" s="346"/>
      <c r="I17" s="346"/>
      <c r="J17" s="346"/>
      <c r="K17" s="346"/>
      <c r="L17" s="346"/>
      <c r="M17" s="346"/>
      <c r="N17" s="346"/>
      <c r="O17" s="346"/>
      <c r="P17" s="346"/>
      <c r="Q17" s="346"/>
      <c r="R17" s="354">
        <v>42088</v>
      </c>
      <c r="S17" s="347"/>
      <c r="T17" s="348"/>
    </row>
    <row r="18" spans="1:23" s="349" customFormat="1" x14ac:dyDescent="0.3">
      <c r="A18" s="344"/>
      <c r="B18" s="350" t="s">
        <v>5</v>
      </c>
      <c r="C18" s="346"/>
      <c r="D18" s="346"/>
      <c r="E18" s="346"/>
      <c r="F18" s="346"/>
      <c r="G18" s="346"/>
      <c r="H18" s="346"/>
      <c r="I18" s="346"/>
      <c r="J18" s="346"/>
      <c r="K18" s="346"/>
      <c r="L18" s="346"/>
      <c r="M18" s="346"/>
      <c r="N18" s="346"/>
      <c r="O18" s="346"/>
      <c r="P18" s="346"/>
      <c r="Q18" s="346"/>
      <c r="R18" s="354">
        <v>43454</v>
      </c>
      <c r="S18" s="347"/>
      <c r="T18" s="348"/>
    </row>
    <row r="19" spans="1:23" s="349" customFormat="1" x14ac:dyDescent="0.3">
      <c r="A19" s="344"/>
      <c r="B19" s="346"/>
      <c r="C19" s="346"/>
      <c r="D19" s="346"/>
      <c r="E19" s="346"/>
      <c r="F19" s="346"/>
      <c r="G19" s="346"/>
      <c r="H19" s="346"/>
      <c r="I19" s="346"/>
      <c r="J19" s="346"/>
      <c r="K19" s="346"/>
      <c r="L19" s="346"/>
      <c r="M19" s="346"/>
      <c r="N19" s="346"/>
      <c r="O19" s="346"/>
      <c r="P19" s="346"/>
      <c r="Q19" s="346"/>
      <c r="R19" s="355"/>
      <c r="S19" s="347"/>
      <c r="T19" s="348"/>
    </row>
    <row r="20" spans="1:23" s="349" customFormat="1" x14ac:dyDescent="0.3">
      <c r="A20" s="344"/>
      <c r="B20" s="356" t="s">
        <v>6</v>
      </c>
      <c r="C20" s="346"/>
      <c r="D20" s="346"/>
      <c r="E20" s="346"/>
      <c r="F20" s="346"/>
      <c r="G20" s="346"/>
      <c r="H20" s="346"/>
      <c r="I20" s="346"/>
      <c r="J20" s="346"/>
      <c r="K20" s="346"/>
      <c r="L20" s="346"/>
      <c r="M20" s="346"/>
      <c r="N20" s="346"/>
      <c r="O20" s="346"/>
      <c r="P20" s="355" t="s">
        <v>85</v>
      </c>
      <c r="Q20" s="346"/>
      <c r="R20" s="346"/>
      <c r="S20" s="347"/>
      <c r="T20" s="348"/>
    </row>
    <row r="21" spans="1:23" x14ac:dyDescent="0.3">
      <c r="A21" s="249"/>
      <c r="B21" s="251"/>
      <c r="C21" s="251"/>
      <c r="D21" s="251"/>
      <c r="E21" s="251"/>
      <c r="F21" s="251"/>
      <c r="G21" s="251"/>
      <c r="H21" s="251"/>
      <c r="I21" s="251"/>
      <c r="J21" s="251"/>
      <c r="K21" s="251"/>
      <c r="L21" s="251"/>
      <c r="M21" s="251"/>
      <c r="N21" s="251"/>
      <c r="O21" s="251"/>
      <c r="P21" s="251"/>
      <c r="Q21" s="251"/>
      <c r="R21" s="262"/>
      <c r="S21" s="252"/>
      <c r="T21" s="247"/>
    </row>
    <row r="22" spans="1:23" x14ac:dyDescent="0.3">
      <c r="A22" s="443"/>
      <c r="B22" s="447"/>
      <c r="C22" s="448"/>
      <c r="D22" s="448" t="s">
        <v>232</v>
      </c>
      <c r="E22" s="448"/>
      <c r="F22" s="448" t="s">
        <v>233</v>
      </c>
      <c r="G22" s="448"/>
      <c r="H22" s="448" t="s">
        <v>179</v>
      </c>
      <c r="I22" s="448"/>
      <c r="J22" s="448" t="s">
        <v>180</v>
      </c>
      <c r="K22" s="448"/>
      <c r="L22" s="448" t="s">
        <v>234</v>
      </c>
      <c r="M22" s="448"/>
      <c r="N22" s="448"/>
      <c r="O22" s="449"/>
      <c r="P22" s="449"/>
      <c r="Q22" s="447"/>
      <c r="R22" s="447"/>
      <c r="S22" s="445"/>
      <c r="T22" s="247"/>
    </row>
    <row r="23" spans="1:23" s="349" customFormat="1" x14ac:dyDescent="0.3">
      <c r="A23" s="344"/>
      <c r="B23" s="393" t="s">
        <v>226</v>
      </c>
      <c r="C23" s="446"/>
      <c r="D23" s="446" t="s">
        <v>112</v>
      </c>
      <c r="E23" s="446"/>
      <c r="F23" s="446" t="s">
        <v>112</v>
      </c>
      <c r="G23" s="446"/>
      <c r="H23" s="446" t="s">
        <v>178</v>
      </c>
      <c r="I23" s="446"/>
      <c r="J23" s="446" t="s">
        <v>249</v>
      </c>
      <c r="K23" s="446"/>
      <c r="L23" s="446" t="s">
        <v>153</v>
      </c>
      <c r="M23" s="446"/>
      <c r="N23" s="446"/>
      <c r="O23" s="446"/>
      <c r="P23" s="446"/>
      <c r="Q23" s="393"/>
      <c r="R23" s="393"/>
      <c r="S23" s="347"/>
      <c r="T23" s="348"/>
    </row>
    <row r="24" spans="1:23" s="349" customFormat="1" x14ac:dyDescent="0.3">
      <c r="A24" s="357"/>
      <c r="B24" s="358" t="s">
        <v>197</v>
      </c>
      <c r="C24" s="359"/>
      <c r="D24" s="360" t="s">
        <v>199</v>
      </c>
      <c r="E24" s="360"/>
      <c r="F24" s="360" t="s">
        <v>199</v>
      </c>
      <c r="G24" s="360"/>
      <c r="H24" s="360" t="s">
        <v>200</v>
      </c>
      <c r="I24" s="360"/>
      <c r="J24" s="360" t="s">
        <v>201</v>
      </c>
      <c r="K24" s="360"/>
      <c r="L24" s="360" t="s">
        <v>153</v>
      </c>
      <c r="M24" s="360"/>
      <c r="N24" s="360"/>
      <c r="O24" s="359"/>
      <c r="P24" s="360"/>
      <c r="Q24" s="358"/>
      <c r="R24" s="358"/>
      <c r="S24" s="361"/>
      <c r="T24" s="348"/>
    </row>
    <row r="25" spans="1:23" s="349" customFormat="1" x14ac:dyDescent="0.3">
      <c r="A25" s="357"/>
      <c r="B25" s="362" t="s">
        <v>227</v>
      </c>
      <c r="C25" s="359"/>
      <c r="D25" s="359" t="s">
        <v>112</v>
      </c>
      <c r="E25" s="359"/>
      <c r="F25" s="359" t="s">
        <v>112</v>
      </c>
      <c r="G25" s="359"/>
      <c r="H25" s="359" t="s">
        <v>112</v>
      </c>
      <c r="I25" s="359"/>
      <c r="J25" s="359" t="s">
        <v>178</v>
      </c>
      <c r="K25" s="359"/>
      <c r="L25" s="359" t="s">
        <v>153</v>
      </c>
      <c r="M25" s="359"/>
      <c r="N25" s="359"/>
      <c r="O25" s="359"/>
      <c r="P25" s="360"/>
      <c r="Q25" s="358"/>
      <c r="R25" s="358"/>
      <c r="S25" s="361"/>
      <c r="T25" s="348"/>
      <c r="U25" s="363"/>
      <c r="W25" s="364"/>
    </row>
    <row r="26" spans="1:23" s="349" customFormat="1" x14ac:dyDescent="0.3">
      <c r="A26" s="365"/>
      <c r="B26" s="362" t="s">
        <v>198</v>
      </c>
      <c r="C26" s="360"/>
      <c r="D26" s="359" t="s">
        <v>199</v>
      </c>
      <c r="E26" s="359"/>
      <c r="F26" s="359" t="s">
        <v>199</v>
      </c>
      <c r="G26" s="359"/>
      <c r="H26" s="359" t="s">
        <v>199</v>
      </c>
      <c r="I26" s="359"/>
      <c r="J26" s="359" t="s">
        <v>296</v>
      </c>
      <c r="K26" s="359"/>
      <c r="L26" s="359" t="s">
        <v>153</v>
      </c>
      <c r="M26" s="359"/>
      <c r="N26" s="359"/>
      <c r="O26" s="360"/>
      <c r="P26" s="366"/>
      <c r="Q26" s="358"/>
      <c r="R26" s="358"/>
      <c r="S26" s="361"/>
      <c r="T26" s="348"/>
      <c r="U26" s="363"/>
      <c r="W26" s="364"/>
    </row>
    <row r="27" spans="1:23" s="349" customFormat="1" x14ac:dyDescent="0.3">
      <c r="A27" s="365"/>
      <c r="B27" s="358" t="s">
        <v>7</v>
      </c>
      <c r="C27" s="367"/>
      <c r="D27" s="360" t="s">
        <v>228</v>
      </c>
      <c r="E27" s="360"/>
      <c r="F27" s="360" t="s">
        <v>242</v>
      </c>
      <c r="G27" s="360"/>
      <c r="H27" s="360" t="s">
        <v>243</v>
      </c>
      <c r="I27" s="360"/>
      <c r="J27" s="360" t="s">
        <v>244</v>
      </c>
      <c r="K27" s="360"/>
      <c r="L27" s="360" t="s">
        <v>245</v>
      </c>
      <c r="M27" s="360"/>
      <c r="N27" s="360"/>
      <c r="O27" s="368"/>
      <c r="P27" s="368"/>
      <c r="Q27" s="367"/>
      <c r="R27" s="368"/>
      <c r="S27" s="369"/>
      <c r="T27" s="348"/>
      <c r="U27" s="363"/>
      <c r="W27" s="364"/>
    </row>
    <row r="28" spans="1:23" s="349" customFormat="1" x14ac:dyDescent="0.3">
      <c r="A28" s="357"/>
      <c r="B28" s="358" t="s">
        <v>106</v>
      </c>
      <c r="C28" s="370"/>
      <c r="D28" s="371">
        <v>164000</v>
      </c>
      <c r="E28" s="372"/>
      <c r="F28" s="373">
        <v>151700</v>
      </c>
      <c r="G28" s="374"/>
      <c r="H28" s="373">
        <v>12000</v>
      </c>
      <c r="I28" s="374"/>
      <c r="J28" s="373">
        <v>12000</v>
      </c>
      <c r="K28" s="368"/>
      <c r="L28" s="373">
        <v>7500</v>
      </c>
      <c r="M28" s="368"/>
      <c r="N28" s="372"/>
      <c r="O28" s="375"/>
      <c r="P28" s="375"/>
      <c r="Q28" s="370"/>
      <c r="R28" s="368"/>
      <c r="S28" s="369"/>
      <c r="T28" s="348"/>
    </row>
    <row r="29" spans="1:23" s="349" customFormat="1" x14ac:dyDescent="0.3">
      <c r="A29" s="365"/>
      <c r="B29" s="358" t="s">
        <v>105</v>
      </c>
      <c r="C29" s="367"/>
      <c r="D29" s="371">
        <f>D28*D35</f>
        <v>26251.578400000002</v>
      </c>
      <c r="E29" s="372"/>
      <c r="F29" s="373">
        <f>F28*F35</f>
        <v>24282.710020000002</v>
      </c>
      <c r="G29" s="373"/>
      <c r="H29" s="373">
        <f>H28</f>
        <v>12000</v>
      </c>
      <c r="I29" s="373"/>
      <c r="J29" s="373">
        <f>J28</f>
        <v>12000</v>
      </c>
      <c r="K29" s="368"/>
      <c r="L29" s="373">
        <f>L28</f>
        <v>7500</v>
      </c>
      <c r="M29" s="368"/>
      <c r="N29" s="372"/>
      <c r="O29" s="368"/>
      <c r="P29" s="368"/>
      <c r="Q29" s="367"/>
      <c r="R29" s="368"/>
      <c r="S29" s="369"/>
      <c r="T29" s="348"/>
    </row>
    <row r="30" spans="1:23" s="349" customFormat="1" x14ac:dyDescent="0.3">
      <c r="A30" s="365"/>
      <c r="B30" s="362" t="s">
        <v>107</v>
      </c>
      <c r="C30" s="367"/>
      <c r="D30" s="376">
        <f>D28*D34</f>
        <v>21055.074399999998</v>
      </c>
      <c r="E30" s="377"/>
      <c r="F30" s="377">
        <f t="shared" ref="F30" si="0">F28*F34</f>
        <v>19475.943819999997</v>
      </c>
      <c r="G30" s="377"/>
      <c r="H30" s="377">
        <f t="shared" ref="H30" si="1">H28*H34</f>
        <v>12000</v>
      </c>
      <c r="I30" s="377"/>
      <c r="J30" s="377">
        <f t="shared" ref="J30" si="2">J28*J34</f>
        <v>12000</v>
      </c>
      <c r="K30" s="377"/>
      <c r="L30" s="377">
        <f t="shared" ref="L30" si="3">L28*L34</f>
        <v>7500</v>
      </c>
      <c r="M30" s="375"/>
      <c r="N30" s="378"/>
      <c r="O30" s="368"/>
      <c r="P30" s="368"/>
      <c r="Q30" s="367"/>
      <c r="R30" s="375"/>
      <c r="S30" s="369"/>
      <c r="T30" s="348"/>
    </row>
    <row r="31" spans="1:23" s="349" customFormat="1" x14ac:dyDescent="0.3">
      <c r="A31" s="365"/>
      <c r="B31" s="358" t="s">
        <v>229</v>
      </c>
      <c r="C31" s="367"/>
      <c r="D31" s="373">
        <v>116809</v>
      </c>
      <c r="E31" s="373"/>
      <c r="F31" s="373">
        <v>151700</v>
      </c>
      <c r="G31" s="373"/>
      <c r="H31" s="373">
        <v>12000</v>
      </c>
      <c r="I31" s="373"/>
      <c r="J31" s="373">
        <v>12000</v>
      </c>
      <c r="K31" s="373"/>
      <c r="L31" s="373">
        <v>7500</v>
      </c>
      <c r="M31" s="368"/>
      <c r="N31" s="378"/>
      <c r="O31" s="368"/>
      <c r="P31" s="368"/>
      <c r="Q31" s="367"/>
      <c r="R31" s="368">
        <f>SUM(D31:L31)</f>
        <v>300009</v>
      </c>
      <c r="S31" s="369"/>
      <c r="T31" s="348"/>
    </row>
    <row r="32" spans="1:23" s="349" customFormat="1" x14ac:dyDescent="0.3">
      <c r="A32" s="365"/>
      <c r="B32" s="358" t="s">
        <v>230</v>
      </c>
      <c r="C32" s="367"/>
      <c r="D32" s="373">
        <f>D31*D35</f>
        <v>18697.686715399999</v>
      </c>
      <c r="E32" s="373"/>
      <c r="F32" s="373">
        <f>F31*F35</f>
        <v>24282.710020000002</v>
      </c>
      <c r="G32" s="373"/>
      <c r="H32" s="373">
        <f>H31</f>
        <v>12000</v>
      </c>
      <c r="I32" s="373"/>
      <c r="J32" s="373">
        <f>+J31</f>
        <v>12000</v>
      </c>
      <c r="K32" s="373"/>
      <c r="L32" s="373">
        <f>L31</f>
        <v>7500</v>
      </c>
      <c r="M32" s="368"/>
      <c r="N32" s="378"/>
      <c r="O32" s="368"/>
      <c r="P32" s="368"/>
      <c r="Q32" s="367"/>
      <c r="R32" s="368">
        <f>SUM(D32:L32)</f>
        <v>74480.396735400005</v>
      </c>
      <c r="S32" s="369"/>
      <c r="T32" s="348"/>
    </row>
    <row r="33" spans="1:20" s="349" customFormat="1" x14ac:dyDescent="0.3">
      <c r="A33" s="365"/>
      <c r="B33" s="362" t="s">
        <v>231</v>
      </c>
      <c r="C33" s="367"/>
      <c r="D33" s="377">
        <f>D31*D34</f>
        <v>14996.476741399998</v>
      </c>
      <c r="E33" s="377"/>
      <c r="F33" s="377">
        <f>F31*F34</f>
        <v>19475.943819999997</v>
      </c>
      <c r="G33" s="377"/>
      <c r="H33" s="377">
        <f t="shared" ref="H33:L33" si="4">H31*H34</f>
        <v>12000</v>
      </c>
      <c r="I33" s="377"/>
      <c r="J33" s="377">
        <f t="shared" si="4"/>
        <v>12000</v>
      </c>
      <c r="K33" s="377"/>
      <c r="L33" s="377">
        <f t="shared" si="4"/>
        <v>7500</v>
      </c>
      <c r="M33" s="375"/>
      <c r="N33" s="378"/>
      <c r="O33" s="368"/>
      <c r="P33" s="368"/>
      <c r="Q33" s="367"/>
      <c r="R33" s="375">
        <f>SUM(D33:L33)</f>
        <v>65972.420561399995</v>
      </c>
      <c r="S33" s="369"/>
      <c r="T33" s="348"/>
    </row>
    <row r="34" spans="1:20" s="273" customFormat="1" x14ac:dyDescent="0.3">
      <c r="A34" s="265"/>
      <c r="B34" s="266" t="s">
        <v>103</v>
      </c>
      <c r="C34" s="267"/>
      <c r="D34" s="268">
        <v>0.12838459999999999</v>
      </c>
      <c r="E34" s="268"/>
      <c r="F34" s="268">
        <v>0.12838459999999999</v>
      </c>
      <c r="G34" s="268"/>
      <c r="H34" s="268">
        <v>1</v>
      </c>
      <c r="I34" s="268"/>
      <c r="J34" s="268">
        <v>1</v>
      </c>
      <c r="K34" s="268"/>
      <c r="L34" s="268">
        <v>1</v>
      </c>
      <c r="M34" s="268"/>
      <c r="N34" s="268"/>
      <c r="O34" s="269"/>
      <c r="P34" s="269"/>
      <c r="Q34" s="267"/>
      <c r="R34" s="270"/>
      <c r="S34" s="271"/>
      <c r="T34" s="272"/>
    </row>
    <row r="35" spans="1:20" s="273" customFormat="1" x14ac:dyDescent="0.3">
      <c r="A35" s="265"/>
      <c r="B35" s="266" t="s">
        <v>104</v>
      </c>
      <c r="C35" s="267"/>
      <c r="D35" s="268">
        <v>0.16007060000000001</v>
      </c>
      <c r="E35" s="268"/>
      <c r="F35" s="268">
        <v>0.16007060000000001</v>
      </c>
      <c r="G35" s="268"/>
      <c r="H35" s="268">
        <v>1</v>
      </c>
      <c r="I35" s="268"/>
      <c r="J35" s="268">
        <v>1</v>
      </c>
      <c r="K35" s="268"/>
      <c r="L35" s="268">
        <v>1</v>
      </c>
      <c r="M35" s="268"/>
      <c r="N35" s="268"/>
      <c r="O35" s="274"/>
      <c r="P35" s="275"/>
      <c r="Q35" s="267"/>
      <c r="R35" s="274"/>
      <c r="S35" s="271"/>
      <c r="T35" s="272"/>
    </row>
    <row r="36" spans="1:20" s="349" customFormat="1" x14ac:dyDescent="0.3">
      <c r="A36" s="365"/>
      <c r="B36" s="358" t="s">
        <v>8</v>
      </c>
      <c r="C36" s="358"/>
      <c r="D36" s="366" t="s">
        <v>240</v>
      </c>
      <c r="E36" s="366"/>
      <c r="F36" s="366" t="s">
        <v>220</v>
      </c>
      <c r="G36" s="366"/>
      <c r="H36" s="366" t="s">
        <v>247</v>
      </c>
      <c r="I36" s="366"/>
      <c r="J36" s="366" t="s">
        <v>250</v>
      </c>
      <c r="K36" s="366"/>
      <c r="L36" s="366" t="s">
        <v>252</v>
      </c>
      <c r="M36" s="366"/>
      <c r="N36" s="366"/>
      <c r="O36" s="379"/>
      <c r="P36" s="380"/>
      <c r="Q36" s="358"/>
      <c r="R36" s="358"/>
      <c r="S36" s="361"/>
      <c r="T36" s="348"/>
    </row>
    <row r="37" spans="1:20" s="349" customFormat="1" x14ac:dyDescent="0.3">
      <c r="A37" s="365"/>
      <c r="B37" s="358" t="s">
        <v>9</v>
      </c>
      <c r="C37" s="381"/>
      <c r="D37" s="380">
        <v>1.81E-3</v>
      </c>
      <c r="E37" s="380"/>
      <c r="F37" s="380">
        <v>1.59731E-2</v>
      </c>
      <c r="G37" s="380"/>
      <c r="H37" s="380">
        <v>2.1473099999999998E-2</v>
      </c>
      <c r="I37" s="380"/>
      <c r="J37" s="380">
        <v>2.4473100000000001E-2</v>
      </c>
      <c r="K37" s="380"/>
      <c r="L37" s="380">
        <v>2.7973100000000001E-2</v>
      </c>
      <c r="M37" s="379"/>
      <c r="N37" s="380"/>
      <c r="O37" s="366"/>
      <c r="P37" s="366"/>
      <c r="Q37" s="358"/>
      <c r="R37" s="379"/>
      <c r="S37" s="361"/>
      <c r="T37" s="348"/>
    </row>
    <row r="38" spans="1:20" s="349" customFormat="1" x14ac:dyDescent="0.3">
      <c r="A38" s="365"/>
      <c r="B38" s="358" t="s">
        <v>10</v>
      </c>
      <c r="C38" s="381"/>
      <c r="D38" s="380">
        <v>1.7899999999999999E-3</v>
      </c>
      <c r="E38" s="380"/>
      <c r="F38" s="380">
        <v>1.4307500000000001E-2</v>
      </c>
      <c r="G38" s="380"/>
      <c r="H38" s="380">
        <v>1.9807499999999999E-2</v>
      </c>
      <c r="I38" s="380"/>
      <c r="J38" s="380">
        <v>2.2807500000000001E-2</v>
      </c>
      <c r="K38" s="380"/>
      <c r="L38" s="380">
        <v>2.6307500000000001E-2</v>
      </c>
      <c r="M38" s="379"/>
      <c r="N38" s="380"/>
      <c r="O38" s="366"/>
      <c r="P38" s="366"/>
      <c r="Q38" s="358"/>
      <c r="R38" s="358"/>
      <c r="S38" s="361"/>
      <c r="T38" s="348"/>
    </row>
    <row r="39" spans="1:20" s="349" customFormat="1" x14ac:dyDescent="0.3">
      <c r="A39" s="365"/>
      <c r="B39" s="358" t="s">
        <v>235</v>
      </c>
      <c r="C39" s="381"/>
      <c r="D39" s="382" t="s">
        <v>260</v>
      </c>
      <c r="E39" s="380"/>
      <c r="F39" s="380" t="s">
        <v>220</v>
      </c>
      <c r="G39" s="380"/>
      <c r="H39" s="380" t="s">
        <v>247</v>
      </c>
      <c r="I39" s="380"/>
      <c r="J39" s="366" t="s">
        <v>250</v>
      </c>
      <c r="K39" s="380"/>
      <c r="L39" s="380" t="s">
        <v>252</v>
      </c>
      <c r="M39" s="379"/>
      <c r="N39" s="380"/>
      <c r="O39" s="366"/>
      <c r="P39" s="366"/>
      <c r="Q39" s="358"/>
      <c r="R39" s="358"/>
      <c r="S39" s="361"/>
      <c r="T39" s="348"/>
    </row>
    <row r="40" spans="1:20" s="349" customFormat="1" x14ac:dyDescent="0.3">
      <c r="A40" s="365"/>
      <c r="B40" s="358" t="s">
        <v>236</v>
      </c>
      <c r="C40" s="381"/>
      <c r="D40" s="380">
        <v>1.83731E-2</v>
      </c>
      <c r="E40" s="380"/>
      <c r="F40" s="380">
        <f>+F37</f>
        <v>1.59731E-2</v>
      </c>
      <c r="G40" s="380"/>
      <c r="H40" s="380">
        <f>+H37</f>
        <v>2.1473099999999998E-2</v>
      </c>
      <c r="I40" s="380"/>
      <c r="J40" s="380">
        <f>+J37</f>
        <v>2.4473100000000001E-2</v>
      </c>
      <c r="K40" s="380"/>
      <c r="L40" s="380">
        <f>+L37</f>
        <v>2.7973100000000001E-2</v>
      </c>
      <c r="M40" s="379"/>
      <c r="N40" s="380"/>
      <c r="O40" s="366"/>
      <c r="P40" s="366"/>
      <c r="Q40" s="358"/>
      <c r="R40" s="379">
        <f>SUMPRODUCT(D40:L40,D32:L32)/R32</f>
        <v>2.0039598855973544E-2</v>
      </c>
      <c r="S40" s="361"/>
      <c r="T40" s="348"/>
    </row>
    <row r="41" spans="1:20" s="349" customFormat="1" x14ac:dyDescent="0.3">
      <c r="A41" s="365"/>
      <c r="B41" s="358" t="s">
        <v>237</v>
      </c>
      <c r="C41" s="381"/>
      <c r="D41" s="380">
        <v>1.67075E-2</v>
      </c>
      <c r="E41" s="380"/>
      <c r="F41" s="380">
        <f>+F38</f>
        <v>1.4307500000000001E-2</v>
      </c>
      <c r="G41" s="380"/>
      <c r="H41" s="380">
        <f>+H38</f>
        <v>1.9807499999999999E-2</v>
      </c>
      <c r="I41" s="380"/>
      <c r="J41" s="380">
        <f>+J38</f>
        <v>2.2807500000000001E-2</v>
      </c>
      <c r="K41" s="380"/>
      <c r="L41" s="380">
        <f>+L38</f>
        <v>2.6307500000000001E-2</v>
      </c>
      <c r="M41" s="379"/>
      <c r="N41" s="380"/>
      <c r="O41" s="366"/>
      <c r="P41" s="366"/>
      <c r="Q41" s="358"/>
      <c r="R41" s="358"/>
      <c r="S41" s="361"/>
      <c r="T41" s="348"/>
    </row>
    <row r="42" spans="1:20" s="349" customFormat="1" x14ac:dyDescent="0.3">
      <c r="A42" s="365"/>
      <c r="B42" s="358" t="s">
        <v>238</v>
      </c>
      <c r="C42" s="358"/>
      <c r="D42" s="381">
        <v>43631</v>
      </c>
      <c r="E42" s="381"/>
      <c r="F42" s="381">
        <v>43631</v>
      </c>
      <c r="G42" s="381"/>
      <c r="H42" s="381">
        <v>43631</v>
      </c>
      <c r="I42" s="381"/>
      <c r="J42" s="381">
        <v>43631</v>
      </c>
      <c r="K42" s="381"/>
      <c r="L42" s="381">
        <v>43631</v>
      </c>
      <c r="M42" s="381"/>
      <c r="N42" s="381"/>
      <c r="O42" s="366"/>
      <c r="P42" s="366"/>
      <c r="Q42" s="358"/>
      <c r="R42" s="358"/>
      <c r="S42" s="361"/>
      <c r="T42" s="348"/>
    </row>
    <row r="43" spans="1:20" s="349" customFormat="1" x14ac:dyDescent="0.3">
      <c r="A43" s="365"/>
      <c r="B43" s="358" t="s">
        <v>11</v>
      </c>
      <c r="C43" s="358"/>
      <c r="D43" s="381">
        <v>43631</v>
      </c>
      <c r="E43" s="381"/>
      <c r="F43" s="381">
        <v>43631</v>
      </c>
      <c r="G43" s="366"/>
      <c r="H43" s="381">
        <v>43631</v>
      </c>
      <c r="I43" s="366"/>
      <c r="J43" s="381">
        <v>43631</v>
      </c>
      <c r="K43" s="366"/>
      <c r="L43" s="381" t="s">
        <v>97</v>
      </c>
      <c r="M43" s="366"/>
      <c r="N43" s="381"/>
      <c r="O43" s="366"/>
      <c r="P43" s="366"/>
      <c r="Q43" s="358"/>
      <c r="R43" s="358"/>
      <c r="S43" s="361"/>
      <c r="T43" s="348"/>
    </row>
    <row r="44" spans="1:20" s="349" customFormat="1" x14ac:dyDescent="0.3">
      <c r="A44" s="365"/>
      <c r="B44" s="358" t="s">
        <v>98</v>
      </c>
      <c r="C44" s="358"/>
      <c r="D44" s="366" t="s">
        <v>241</v>
      </c>
      <c r="E44" s="366"/>
      <c r="F44" s="366" t="s">
        <v>246</v>
      </c>
      <c r="G44" s="366"/>
      <c r="H44" s="366" t="s">
        <v>248</v>
      </c>
      <c r="I44" s="366"/>
      <c r="J44" s="366" t="s">
        <v>251</v>
      </c>
      <c r="K44" s="366"/>
      <c r="L44" s="366" t="s">
        <v>97</v>
      </c>
      <c r="M44" s="366"/>
      <c r="N44" s="366"/>
      <c r="O44" s="383"/>
      <c r="P44" s="383"/>
      <c r="Q44" s="383"/>
      <c r="R44" s="383"/>
      <c r="S44" s="361"/>
      <c r="T44" s="348"/>
    </row>
    <row r="45" spans="1:20" s="349" customFormat="1" x14ac:dyDescent="0.3">
      <c r="A45" s="365"/>
      <c r="B45" s="358" t="s">
        <v>239</v>
      </c>
      <c r="C45" s="358"/>
      <c r="D45" s="366" t="s">
        <v>273</v>
      </c>
      <c r="E45" s="366"/>
      <c r="F45" s="366" t="s">
        <v>246</v>
      </c>
      <c r="G45" s="366"/>
      <c r="H45" s="366" t="s">
        <v>248</v>
      </c>
      <c r="I45" s="366"/>
      <c r="J45" s="366" t="s">
        <v>251</v>
      </c>
      <c r="K45" s="366"/>
      <c r="L45" s="366" t="s">
        <v>97</v>
      </c>
      <c r="M45" s="366"/>
      <c r="N45" s="366"/>
      <c r="O45" s="383"/>
      <c r="P45" s="383"/>
      <c r="Q45" s="383"/>
      <c r="R45" s="383"/>
      <c r="S45" s="361"/>
      <c r="T45" s="348"/>
    </row>
    <row r="46" spans="1:20" s="349" customFormat="1" x14ac:dyDescent="0.3">
      <c r="A46" s="365"/>
      <c r="B46" s="358"/>
      <c r="C46" s="358"/>
      <c r="D46" s="366"/>
      <c r="E46" s="366"/>
      <c r="F46" s="366"/>
      <c r="G46" s="366"/>
      <c r="H46" s="366"/>
      <c r="I46" s="366"/>
      <c r="J46" s="366"/>
      <c r="K46" s="366"/>
      <c r="L46" s="366"/>
      <c r="M46" s="366"/>
      <c r="N46" s="366"/>
      <c r="O46" s="358"/>
      <c r="P46" s="358"/>
      <c r="Q46" s="358"/>
      <c r="R46" s="379" t="s">
        <v>130</v>
      </c>
      <c r="S46" s="361"/>
      <c r="T46" s="348"/>
    </row>
    <row r="47" spans="1:20" s="349" customFormat="1" x14ac:dyDescent="0.3">
      <c r="A47" s="365"/>
      <c r="B47" s="358" t="s">
        <v>253</v>
      </c>
      <c r="C47" s="358"/>
      <c r="D47" s="366"/>
      <c r="E47" s="366"/>
      <c r="F47" s="366"/>
      <c r="G47" s="366"/>
      <c r="H47" s="366"/>
      <c r="I47" s="366"/>
      <c r="J47" s="366"/>
      <c r="K47" s="366"/>
      <c r="L47" s="366"/>
      <c r="M47" s="366"/>
      <c r="N47" s="366"/>
      <c r="O47" s="358"/>
      <c r="P47" s="358"/>
      <c r="Q47" s="358"/>
      <c r="R47" s="384">
        <f>SUM(H31:L31)/(D31+F31)</f>
        <v>0.11731450342446621</v>
      </c>
      <c r="S47" s="361"/>
      <c r="T47" s="348"/>
    </row>
    <row r="48" spans="1:20" s="349" customFormat="1" x14ac:dyDescent="0.3">
      <c r="A48" s="365"/>
      <c r="B48" s="358" t="s">
        <v>254</v>
      </c>
      <c r="C48" s="358"/>
      <c r="D48" s="358"/>
      <c r="E48" s="358"/>
      <c r="F48" s="358"/>
      <c r="G48" s="358"/>
      <c r="H48" s="358"/>
      <c r="I48" s="358"/>
      <c r="J48" s="358"/>
      <c r="K48" s="358"/>
      <c r="L48" s="358"/>
      <c r="M48" s="358"/>
      <c r="N48" s="358"/>
      <c r="O48" s="358"/>
      <c r="P48" s="358"/>
      <c r="Q48" s="358"/>
      <c r="R48" s="384">
        <f>SUM(H33:L33)/(D33+F33)</f>
        <v>0.91377395282974938</v>
      </c>
      <c r="S48" s="361"/>
      <c r="T48" s="348"/>
    </row>
    <row r="49" spans="1:21" s="349" customFormat="1" x14ac:dyDescent="0.3">
      <c r="A49" s="365"/>
      <c r="B49" s="358" t="s">
        <v>255</v>
      </c>
      <c r="C49" s="358"/>
      <c r="D49" s="358"/>
      <c r="E49" s="358"/>
      <c r="F49" s="358"/>
      <c r="G49" s="358"/>
      <c r="H49" s="358"/>
      <c r="I49" s="358"/>
      <c r="J49" s="358"/>
      <c r="K49" s="358"/>
      <c r="L49" s="358"/>
      <c r="M49" s="358"/>
      <c r="N49" s="358"/>
      <c r="O49" s="358"/>
      <c r="P49" s="366"/>
      <c r="Q49" s="366"/>
      <c r="R49" s="368" t="s">
        <v>149</v>
      </c>
      <c r="S49" s="361"/>
      <c r="T49" s="348"/>
    </row>
    <row r="50" spans="1:21" s="349" customFormat="1" x14ac:dyDescent="0.3">
      <c r="A50" s="365"/>
      <c r="B50" s="358"/>
      <c r="C50" s="358"/>
      <c r="D50" s="358"/>
      <c r="E50" s="358"/>
      <c r="F50" s="358"/>
      <c r="G50" s="358"/>
      <c r="H50" s="358"/>
      <c r="I50" s="358"/>
      <c r="J50" s="358"/>
      <c r="K50" s="358"/>
      <c r="L50" s="358"/>
      <c r="M50" s="358"/>
      <c r="N50" s="358"/>
      <c r="O50" s="358"/>
      <c r="P50" s="358"/>
      <c r="Q50" s="358"/>
      <c r="R50" s="385"/>
      <c r="S50" s="361"/>
      <c r="T50" s="348"/>
    </row>
    <row r="51" spans="1:21" s="349" customFormat="1" x14ac:dyDescent="0.3">
      <c r="A51" s="365"/>
      <c r="B51" s="358" t="s">
        <v>225</v>
      </c>
      <c r="C51" s="358"/>
      <c r="D51" s="358"/>
      <c r="E51" s="358"/>
      <c r="F51" s="358"/>
      <c r="G51" s="358"/>
      <c r="H51" s="358"/>
      <c r="I51" s="358"/>
      <c r="J51" s="358"/>
      <c r="K51" s="358"/>
      <c r="L51" s="358"/>
      <c r="M51" s="358"/>
      <c r="N51" s="358"/>
      <c r="O51" s="358"/>
      <c r="P51" s="358"/>
      <c r="Q51" s="358"/>
      <c r="R51" s="386" t="s">
        <v>91</v>
      </c>
      <c r="S51" s="361"/>
      <c r="T51" s="348"/>
    </row>
    <row r="52" spans="1:21" s="349" customFormat="1" x14ac:dyDescent="0.3">
      <c r="A52" s="365"/>
      <c r="B52" s="362" t="s">
        <v>131</v>
      </c>
      <c r="C52" s="362"/>
      <c r="D52" s="362"/>
      <c r="E52" s="362"/>
      <c r="F52" s="362"/>
      <c r="G52" s="362"/>
      <c r="H52" s="362"/>
      <c r="I52" s="362"/>
      <c r="J52" s="362"/>
      <c r="K52" s="362"/>
      <c r="L52" s="362"/>
      <c r="M52" s="362"/>
      <c r="N52" s="362"/>
      <c r="O52" s="362"/>
      <c r="P52" s="387"/>
      <c r="Q52" s="387"/>
      <c r="R52" s="388">
        <v>43451</v>
      </c>
      <c r="S52" s="361"/>
      <c r="T52" s="348"/>
    </row>
    <row r="53" spans="1:21" s="349" customFormat="1" x14ac:dyDescent="0.3">
      <c r="A53" s="365"/>
      <c r="B53" s="358" t="s">
        <v>99</v>
      </c>
      <c r="C53" s="358"/>
      <c r="D53" s="389"/>
      <c r="E53" s="389"/>
      <c r="F53" s="389"/>
      <c r="G53" s="389"/>
      <c r="H53" s="389"/>
      <c r="I53" s="389"/>
      <c r="J53" s="389"/>
      <c r="K53" s="389"/>
      <c r="L53" s="389"/>
      <c r="M53" s="389"/>
      <c r="N53" s="358">
        <f>+R53-P53+1</f>
        <v>94</v>
      </c>
      <c r="O53" s="358"/>
      <c r="P53" s="390">
        <v>43266</v>
      </c>
      <c r="Q53" s="391"/>
      <c r="R53" s="390">
        <v>43359</v>
      </c>
      <c r="S53" s="361"/>
      <c r="T53" s="348"/>
    </row>
    <row r="54" spans="1:21" s="349" customFormat="1" x14ac:dyDescent="0.3">
      <c r="A54" s="365"/>
      <c r="B54" s="358" t="s">
        <v>100</v>
      </c>
      <c r="C54" s="358"/>
      <c r="D54" s="358"/>
      <c r="E54" s="358"/>
      <c r="F54" s="358"/>
      <c r="G54" s="358"/>
      <c r="H54" s="358"/>
      <c r="I54" s="358"/>
      <c r="J54" s="358"/>
      <c r="K54" s="358"/>
      <c r="L54" s="358"/>
      <c r="M54" s="358"/>
      <c r="N54" s="358">
        <f>+R54-P54+1</f>
        <v>91</v>
      </c>
      <c r="O54" s="358"/>
      <c r="P54" s="390">
        <v>43360</v>
      </c>
      <c r="Q54" s="391"/>
      <c r="R54" s="390">
        <v>43450</v>
      </c>
      <c r="S54" s="361"/>
      <c r="T54" s="348"/>
    </row>
    <row r="55" spans="1:21" s="349" customFormat="1" x14ac:dyDescent="0.3">
      <c r="A55" s="365"/>
      <c r="B55" s="358" t="s">
        <v>261</v>
      </c>
      <c r="C55" s="358"/>
      <c r="D55" s="358"/>
      <c r="E55" s="358"/>
      <c r="F55" s="358"/>
      <c r="G55" s="358"/>
      <c r="H55" s="358"/>
      <c r="I55" s="358"/>
      <c r="J55" s="358"/>
      <c r="K55" s="358"/>
      <c r="L55" s="358"/>
      <c r="M55" s="358"/>
      <c r="N55" s="358"/>
      <c r="O55" s="358"/>
      <c r="P55" s="390"/>
      <c r="Q55" s="391"/>
      <c r="R55" s="390" t="s">
        <v>263</v>
      </c>
      <c r="S55" s="361"/>
      <c r="T55" s="348"/>
    </row>
    <row r="56" spans="1:21" s="349" customFormat="1" x14ac:dyDescent="0.3">
      <c r="A56" s="365"/>
      <c r="B56" s="358" t="s">
        <v>262</v>
      </c>
      <c r="C56" s="358"/>
      <c r="D56" s="358"/>
      <c r="E56" s="358"/>
      <c r="F56" s="358"/>
      <c r="G56" s="358"/>
      <c r="H56" s="358"/>
      <c r="I56" s="358"/>
      <c r="J56" s="358"/>
      <c r="K56" s="358"/>
      <c r="L56" s="358"/>
      <c r="M56" s="358"/>
      <c r="N56" s="358"/>
      <c r="O56" s="358"/>
      <c r="P56" s="390"/>
      <c r="Q56" s="391"/>
      <c r="R56" s="390" t="s">
        <v>118</v>
      </c>
      <c r="S56" s="361"/>
      <c r="T56" s="348"/>
      <c r="U56" s="392"/>
    </row>
    <row r="57" spans="1:21" s="349" customFormat="1" x14ac:dyDescent="0.3">
      <c r="A57" s="365"/>
      <c r="B57" s="358" t="s">
        <v>12</v>
      </c>
      <c r="C57" s="358"/>
      <c r="D57" s="358"/>
      <c r="E57" s="358"/>
      <c r="F57" s="358"/>
      <c r="G57" s="358"/>
      <c r="H57" s="358"/>
      <c r="I57" s="358"/>
      <c r="J57" s="358"/>
      <c r="K57" s="358"/>
      <c r="L57" s="358"/>
      <c r="M57" s="358"/>
      <c r="N57" s="358"/>
      <c r="O57" s="358"/>
      <c r="P57" s="390"/>
      <c r="Q57" s="391"/>
      <c r="R57" s="390">
        <v>43437</v>
      </c>
      <c r="S57" s="361"/>
      <c r="T57" s="348"/>
    </row>
    <row r="58" spans="1:21" s="349" customFormat="1" x14ac:dyDescent="0.3">
      <c r="A58" s="344"/>
      <c r="B58" s="393"/>
      <c r="C58" s="393"/>
      <c r="D58" s="393"/>
      <c r="E58" s="393"/>
      <c r="F58" s="393"/>
      <c r="G58" s="393"/>
      <c r="H58" s="393"/>
      <c r="I58" s="393"/>
      <c r="J58" s="393"/>
      <c r="K58" s="393"/>
      <c r="L58" s="393"/>
      <c r="M58" s="393"/>
      <c r="N58" s="393"/>
      <c r="O58" s="393"/>
      <c r="P58" s="394"/>
      <c r="Q58" s="395"/>
      <c r="R58" s="394"/>
      <c r="S58" s="347"/>
      <c r="T58" s="348"/>
    </row>
    <row r="59" spans="1:21" s="349" customFormat="1" x14ac:dyDescent="0.3">
      <c r="A59" s="344"/>
      <c r="B59" s="346"/>
      <c r="C59" s="346"/>
      <c r="D59" s="346"/>
      <c r="E59" s="346"/>
      <c r="F59" s="346"/>
      <c r="G59" s="346"/>
      <c r="H59" s="346"/>
      <c r="I59" s="346"/>
      <c r="J59" s="346"/>
      <c r="K59" s="346"/>
      <c r="L59" s="346"/>
      <c r="M59" s="346"/>
      <c r="N59" s="346"/>
      <c r="O59" s="346"/>
      <c r="P59" s="396"/>
      <c r="Q59" s="397"/>
      <c r="R59" s="396"/>
      <c r="S59" s="347"/>
      <c r="T59" s="348"/>
    </row>
    <row r="60" spans="1:21" s="349" customFormat="1" ht="18.600000000000001" thickBot="1" x14ac:dyDescent="0.4">
      <c r="A60" s="398"/>
      <c r="B60" s="399" t="s">
        <v>299</v>
      </c>
      <c r="C60" s="400"/>
      <c r="D60" s="400"/>
      <c r="E60" s="400"/>
      <c r="F60" s="400"/>
      <c r="G60" s="400"/>
      <c r="H60" s="400"/>
      <c r="I60" s="400"/>
      <c r="J60" s="400"/>
      <c r="K60" s="400"/>
      <c r="L60" s="400"/>
      <c r="M60" s="400"/>
      <c r="N60" s="400"/>
      <c r="O60" s="400"/>
      <c r="P60" s="400"/>
      <c r="Q60" s="400"/>
      <c r="R60" s="401"/>
      <c r="S60" s="402"/>
      <c r="T60" s="348"/>
    </row>
    <row r="61" spans="1:21" x14ac:dyDescent="0.3">
      <c r="A61" s="443"/>
      <c r="B61" s="450" t="s">
        <v>13</v>
      </c>
      <c r="C61" s="444"/>
      <c r="D61" s="444"/>
      <c r="E61" s="444"/>
      <c r="F61" s="444"/>
      <c r="G61" s="444"/>
      <c r="H61" s="444"/>
      <c r="I61" s="444"/>
      <c r="J61" s="444"/>
      <c r="K61" s="444"/>
      <c r="L61" s="444"/>
      <c r="M61" s="444"/>
      <c r="N61" s="444"/>
      <c r="O61" s="444"/>
      <c r="P61" s="444"/>
      <c r="Q61" s="444"/>
      <c r="R61" s="451"/>
      <c r="S61" s="444"/>
      <c r="T61" s="247"/>
    </row>
    <row r="62" spans="1:21" x14ac:dyDescent="0.3">
      <c r="A62" s="249"/>
      <c r="B62" s="258"/>
      <c r="C62" s="251"/>
      <c r="D62" s="251"/>
      <c r="E62" s="251"/>
      <c r="F62" s="251"/>
      <c r="G62" s="251"/>
      <c r="H62" s="251"/>
      <c r="I62" s="251"/>
      <c r="J62" s="251"/>
      <c r="K62" s="251"/>
      <c r="L62" s="251"/>
      <c r="M62" s="251"/>
      <c r="N62" s="251"/>
      <c r="O62" s="251"/>
      <c r="P62" s="251"/>
      <c r="Q62" s="251"/>
      <c r="R62" s="279"/>
      <c r="S62" s="252"/>
      <c r="T62" s="247"/>
    </row>
    <row r="63" spans="1:21" s="273" customFormat="1" ht="46.8" x14ac:dyDescent="0.3">
      <c r="A63" s="280"/>
      <c r="B63" s="281" t="s">
        <v>14</v>
      </c>
      <c r="C63" s="282"/>
      <c r="D63" s="282"/>
      <c r="E63" s="282"/>
      <c r="F63" s="282" t="s">
        <v>76</v>
      </c>
      <c r="G63" s="282"/>
      <c r="H63" s="282" t="s">
        <v>78</v>
      </c>
      <c r="I63" s="282"/>
      <c r="J63" s="282" t="s">
        <v>162</v>
      </c>
      <c r="K63" s="282"/>
      <c r="L63" s="282" t="s">
        <v>163</v>
      </c>
      <c r="M63" s="282"/>
      <c r="N63" s="282" t="s">
        <v>81</v>
      </c>
      <c r="O63" s="282"/>
      <c r="P63" s="282" t="s">
        <v>86</v>
      </c>
      <c r="Q63" s="282"/>
      <c r="R63" s="283" t="s">
        <v>92</v>
      </c>
      <c r="S63" s="284"/>
      <c r="T63" s="272"/>
    </row>
    <row r="64" spans="1:21" s="349" customFormat="1" x14ac:dyDescent="0.3">
      <c r="A64" s="365"/>
      <c r="B64" s="358" t="s">
        <v>15</v>
      </c>
      <c r="C64" s="403"/>
      <c r="D64" s="403"/>
      <c r="E64" s="403"/>
      <c r="F64" s="403">
        <v>244234</v>
      </c>
      <c r="G64" s="403"/>
      <c r="H64" s="404">
        <v>74480</v>
      </c>
      <c r="I64" s="403"/>
      <c r="J64" s="404">
        <v>72</v>
      </c>
      <c r="K64" s="403"/>
      <c r="L64" s="403">
        <v>5651</v>
      </c>
      <c r="M64" s="403"/>
      <c r="N64" s="403">
        <v>0</v>
      </c>
      <c r="O64" s="403"/>
      <c r="P64" s="403">
        <f>942+1460+383</f>
        <v>2785</v>
      </c>
      <c r="Q64" s="403"/>
      <c r="R64" s="404">
        <f>H64-J64-L64+N64-P64</f>
        <v>65972</v>
      </c>
      <c r="S64" s="361"/>
      <c r="T64" s="348"/>
    </row>
    <row r="65" spans="1:20" s="349" customFormat="1" x14ac:dyDescent="0.3">
      <c r="A65" s="365"/>
      <c r="B65" s="358" t="s">
        <v>16</v>
      </c>
      <c r="C65" s="403"/>
      <c r="D65" s="403"/>
      <c r="E65" s="403"/>
      <c r="F65" s="403">
        <v>0</v>
      </c>
      <c r="G65" s="403"/>
      <c r="H65" s="404">
        <v>0</v>
      </c>
      <c r="I65" s="403"/>
      <c r="J65" s="404">
        <v>0</v>
      </c>
      <c r="K65" s="403"/>
      <c r="L65" s="403">
        <v>0</v>
      </c>
      <c r="M65" s="403"/>
      <c r="N65" s="403">
        <v>0</v>
      </c>
      <c r="O65" s="403"/>
      <c r="P65" s="403">
        <v>0</v>
      </c>
      <c r="Q65" s="403"/>
      <c r="R65" s="404">
        <f>F65-J65-L65</f>
        <v>0</v>
      </c>
      <c r="S65" s="361"/>
      <c r="T65" s="348"/>
    </row>
    <row r="66" spans="1:20" s="349" customFormat="1" x14ac:dyDescent="0.3">
      <c r="A66" s="365"/>
      <c r="B66" s="358"/>
      <c r="C66" s="403"/>
      <c r="D66" s="403"/>
      <c r="E66" s="403"/>
      <c r="F66" s="403"/>
      <c r="G66" s="403"/>
      <c r="H66" s="404"/>
      <c r="I66" s="403"/>
      <c r="J66" s="404"/>
      <c r="K66" s="403"/>
      <c r="L66" s="403"/>
      <c r="M66" s="403"/>
      <c r="N66" s="403"/>
      <c r="O66" s="403"/>
      <c r="P66" s="403"/>
      <c r="Q66" s="403"/>
      <c r="R66" s="404"/>
      <c r="S66" s="361"/>
      <c r="T66" s="348"/>
    </row>
    <row r="67" spans="1:20" s="349" customFormat="1" x14ac:dyDescent="0.3">
      <c r="A67" s="365"/>
      <c r="B67" s="358" t="s">
        <v>17</v>
      </c>
      <c r="C67" s="403"/>
      <c r="D67" s="403"/>
      <c r="E67" s="403"/>
      <c r="F67" s="403">
        <f>SUM(F64:F66)</f>
        <v>244234</v>
      </c>
      <c r="G67" s="403"/>
      <c r="H67" s="403">
        <f>H64+H65</f>
        <v>74480</v>
      </c>
      <c r="I67" s="403"/>
      <c r="J67" s="403">
        <f>J64+J65</f>
        <v>72</v>
      </c>
      <c r="K67" s="403"/>
      <c r="L67" s="403">
        <f>SUM(L64:L66)</f>
        <v>5651</v>
      </c>
      <c r="M67" s="403"/>
      <c r="N67" s="403">
        <f>SUM(N64:N66)</f>
        <v>0</v>
      </c>
      <c r="O67" s="403"/>
      <c r="P67" s="403">
        <f>SUM(P64:P66)</f>
        <v>2785</v>
      </c>
      <c r="Q67" s="403"/>
      <c r="R67" s="403">
        <f>SUM(R64:R66)</f>
        <v>65972</v>
      </c>
      <c r="S67" s="361"/>
      <c r="T67" s="348"/>
    </row>
    <row r="68" spans="1:20" x14ac:dyDescent="0.3">
      <c r="A68" s="249"/>
      <c r="B68" s="277"/>
      <c r="C68" s="287"/>
      <c r="D68" s="287"/>
      <c r="E68" s="287"/>
      <c r="F68" s="287"/>
      <c r="G68" s="287"/>
      <c r="H68" s="287"/>
      <c r="I68" s="287"/>
      <c r="J68" s="287"/>
      <c r="K68" s="287"/>
      <c r="L68" s="287"/>
      <c r="M68" s="287"/>
      <c r="N68" s="287"/>
      <c r="O68" s="287"/>
      <c r="P68" s="287"/>
      <c r="Q68" s="287"/>
      <c r="R68" s="288"/>
      <c r="S68" s="252"/>
      <c r="T68" s="247"/>
    </row>
    <row r="69" spans="1:20" x14ac:dyDescent="0.3">
      <c r="A69" s="249"/>
      <c r="B69" s="254" t="s">
        <v>18</v>
      </c>
      <c r="C69" s="289"/>
      <c r="D69" s="289"/>
      <c r="E69" s="289"/>
      <c r="F69" s="289"/>
      <c r="G69" s="289"/>
      <c r="H69" s="289"/>
      <c r="I69" s="289"/>
      <c r="J69" s="289"/>
      <c r="K69" s="289"/>
      <c r="L69" s="289"/>
      <c r="M69" s="289"/>
      <c r="N69" s="289"/>
      <c r="O69" s="289"/>
      <c r="P69" s="289"/>
      <c r="Q69" s="289"/>
      <c r="R69" s="290"/>
      <c r="S69" s="252"/>
      <c r="T69" s="247"/>
    </row>
    <row r="70" spans="1:20" x14ac:dyDescent="0.3">
      <c r="A70" s="249"/>
      <c r="B70" s="251"/>
      <c r="C70" s="289"/>
      <c r="D70" s="289"/>
      <c r="E70" s="289"/>
      <c r="F70" s="289"/>
      <c r="G70" s="289"/>
      <c r="H70" s="289"/>
      <c r="I70" s="289"/>
      <c r="J70" s="289"/>
      <c r="K70" s="289"/>
      <c r="L70" s="289"/>
      <c r="M70" s="289"/>
      <c r="N70" s="289"/>
      <c r="O70" s="289"/>
      <c r="P70" s="289"/>
      <c r="Q70" s="289"/>
      <c r="R70" s="290"/>
      <c r="S70" s="252"/>
      <c r="T70" s="247"/>
    </row>
    <row r="71" spans="1:20" s="349" customFormat="1" x14ac:dyDescent="0.3">
      <c r="A71" s="365"/>
      <c r="B71" s="358" t="s">
        <v>15</v>
      </c>
      <c r="C71" s="403"/>
      <c r="D71" s="403"/>
      <c r="E71" s="403"/>
      <c r="F71" s="403"/>
      <c r="G71" s="403"/>
      <c r="H71" s="403"/>
      <c r="I71" s="403"/>
      <c r="J71" s="403"/>
      <c r="K71" s="403"/>
      <c r="L71" s="403"/>
      <c r="M71" s="403"/>
      <c r="N71" s="403"/>
      <c r="O71" s="403"/>
      <c r="P71" s="403"/>
      <c r="Q71" s="403"/>
      <c r="R71" s="403"/>
      <c r="S71" s="361"/>
      <c r="T71" s="348"/>
    </row>
    <row r="72" spans="1:20" s="349" customFormat="1" x14ac:dyDescent="0.3">
      <c r="A72" s="365"/>
      <c r="B72" s="358" t="s">
        <v>16</v>
      </c>
      <c r="C72" s="403"/>
      <c r="D72" s="403"/>
      <c r="E72" s="403"/>
      <c r="F72" s="403"/>
      <c r="G72" s="403"/>
      <c r="H72" s="403"/>
      <c r="I72" s="403"/>
      <c r="J72" s="403"/>
      <c r="K72" s="403"/>
      <c r="L72" s="403"/>
      <c r="M72" s="403"/>
      <c r="N72" s="403"/>
      <c r="O72" s="403"/>
      <c r="P72" s="403"/>
      <c r="Q72" s="403"/>
      <c r="R72" s="403"/>
      <c r="S72" s="361"/>
      <c r="T72" s="348"/>
    </row>
    <row r="73" spans="1:20" s="349" customFormat="1" x14ac:dyDescent="0.3">
      <c r="A73" s="365"/>
      <c r="B73" s="358"/>
      <c r="C73" s="403"/>
      <c r="D73" s="403"/>
      <c r="E73" s="403"/>
      <c r="F73" s="403"/>
      <c r="G73" s="403"/>
      <c r="H73" s="403"/>
      <c r="I73" s="403"/>
      <c r="J73" s="403"/>
      <c r="K73" s="403"/>
      <c r="L73" s="403"/>
      <c r="M73" s="403"/>
      <c r="N73" s="403"/>
      <c r="O73" s="403"/>
      <c r="P73" s="403"/>
      <c r="Q73" s="403"/>
      <c r="R73" s="403"/>
      <c r="S73" s="361"/>
      <c r="T73" s="348"/>
    </row>
    <row r="74" spans="1:20" s="349" customFormat="1" x14ac:dyDescent="0.3">
      <c r="A74" s="365"/>
      <c r="B74" s="358" t="s">
        <v>17</v>
      </c>
      <c r="C74" s="403"/>
      <c r="D74" s="403"/>
      <c r="E74" s="403"/>
      <c r="F74" s="403"/>
      <c r="G74" s="403"/>
      <c r="H74" s="403"/>
      <c r="I74" s="403"/>
      <c r="J74" s="403"/>
      <c r="K74" s="403"/>
      <c r="L74" s="403"/>
      <c r="M74" s="403"/>
      <c r="N74" s="403"/>
      <c r="O74" s="403"/>
      <c r="P74" s="403"/>
      <c r="Q74" s="403"/>
      <c r="R74" s="403"/>
      <c r="S74" s="361"/>
      <c r="T74" s="348"/>
    </row>
    <row r="75" spans="1:20" s="349" customFormat="1" x14ac:dyDescent="0.3">
      <c r="A75" s="365"/>
      <c r="B75" s="358"/>
      <c r="C75" s="403"/>
      <c r="D75" s="403"/>
      <c r="E75" s="403"/>
      <c r="F75" s="403"/>
      <c r="G75" s="403"/>
      <c r="H75" s="403"/>
      <c r="I75" s="403"/>
      <c r="J75" s="403"/>
      <c r="K75" s="403"/>
      <c r="L75" s="403"/>
      <c r="M75" s="403"/>
      <c r="N75" s="403"/>
      <c r="O75" s="403"/>
      <c r="P75" s="403"/>
      <c r="Q75" s="403"/>
      <c r="R75" s="403"/>
      <c r="S75" s="361"/>
      <c r="T75" s="348"/>
    </row>
    <row r="76" spans="1:20" s="349" customFormat="1" x14ac:dyDescent="0.3">
      <c r="A76" s="365"/>
      <c r="B76" s="358" t="s">
        <v>19</v>
      </c>
      <c r="C76" s="403"/>
      <c r="D76" s="403"/>
      <c r="E76" s="403"/>
      <c r="F76" s="403">
        <v>0</v>
      </c>
      <c r="G76" s="403"/>
      <c r="H76" s="403">
        <v>0</v>
      </c>
      <c r="I76" s="403"/>
      <c r="J76" s="403"/>
      <c r="K76" s="403"/>
      <c r="L76" s="403"/>
      <c r="M76" s="403"/>
      <c r="N76" s="403"/>
      <c r="O76" s="403"/>
      <c r="P76" s="403"/>
      <c r="Q76" s="403"/>
      <c r="R76" s="404">
        <v>0</v>
      </c>
      <c r="S76" s="361"/>
      <c r="T76" s="348"/>
    </row>
    <row r="77" spans="1:20" s="349" customFormat="1" x14ac:dyDescent="0.3">
      <c r="A77" s="365"/>
      <c r="B77" s="358" t="s">
        <v>196</v>
      </c>
      <c r="C77" s="403"/>
      <c r="D77" s="403"/>
      <c r="E77" s="403"/>
      <c r="F77" s="403">
        <v>53165</v>
      </c>
      <c r="G77" s="403"/>
      <c r="H77" s="403">
        <v>0</v>
      </c>
      <c r="I77" s="403"/>
      <c r="J77" s="403">
        <v>0</v>
      </c>
      <c r="K77" s="403"/>
      <c r="L77" s="403">
        <v>0</v>
      </c>
      <c r="M77" s="403"/>
      <c r="N77" s="403"/>
      <c r="O77" s="403"/>
      <c r="P77" s="403"/>
      <c r="Q77" s="403"/>
      <c r="R77" s="403">
        <v>0</v>
      </c>
      <c r="S77" s="361"/>
      <c r="T77" s="348"/>
    </row>
    <row r="78" spans="1:20" s="349" customFormat="1" x14ac:dyDescent="0.3">
      <c r="A78" s="365"/>
      <c r="B78" s="358" t="s">
        <v>206</v>
      </c>
      <c r="C78" s="403"/>
      <c r="D78" s="403"/>
      <c r="E78" s="403"/>
      <c r="F78" s="403">
        <v>2610</v>
      </c>
      <c r="G78" s="403"/>
      <c r="H78" s="403">
        <v>0</v>
      </c>
      <c r="I78" s="403"/>
      <c r="J78" s="403"/>
      <c r="K78" s="403"/>
      <c r="L78" s="403"/>
      <c r="M78" s="403"/>
      <c r="N78" s="403">
        <v>0</v>
      </c>
      <c r="O78" s="403"/>
      <c r="P78" s="403"/>
      <c r="Q78" s="403"/>
      <c r="R78" s="403">
        <f>H78+N78</f>
        <v>0</v>
      </c>
      <c r="S78" s="361"/>
      <c r="T78" s="348"/>
    </row>
    <row r="79" spans="1:20" s="349" customFormat="1" x14ac:dyDescent="0.3">
      <c r="A79" s="365"/>
      <c r="B79" s="358" t="s">
        <v>20</v>
      </c>
      <c r="C79" s="403"/>
      <c r="D79" s="403"/>
      <c r="E79" s="403"/>
      <c r="F79" s="403">
        <v>0</v>
      </c>
      <c r="G79" s="403"/>
      <c r="H79" s="403">
        <v>0</v>
      </c>
      <c r="I79" s="403"/>
      <c r="J79" s="403"/>
      <c r="K79" s="403"/>
      <c r="L79" s="403"/>
      <c r="M79" s="403"/>
      <c r="N79" s="403"/>
      <c r="O79" s="403"/>
      <c r="P79" s="403"/>
      <c r="Q79" s="403"/>
      <c r="R79" s="403">
        <v>0</v>
      </c>
      <c r="S79" s="361"/>
      <c r="T79" s="348"/>
    </row>
    <row r="80" spans="1:20" s="349" customFormat="1" x14ac:dyDescent="0.3">
      <c r="A80" s="365"/>
      <c r="B80" s="358" t="s">
        <v>21</v>
      </c>
      <c r="C80" s="403"/>
      <c r="D80" s="403"/>
      <c r="E80" s="403"/>
      <c r="F80" s="403">
        <f>SUM(F67:F79)</f>
        <v>300009</v>
      </c>
      <c r="G80" s="403"/>
      <c r="H80" s="403">
        <f>SUM(H67:H79)</f>
        <v>74480</v>
      </c>
      <c r="I80" s="403"/>
      <c r="J80" s="403"/>
      <c r="K80" s="403"/>
      <c r="L80" s="403"/>
      <c r="M80" s="403"/>
      <c r="N80" s="403"/>
      <c r="O80" s="403"/>
      <c r="P80" s="403"/>
      <c r="Q80" s="403"/>
      <c r="R80" s="403">
        <f>SUM(R67:R79)</f>
        <v>65972</v>
      </c>
      <c r="S80" s="361"/>
      <c r="T80" s="348"/>
    </row>
    <row r="81" spans="1:20" x14ac:dyDescent="0.3">
      <c r="A81" s="249"/>
      <c r="B81" s="277"/>
      <c r="C81" s="287"/>
      <c r="D81" s="287"/>
      <c r="E81" s="287"/>
      <c r="F81" s="287"/>
      <c r="G81" s="287"/>
      <c r="H81" s="287"/>
      <c r="I81" s="287"/>
      <c r="J81" s="287"/>
      <c r="K81" s="287"/>
      <c r="L81" s="287"/>
      <c r="M81" s="287"/>
      <c r="N81" s="287"/>
      <c r="O81" s="287"/>
      <c r="P81" s="287"/>
      <c r="Q81" s="287"/>
      <c r="R81" s="288"/>
      <c r="S81" s="252"/>
      <c r="T81" s="247"/>
    </row>
    <row r="82" spans="1:20" x14ac:dyDescent="0.3">
      <c r="A82" s="249"/>
      <c r="B82" s="251"/>
      <c r="C82" s="251"/>
      <c r="D82" s="251"/>
      <c r="E82" s="251"/>
      <c r="F82" s="251"/>
      <c r="G82" s="251"/>
      <c r="H82" s="251"/>
      <c r="I82" s="251"/>
      <c r="J82" s="251"/>
      <c r="K82" s="251"/>
      <c r="L82" s="251"/>
      <c r="M82" s="251"/>
      <c r="N82" s="251"/>
      <c r="O82" s="251"/>
      <c r="P82" s="251"/>
      <c r="Q82" s="251"/>
      <c r="R82" s="251"/>
      <c r="S82" s="252"/>
      <c r="T82" s="247"/>
    </row>
    <row r="83" spans="1:20" x14ac:dyDescent="0.3">
      <c r="A83" s="443"/>
      <c r="B83" s="452" t="s">
        <v>22</v>
      </c>
      <c r="C83" s="452"/>
      <c r="D83" s="453"/>
      <c r="E83" s="453"/>
      <c r="F83" s="453"/>
      <c r="G83" s="453"/>
      <c r="H83" s="454" t="s">
        <v>77</v>
      </c>
      <c r="I83" s="453"/>
      <c r="J83" s="455">
        <f>+P206</f>
        <v>43434</v>
      </c>
      <c r="K83" s="453"/>
      <c r="L83" s="453"/>
      <c r="M83" s="453"/>
      <c r="N83" s="453"/>
      <c r="O83" s="453"/>
      <c r="P83" s="453" t="s">
        <v>87</v>
      </c>
      <c r="Q83" s="453"/>
      <c r="R83" s="453" t="s">
        <v>93</v>
      </c>
      <c r="S83" s="445"/>
      <c r="T83" s="247"/>
    </row>
    <row r="84" spans="1:20" s="349" customFormat="1" x14ac:dyDescent="0.3">
      <c r="A84" s="344"/>
      <c r="B84" s="393" t="s">
        <v>23</v>
      </c>
      <c r="C84" s="393"/>
      <c r="D84" s="393"/>
      <c r="E84" s="393"/>
      <c r="F84" s="393"/>
      <c r="G84" s="393"/>
      <c r="H84" s="393"/>
      <c r="I84" s="393"/>
      <c r="J84" s="393"/>
      <c r="K84" s="393"/>
      <c r="L84" s="393"/>
      <c r="M84" s="393"/>
      <c r="N84" s="393"/>
      <c r="O84" s="393"/>
      <c r="P84" s="408">
        <v>0</v>
      </c>
      <c r="Q84" s="393"/>
      <c r="R84" s="411">
        <v>0</v>
      </c>
      <c r="S84" s="347"/>
      <c r="T84" s="348"/>
    </row>
    <row r="85" spans="1:20" s="349" customFormat="1" x14ac:dyDescent="0.3">
      <c r="A85" s="365"/>
      <c r="B85" s="358" t="s">
        <v>218</v>
      </c>
      <c r="C85" s="358"/>
      <c r="D85" s="383"/>
      <c r="E85" s="383"/>
      <c r="F85" s="383"/>
      <c r="G85" s="405"/>
      <c r="H85" s="383"/>
      <c r="I85" s="358"/>
      <c r="J85" s="406"/>
      <c r="K85" s="358"/>
      <c r="L85" s="358"/>
      <c r="M85" s="358"/>
      <c r="N85" s="358"/>
      <c r="O85" s="358"/>
      <c r="P85" s="403">
        <f>-N78</f>
        <v>0</v>
      </c>
      <c r="Q85" s="358"/>
      <c r="R85" s="404"/>
      <c r="S85" s="361"/>
      <c r="T85" s="348"/>
    </row>
    <row r="86" spans="1:20" s="349" customFormat="1" x14ac:dyDescent="0.3">
      <c r="A86" s="365"/>
      <c r="B86" s="358" t="s">
        <v>219</v>
      </c>
      <c r="C86" s="358"/>
      <c r="D86" s="383"/>
      <c r="E86" s="383"/>
      <c r="F86" s="383"/>
      <c r="G86" s="405"/>
      <c r="H86" s="383"/>
      <c r="I86" s="358"/>
      <c r="J86" s="406"/>
      <c r="K86" s="358"/>
      <c r="L86" s="358"/>
      <c r="M86" s="358"/>
      <c r="N86" s="358"/>
      <c r="O86" s="358"/>
      <c r="P86" s="403">
        <v>0</v>
      </c>
      <c r="Q86" s="358"/>
      <c r="R86" s="404"/>
      <c r="S86" s="361"/>
      <c r="T86" s="348"/>
    </row>
    <row r="87" spans="1:20" s="349" customFormat="1" x14ac:dyDescent="0.3">
      <c r="A87" s="365"/>
      <c r="B87" s="358" t="s">
        <v>24</v>
      </c>
      <c r="C87" s="358"/>
      <c r="D87" s="383"/>
      <c r="E87" s="383"/>
      <c r="F87" s="383"/>
      <c r="G87" s="405"/>
      <c r="H87" s="383"/>
      <c r="I87" s="358"/>
      <c r="J87" s="406"/>
      <c r="K87" s="358"/>
      <c r="L87" s="358"/>
      <c r="M87" s="358"/>
      <c r="N87" s="358"/>
      <c r="O87" s="358"/>
      <c r="P87" s="403">
        <f>+J64+L64+P64</f>
        <v>8508</v>
      </c>
      <c r="Q87" s="358"/>
      <c r="R87" s="404"/>
      <c r="S87" s="361"/>
      <c r="T87" s="348"/>
    </row>
    <row r="88" spans="1:20" s="349" customFormat="1" x14ac:dyDescent="0.3">
      <c r="A88" s="365"/>
      <c r="B88" s="358" t="s">
        <v>135</v>
      </c>
      <c r="C88" s="358"/>
      <c r="D88" s="383"/>
      <c r="E88" s="383"/>
      <c r="F88" s="383"/>
      <c r="G88" s="405"/>
      <c r="H88" s="383"/>
      <c r="I88" s="358"/>
      <c r="J88" s="406"/>
      <c r="K88" s="358"/>
      <c r="L88" s="358"/>
      <c r="M88" s="358"/>
      <c r="N88" s="358"/>
      <c r="O88" s="358"/>
      <c r="P88" s="403"/>
      <c r="Q88" s="358"/>
      <c r="R88" s="404">
        <f>1057-140</f>
        <v>917</v>
      </c>
      <c r="S88" s="361"/>
      <c r="T88" s="348"/>
    </row>
    <row r="89" spans="1:20" s="349" customFormat="1" x14ac:dyDescent="0.3">
      <c r="A89" s="365"/>
      <c r="B89" s="358" t="s">
        <v>133</v>
      </c>
      <c r="C89" s="358"/>
      <c r="D89" s="383"/>
      <c r="E89" s="383"/>
      <c r="F89" s="383"/>
      <c r="G89" s="405"/>
      <c r="H89" s="383"/>
      <c r="I89" s="358"/>
      <c r="J89" s="406"/>
      <c r="K89" s="358"/>
      <c r="L89" s="358"/>
      <c r="M89" s="358"/>
      <c r="N89" s="358"/>
      <c r="O89" s="358"/>
      <c r="P89" s="403"/>
      <c r="Q89" s="358"/>
      <c r="R89" s="404">
        <v>27</v>
      </c>
      <c r="S89" s="361"/>
      <c r="T89" s="348"/>
    </row>
    <row r="90" spans="1:20" s="349" customFormat="1" x14ac:dyDescent="0.3">
      <c r="A90" s="365"/>
      <c r="B90" s="358" t="s">
        <v>134</v>
      </c>
      <c r="C90" s="358"/>
      <c r="D90" s="383"/>
      <c r="E90" s="383"/>
      <c r="F90" s="383"/>
      <c r="G90" s="405"/>
      <c r="H90" s="383"/>
      <c r="I90" s="358"/>
      <c r="J90" s="406"/>
      <c r="K90" s="358"/>
      <c r="L90" s="358"/>
      <c r="M90" s="358"/>
      <c r="N90" s="358"/>
      <c r="O90" s="358"/>
      <c r="P90" s="403"/>
      <c r="Q90" s="358"/>
      <c r="R90" s="404">
        <v>19</v>
      </c>
      <c r="S90" s="361"/>
      <c r="T90" s="348"/>
    </row>
    <row r="91" spans="1:20" s="349" customFormat="1" x14ac:dyDescent="0.3">
      <c r="A91" s="365"/>
      <c r="B91" s="358" t="s">
        <v>143</v>
      </c>
      <c r="C91" s="358"/>
      <c r="D91" s="383"/>
      <c r="E91" s="383"/>
      <c r="F91" s="383"/>
      <c r="G91" s="405"/>
      <c r="H91" s="383"/>
      <c r="I91" s="358"/>
      <c r="J91" s="406"/>
      <c r="K91" s="358"/>
      <c r="L91" s="358"/>
      <c r="M91" s="358"/>
      <c r="N91" s="358"/>
      <c r="O91" s="358"/>
      <c r="P91" s="403"/>
      <c r="Q91" s="358"/>
      <c r="R91" s="404">
        <v>0</v>
      </c>
      <c r="S91" s="361"/>
      <c r="T91" s="348"/>
    </row>
    <row r="92" spans="1:20" s="349" customFormat="1" x14ac:dyDescent="0.3">
      <c r="A92" s="365"/>
      <c r="B92" s="358" t="s">
        <v>145</v>
      </c>
      <c r="C92" s="358"/>
      <c r="D92" s="383"/>
      <c r="E92" s="383"/>
      <c r="F92" s="383"/>
      <c r="G92" s="405"/>
      <c r="H92" s="383"/>
      <c r="I92" s="358"/>
      <c r="J92" s="406"/>
      <c r="K92" s="358"/>
      <c r="L92" s="358"/>
      <c r="M92" s="358"/>
      <c r="N92" s="358"/>
      <c r="O92" s="358"/>
      <c r="P92" s="403"/>
      <c r="Q92" s="358"/>
      <c r="R92" s="404">
        <v>122</v>
      </c>
      <c r="S92" s="361"/>
      <c r="T92" s="348"/>
    </row>
    <row r="93" spans="1:20" s="349" customFormat="1" x14ac:dyDescent="0.3">
      <c r="A93" s="365"/>
      <c r="B93" s="358" t="s">
        <v>164</v>
      </c>
      <c r="C93" s="358"/>
      <c r="D93" s="383"/>
      <c r="E93" s="383"/>
      <c r="F93" s="383"/>
      <c r="G93" s="405"/>
      <c r="H93" s="383"/>
      <c r="I93" s="358"/>
      <c r="J93" s="406"/>
      <c r="K93" s="358"/>
      <c r="L93" s="358"/>
      <c r="M93" s="358"/>
      <c r="N93" s="358"/>
      <c r="O93" s="358"/>
      <c r="P93" s="403"/>
      <c r="Q93" s="358"/>
      <c r="R93" s="404">
        <v>0</v>
      </c>
      <c r="S93" s="361"/>
      <c r="T93" s="348"/>
    </row>
    <row r="94" spans="1:20" s="349" customFormat="1" x14ac:dyDescent="0.3">
      <c r="A94" s="365"/>
      <c r="B94" s="358" t="s">
        <v>165</v>
      </c>
      <c r="C94" s="358"/>
      <c r="D94" s="383"/>
      <c r="E94" s="383"/>
      <c r="F94" s="383"/>
      <c r="G94" s="405"/>
      <c r="H94" s="383"/>
      <c r="I94" s="358"/>
      <c r="J94" s="406"/>
      <c r="K94" s="358"/>
      <c r="L94" s="358"/>
      <c r="M94" s="358"/>
      <c r="N94" s="358"/>
      <c r="O94" s="358"/>
      <c r="P94" s="403"/>
      <c r="Q94" s="358"/>
      <c r="R94" s="404">
        <v>0</v>
      </c>
      <c r="S94" s="361"/>
      <c r="T94" s="348"/>
    </row>
    <row r="95" spans="1:20" s="349" customFormat="1" x14ac:dyDescent="0.3">
      <c r="A95" s="365"/>
      <c r="B95" s="358" t="s">
        <v>166</v>
      </c>
      <c r="C95" s="358"/>
      <c r="D95" s="358"/>
      <c r="E95" s="358"/>
      <c r="F95" s="358"/>
      <c r="G95" s="358"/>
      <c r="H95" s="358"/>
      <c r="I95" s="358"/>
      <c r="J95" s="358"/>
      <c r="K95" s="358"/>
      <c r="L95" s="358"/>
      <c r="M95" s="358"/>
      <c r="N95" s="358"/>
      <c r="O95" s="358"/>
      <c r="P95" s="403"/>
      <c r="Q95" s="358"/>
      <c r="R95" s="404">
        <v>0</v>
      </c>
      <c r="S95" s="361"/>
      <c r="T95" s="348"/>
    </row>
    <row r="96" spans="1:20" s="349" customFormat="1" x14ac:dyDescent="0.3">
      <c r="A96" s="365"/>
      <c r="B96" s="358" t="s">
        <v>264</v>
      </c>
      <c r="C96" s="358"/>
      <c r="D96" s="358"/>
      <c r="E96" s="358"/>
      <c r="F96" s="358"/>
      <c r="G96" s="358"/>
      <c r="H96" s="358"/>
      <c r="I96" s="358"/>
      <c r="J96" s="358"/>
      <c r="K96" s="358"/>
      <c r="L96" s="358"/>
      <c r="M96" s="358"/>
      <c r="N96" s="358"/>
      <c r="O96" s="358"/>
      <c r="P96" s="403"/>
      <c r="Q96" s="358"/>
      <c r="R96" s="404">
        <v>0</v>
      </c>
      <c r="S96" s="361"/>
      <c r="T96" s="348"/>
    </row>
    <row r="97" spans="1:21" s="349" customFormat="1" x14ac:dyDescent="0.3">
      <c r="A97" s="365"/>
      <c r="B97" s="358" t="s">
        <v>25</v>
      </c>
      <c r="C97" s="358"/>
      <c r="D97" s="358"/>
      <c r="E97" s="358"/>
      <c r="F97" s="358"/>
      <c r="G97" s="358"/>
      <c r="H97" s="358"/>
      <c r="I97" s="358"/>
      <c r="J97" s="358"/>
      <c r="K97" s="358"/>
      <c r="L97" s="358"/>
      <c r="M97" s="358"/>
      <c r="N97" s="358"/>
      <c r="O97" s="358"/>
      <c r="P97" s="403">
        <f>SUM(P84:P96)</f>
        <v>8508</v>
      </c>
      <c r="Q97" s="358"/>
      <c r="R97" s="403">
        <f>SUM(R84:R96)</f>
        <v>1085</v>
      </c>
      <c r="S97" s="361"/>
      <c r="T97" s="348"/>
    </row>
    <row r="98" spans="1:21" s="349" customFormat="1" x14ac:dyDescent="0.3">
      <c r="A98" s="365"/>
      <c r="B98" s="358" t="s">
        <v>26</v>
      </c>
      <c r="C98" s="358"/>
      <c r="D98" s="358"/>
      <c r="E98" s="358"/>
      <c r="F98" s="358"/>
      <c r="G98" s="358"/>
      <c r="H98" s="358"/>
      <c r="I98" s="358"/>
      <c r="J98" s="358"/>
      <c r="K98" s="358"/>
      <c r="L98" s="358"/>
      <c r="M98" s="358"/>
      <c r="N98" s="358"/>
      <c r="O98" s="358"/>
      <c r="P98" s="403">
        <f>-R98</f>
        <v>0</v>
      </c>
      <c r="Q98" s="358"/>
      <c r="R98" s="404">
        <v>0</v>
      </c>
      <c r="S98" s="361"/>
      <c r="T98" s="348"/>
    </row>
    <row r="99" spans="1:21" s="349" customFormat="1" x14ac:dyDescent="0.3">
      <c r="A99" s="365"/>
      <c r="B99" s="358" t="s">
        <v>150</v>
      </c>
      <c r="C99" s="358"/>
      <c r="D99" s="358"/>
      <c r="E99" s="358"/>
      <c r="F99" s="358"/>
      <c r="G99" s="358"/>
      <c r="H99" s="358"/>
      <c r="I99" s="358"/>
      <c r="J99" s="358"/>
      <c r="K99" s="358"/>
      <c r="L99" s="358"/>
      <c r="M99" s="358"/>
      <c r="N99" s="358"/>
      <c r="O99" s="358"/>
      <c r="P99" s="403"/>
      <c r="Q99" s="358"/>
      <c r="R99" s="404">
        <v>0</v>
      </c>
      <c r="S99" s="361"/>
      <c r="T99" s="348"/>
    </row>
    <row r="100" spans="1:21" s="349" customFormat="1" x14ac:dyDescent="0.3">
      <c r="A100" s="365"/>
      <c r="B100" s="358" t="s">
        <v>27</v>
      </c>
      <c r="C100" s="358"/>
      <c r="D100" s="358"/>
      <c r="E100" s="358"/>
      <c r="F100" s="358"/>
      <c r="G100" s="358"/>
      <c r="H100" s="358"/>
      <c r="I100" s="358"/>
      <c r="J100" s="358"/>
      <c r="K100" s="358"/>
      <c r="L100" s="358"/>
      <c r="M100" s="358"/>
      <c r="N100" s="358"/>
      <c r="O100" s="358"/>
      <c r="P100" s="403">
        <f>P97+P98</f>
        <v>8508</v>
      </c>
      <c r="Q100" s="358"/>
      <c r="R100" s="403">
        <f>R97+R98+R99</f>
        <v>1085</v>
      </c>
      <c r="S100" s="361"/>
      <c r="T100" s="348"/>
    </row>
    <row r="101" spans="1:21" x14ac:dyDescent="0.3">
      <c r="A101" s="276"/>
      <c r="B101" s="293" t="s">
        <v>28</v>
      </c>
      <c r="C101" s="291"/>
      <c r="D101" s="291"/>
      <c r="E101" s="291"/>
      <c r="F101" s="291"/>
      <c r="G101" s="291"/>
      <c r="H101" s="291"/>
      <c r="I101" s="291"/>
      <c r="J101" s="291"/>
      <c r="K101" s="291"/>
      <c r="L101" s="291"/>
      <c r="M101" s="291"/>
      <c r="N101" s="291"/>
      <c r="O101" s="291"/>
      <c r="P101" s="285"/>
      <c r="Q101" s="263"/>
      <c r="R101" s="286"/>
      <c r="S101" s="292"/>
      <c r="T101" s="247"/>
    </row>
    <row r="102" spans="1:21" s="349" customFormat="1" x14ac:dyDescent="0.3">
      <c r="A102" s="365">
        <v>1</v>
      </c>
      <c r="B102" s="358" t="s">
        <v>175</v>
      </c>
      <c r="C102" s="358"/>
      <c r="D102" s="358"/>
      <c r="E102" s="358"/>
      <c r="F102" s="358"/>
      <c r="G102" s="358"/>
      <c r="H102" s="358"/>
      <c r="I102" s="358"/>
      <c r="J102" s="358"/>
      <c r="K102" s="358"/>
      <c r="L102" s="358"/>
      <c r="M102" s="358"/>
      <c r="N102" s="358"/>
      <c r="O102" s="358"/>
      <c r="P102" s="403"/>
      <c r="Q102" s="358"/>
      <c r="R102" s="404">
        <v>0</v>
      </c>
      <c r="S102" s="361"/>
      <c r="T102" s="348"/>
    </row>
    <row r="103" spans="1:21" s="349" customFormat="1" x14ac:dyDescent="0.3">
      <c r="A103" s="365">
        <v>2</v>
      </c>
      <c r="B103" s="358" t="s">
        <v>195</v>
      </c>
      <c r="C103" s="358"/>
      <c r="D103" s="358"/>
      <c r="E103" s="358"/>
      <c r="F103" s="358"/>
      <c r="G103" s="358"/>
      <c r="H103" s="358"/>
      <c r="I103" s="358"/>
      <c r="J103" s="358"/>
      <c r="K103" s="358"/>
      <c r="L103" s="358"/>
      <c r="M103" s="358"/>
      <c r="N103" s="358"/>
      <c r="O103" s="358"/>
      <c r="P103" s="358"/>
      <c r="Q103" s="358"/>
      <c r="R103" s="404">
        <v>-3</v>
      </c>
      <c r="S103" s="361"/>
      <c r="T103" s="348"/>
    </row>
    <row r="104" spans="1:21" s="349" customFormat="1" x14ac:dyDescent="0.3">
      <c r="A104" s="365">
        <v>3</v>
      </c>
      <c r="B104" s="358" t="s">
        <v>287</v>
      </c>
      <c r="C104" s="358"/>
      <c r="D104" s="358"/>
      <c r="E104" s="358"/>
      <c r="F104" s="358"/>
      <c r="G104" s="358"/>
      <c r="H104" s="358"/>
      <c r="I104" s="358"/>
      <c r="J104" s="358"/>
      <c r="K104" s="358"/>
      <c r="L104" s="358"/>
      <c r="M104" s="358"/>
      <c r="N104" s="358"/>
      <c r="O104" s="358"/>
      <c r="P104" s="358"/>
      <c r="Q104" s="358"/>
      <c r="R104" s="404">
        <f>-28-3-3</f>
        <v>-34</v>
      </c>
      <c r="S104" s="361"/>
      <c r="T104" s="348"/>
    </row>
    <row r="105" spans="1:21" s="349" customFormat="1" x14ac:dyDescent="0.3">
      <c r="A105" s="365">
        <v>4</v>
      </c>
      <c r="B105" s="358" t="s">
        <v>96</v>
      </c>
      <c r="C105" s="358"/>
      <c r="D105" s="358"/>
      <c r="E105" s="358"/>
      <c r="F105" s="358"/>
      <c r="G105" s="358"/>
      <c r="H105" s="358"/>
      <c r="I105" s="358"/>
      <c r="J105" s="358"/>
      <c r="K105" s="358"/>
      <c r="L105" s="358"/>
      <c r="M105" s="358"/>
      <c r="N105" s="358"/>
      <c r="O105" s="358"/>
      <c r="P105" s="358"/>
      <c r="Q105" s="358"/>
      <c r="R105" s="404">
        <v>-11</v>
      </c>
      <c r="S105" s="361"/>
      <c r="T105" s="348"/>
    </row>
    <row r="106" spans="1:21" s="349" customFormat="1" x14ac:dyDescent="0.3">
      <c r="A106" s="365" t="s">
        <v>274</v>
      </c>
      <c r="B106" s="358" t="s">
        <v>272</v>
      </c>
      <c r="C106" s="358"/>
      <c r="D106" s="358"/>
      <c r="E106" s="358"/>
      <c r="F106" s="358"/>
      <c r="G106" s="358"/>
      <c r="H106" s="358"/>
      <c r="I106" s="358"/>
      <c r="J106" s="358"/>
      <c r="K106" s="358"/>
      <c r="L106" s="358"/>
      <c r="M106" s="358"/>
      <c r="N106" s="358"/>
      <c r="O106" s="358"/>
      <c r="P106" s="358"/>
      <c r="Q106" s="358"/>
      <c r="R106" s="404">
        <v>-86</v>
      </c>
      <c r="S106" s="361"/>
      <c r="T106" s="348"/>
      <c r="U106" s="407"/>
    </row>
    <row r="107" spans="1:21" s="349" customFormat="1" x14ac:dyDescent="0.3">
      <c r="A107" s="365" t="s">
        <v>275</v>
      </c>
      <c r="B107" s="358" t="s">
        <v>266</v>
      </c>
      <c r="C107" s="358"/>
      <c r="D107" s="358"/>
      <c r="E107" s="358"/>
      <c r="F107" s="358"/>
      <c r="G107" s="358"/>
      <c r="H107" s="358"/>
      <c r="I107" s="358"/>
      <c r="J107" s="358"/>
      <c r="K107" s="358"/>
      <c r="L107" s="358"/>
      <c r="M107" s="358"/>
      <c r="N107" s="358"/>
      <c r="O107" s="358"/>
      <c r="P107" s="358"/>
      <c r="Q107" s="358"/>
      <c r="R107" s="404">
        <v>-97</v>
      </c>
      <c r="S107" s="361"/>
      <c r="T107" s="348"/>
      <c r="U107" s="407"/>
    </row>
    <row r="108" spans="1:21" s="349" customFormat="1" x14ac:dyDescent="0.3">
      <c r="A108" s="365">
        <v>6</v>
      </c>
      <c r="B108" s="358" t="s">
        <v>189</v>
      </c>
      <c r="C108" s="358"/>
      <c r="D108" s="358"/>
      <c r="E108" s="358"/>
      <c r="F108" s="358"/>
      <c r="G108" s="358"/>
      <c r="H108" s="358"/>
      <c r="I108" s="358"/>
      <c r="J108" s="358"/>
      <c r="K108" s="358"/>
      <c r="L108" s="358"/>
      <c r="M108" s="358"/>
      <c r="N108" s="358"/>
      <c r="O108" s="358"/>
      <c r="P108" s="358"/>
      <c r="Q108" s="358"/>
      <c r="R108" s="404">
        <v>-64</v>
      </c>
      <c r="S108" s="361"/>
      <c r="T108" s="348"/>
      <c r="U108" s="407"/>
    </row>
    <row r="109" spans="1:21" s="349" customFormat="1" x14ac:dyDescent="0.3">
      <c r="A109" s="365">
        <v>7</v>
      </c>
      <c r="B109" s="358" t="s">
        <v>190</v>
      </c>
      <c r="C109" s="358"/>
      <c r="D109" s="358"/>
      <c r="E109" s="358"/>
      <c r="F109" s="358"/>
      <c r="G109" s="358"/>
      <c r="H109" s="358"/>
      <c r="I109" s="358"/>
      <c r="J109" s="358"/>
      <c r="K109" s="358"/>
      <c r="L109" s="358"/>
      <c r="M109" s="358"/>
      <c r="N109" s="358"/>
      <c r="O109" s="358"/>
      <c r="P109" s="358"/>
      <c r="Q109" s="358"/>
      <c r="R109" s="404">
        <v>-73</v>
      </c>
      <c r="S109" s="361"/>
      <c r="T109" s="348"/>
      <c r="U109" s="407"/>
    </row>
    <row r="110" spans="1:21" s="349" customFormat="1" x14ac:dyDescent="0.3">
      <c r="A110" s="365">
        <v>8</v>
      </c>
      <c r="B110" s="358" t="s">
        <v>156</v>
      </c>
      <c r="C110" s="358"/>
      <c r="D110" s="358"/>
      <c r="E110" s="358"/>
      <c r="F110" s="358"/>
      <c r="G110" s="358"/>
      <c r="H110" s="358"/>
      <c r="I110" s="358"/>
      <c r="J110" s="358"/>
      <c r="K110" s="358"/>
      <c r="L110" s="358"/>
      <c r="M110" s="358"/>
      <c r="N110" s="358"/>
      <c r="O110" s="358"/>
      <c r="P110" s="358"/>
      <c r="Q110" s="358"/>
      <c r="R110" s="404">
        <v>0</v>
      </c>
      <c r="S110" s="361"/>
      <c r="T110" s="348"/>
      <c r="U110" s="407"/>
    </row>
    <row r="111" spans="1:21" s="349" customFormat="1" x14ac:dyDescent="0.3">
      <c r="A111" s="365">
        <v>9</v>
      </c>
      <c r="B111" s="358" t="s">
        <v>37</v>
      </c>
      <c r="C111" s="358"/>
      <c r="D111" s="358"/>
      <c r="E111" s="358"/>
      <c r="F111" s="358"/>
      <c r="G111" s="358"/>
      <c r="H111" s="358"/>
      <c r="I111" s="358"/>
      <c r="J111" s="358"/>
      <c r="K111" s="358"/>
      <c r="L111" s="358"/>
      <c r="M111" s="358"/>
      <c r="N111" s="358"/>
      <c r="O111" s="358"/>
      <c r="P111" s="403">
        <f>-R111</f>
        <v>0</v>
      </c>
      <c r="Q111" s="358"/>
      <c r="R111" s="404">
        <v>0</v>
      </c>
      <c r="S111" s="361"/>
      <c r="T111" s="348"/>
    </row>
    <row r="112" spans="1:21" s="349" customFormat="1" x14ac:dyDescent="0.3">
      <c r="A112" s="365">
        <v>10</v>
      </c>
      <c r="B112" s="358" t="s">
        <v>101</v>
      </c>
      <c r="C112" s="358"/>
      <c r="D112" s="358"/>
      <c r="E112" s="358"/>
      <c r="F112" s="358"/>
      <c r="G112" s="358"/>
      <c r="H112" s="358"/>
      <c r="I112" s="358"/>
      <c r="J112" s="358"/>
      <c r="K112" s="358"/>
      <c r="L112" s="358"/>
      <c r="M112" s="358"/>
      <c r="N112" s="358"/>
      <c r="O112" s="358"/>
      <c r="P112" s="358"/>
      <c r="Q112" s="358"/>
      <c r="R112" s="404">
        <v>0</v>
      </c>
      <c r="S112" s="361"/>
      <c r="T112" s="348"/>
    </row>
    <row r="113" spans="1:20" s="349" customFormat="1" x14ac:dyDescent="0.3">
      <c r="A113" s="365">
        <v>11</v>
      </c>
      <c r="B113" s="358" t="s">
        <v>29</v>
      </c>
      <c r="C113" s="358"/>
      <c r="D113" s="358"/>
      <c r="E113" s="358"/>
      <c r="F113" s="358"/>
      <c r="G113" s="358"/>
      <c r="H113" s="358"/>
      <c r="I113" s="358"/>
      <c r="J113" s="358"/>
      <c r="K113" s="358"/>
      <c r="L113" s="358"/>
      <c r="M113" s="358"/>
      <c r="N113" s="358"/>
      <c r="O113" s="358"/>
      <c r="P113" s="358"/>
      <c r="Q113" s="358"/>
      <c r="R113" s="404">
        <v>-20</v>
      </c>
      <c r="S113" s="361"/>
      <c r="T113" s="348"/>
    </row>
    <row r="114" spans="1:20" s="349" customFormat="1" x14ac:dyDescent="0.3">
      <c r="A114" s="365">
        <v>12</v>
      </c>
      <c r="B114" s="358" t="s">
        <v>138</v>
      </c>
      <c r="C114" s="358"/>
      <c r="D114" s="358"/>
      <c r="E114" s="358"/>
      <c r="F114" s="358"/>
      <c r="G114" s="358"/>
      <c r="H114" s="358"/>
      <c r="I114" s="358"/>
      <c r="J114" s="358"/>
      <c r="K114" s="358"/>
      <c r="L114" s="358"/>
      <c r="M114" s="358"/>
      <c r="N114" s="358"/>
      <c r="O114" s="358"/>
      <c r="P114" s="358"/>
      <c r="Q114" s="358"/>
      <c r="R114" s="404">
        <v>0</v>
      </c>
      <c r="S114" s="361"/>
      <c r="T114" s="348"/>
    </row>
    <row r="115" spans="1:20" s="349" customFormat="1" x14ac:dyDescent="0.3">
      <c r="A115" s="365">
        <v>13</v>
      </c>
      <c r="B115" s="358" t="s">
        <v>267</v>
      </c>
      <c r="C115" s="358"/>
      <c r="D115" s="358"/>
      <c r="E115" s="358"/>
      <c r="F115" s="358"/>
      <c r="G115" s="358"/>
      <c r="H115" s="358"/>
      <c r="I115" s="358"/>
      <c r="J115" s="358"/>
      <c r="K115" s="358"/>
      <c r="L115" s="358"/>
      <c r="M115" s="358"/>
      <c r="N115" s="358"/>
      <c r="O115" s="358"/>
      <c r="P115" s="358"/>
      <c r="Q115" s="358"/>
      <c r="R115" s="404">
        <v>-52</v>
      </c>
      <c r="S115" s="361"/>
      <c r="T115" s="348"/>
    </row>
    <row r="116" spans="1:20" s="349" customFormat="1" x14ac:dyDescent="0.3">
      <c r="A116" s="365">
        <v>14</v>
      </c>
      <c r="B116" s="358" t="s">
        <v>157</v>
      </c>
      <c r="C116" s="358"/>
      <c r="D116" s="358"/>
      <c r="E116" s="358"/>
      <c r="F116" s="358"/>
      <c r="G116" s="358"/>
      <c r="H116" s="358"/>
      <c r="I116" s="358"/>
      <c r="J116" s="358"/>
      <c r="K116" s="358"/>
      <c r="L116" s="358"/>
      <c r="M116" s="358"/>
      <c r="N116" s="358"/>
      <c r="O116" s="358"/>
      <c r="P116" s="358"/>
      <c r="Q116" s="358"/>
      <c r="R116" s="404">
        <v>0</v>
      </c>
      <c r="S116" s="361"/>
      <c r="T116" s="348"/>
    </row>
    <row r="117" spans="1:20" s="349" customFormat="1" x14ac:dyDescent="0.3">
      <c r="A117" s="365">
        <v>15</v>
      </c>
      <c r="B117" s="358" t="s">
        <v>207</v>
      </c>
      <c r="C117" s="358"/>
      <c r="D117" s="358"/>
      <c r="E117" s="358"/>
      <c r="F117" s="358"/>
      <c r="G117" s="358"/>
      <c r="H117" s="358"/>
      <c r="I117" s="358"/>
      <c r="J117" s="358"/>
      <c r="K117" s="358"/>
      <c r="L117" s="358"/>
      <c r="M117" s="358"/>
      <c r="N117" s="358"/>
      <c r="O117" s="358"/>
      <c r="P117" s="358"/>
      <c r="Q117" s="358"/>
      <c r="R117" s="404">
        <v>-28</v>
      </c>
      <c r="S117" s="361"/>
      <c r="T117" s="348"/>
    </row>
    <row r="118" spans="1:20" s="349" customFormat="1" x14ac:dyDescent="0.3">
      <c r="A118" s="365">
        <v>16</v>
      </c>
      <c r="B118" s="358" t="s">
        <v>167</v>
      </c>
      <c r="C118" s="358"/>
      <c r="D118" s="358"/>
      <c r="E118" s="358"/>
      <c r="F118" s="358"/>
      <c r="G118" s="358"/>
      <c r="H118" s="358"/>
      <c r="I118" s="358"/>
      <c r="J118" s="358"/>
      <c r="K118" s="358"/>
      <c r="L118" s="358"/>
      <c r="M118" s="358"/>
      <c r="N118" s="358"/>
      <c r="O118" s="358"/>
      <c r="P118" s="358"/>
      <c r="Q118" s="358"/>
      <c r="R118" s="404">
        <f>-7-178</f>
        <v>-185</v>
      </c>
      <c r="S118" s="361"/>
      <c r="T118" s="348"/>
    </row>
    <row r="119" spans="1:20" s="349" customFormat="1" x14ac:dyDescent="0.3">
      <c r="A119" s="365">
        <v>17</v>
      </c>
      <c r="B119" s="358" t="s">
        <v>268</v>
      </c>
      <c r="C119" s="358"/>
      <c r="D119" s="358"/>
      <c r="E119" s="358"/>
      <c r="F119" s="358"/>
      <c r="G119" s="358"/>
      <c r="H119" s="358"/>
      <c r="I119" s="358"/>
      <c r="J119" s="358"/>
      <c r="K119" s="358"/>
      <c r="L119" s="358"/>
      <c r="M119" s="358"/>
      <c r="N119" s="358"/>
      <c r="O119" s="358"/>
      <c r="P119" s="358"/>
      <c r="Q119" s="358"/>
      <c r="R119" s="404">
        <f>-R100-SUM(R102:R118)</f>
        <v>-432</v>
      </c>
      <c r="S119" s="361"/>
      <c r="T119" s="348"/>
    </row>
    <row r="120" spans="1:20" x14ac:dyDescent="0.3">
      <c r="A120" s="276"/>
      <c r="B120" s="293" t="s">
        <v>30</v>
      </c>
      <c r="C120" s="291"/>
      <c r="D120" s="291"/>
      <c r="E120" s="291"/>
      <c r="F120" s="291"/>
      <c r="G120" s="291"/>
      <c r="H120" s="291"/>
      <c r="I120" s="291"/>
      <c r="J120" s="291"/>
      <c r="K120" s="291"/>
      <c r="L120" s="291"/>
      <c r="M120" s="291"/>
      <c r="N120" s="291"/>
      <c r="O120" s="291"/>
      <c r="P120" s="263"/>
      <c r="Q120" s="263"/>
      <c r="R120" s="294"/>
      <c r="S120" s="292"/>
      <c r="T120" s="247"/>
    </row>
    <row r="121" spans="1:20" s="349" customFormat="1" x14ac:dyDescent="0.3">
      <c r="A121" s="365"/>
      <c r="B121" s="358" t="s">
        <v>208</v>
      </c>
      <c r="C121" s="358"/>
      <c r="D121" s="358"/>
      <c r="E121" s="358"/>
      <c r="F121" s="358"/>
      <c r="G121" s="358"/>
      <c r="H121" s="358"/>
      <c r="I121" s="358"/>
      <c r="J121" s="358"/>
      <c r="K121" s="358"/>
      <c r="L121" s="358"/>
      <c r="M121" s="358"/>
      <c r="N121" s="358"/>
      <c r="O121" s="358"/>
      <c r="P121" s="403">
        <f>-P188</f>
        <v>0</v>
      </c>
      <c r="Q121" s="403"/>
      <c r="R121" s="404"/>
      <c r="S121" s="361"/>
      <c r="T121" s="348"/>
    </row>
    <row r="122" spans="1:20" s="349" customFormat="1" x14ac:dyDescent="0.3">
      <c r="A122" s="365"/>
      <c r="B122" s="358" t="s">
        <v>209</v>
      </c>
      <c r="C122" s="358"/>
      <c r="D122" s="358"/>
      <c r="E122" s="358"/>
      <c r="F122" s="358"/>
      <c r="G122" s="358"/>
      <c r="H122" s="358"/>
      <c r="I122" s="358"/>
      <c r="J122" s="358"/>
      <c r="K122" s="358"/>
      <c r="L122" s="358"/>
      <c r="M122" s="358"/>
      <c r="N122" s="358"/>
      <c r="O122" s="358"/>
      <c r="P122" s="403">
        <f>-O188</f>
        <v>0</v>
      </c>
      <c r="Q122" s="403"/>
      <c r="R122" s="404"/>
      <c r="S122" s="361"/>
      <c r="T122" s="348"/>
    </row>
    <row r="123" spans="1:20" s="349" customFormat="1" x14ac:dyDescent="0.3">
      <c r="A123" s="365"/>
      <c r="B123" s="358" t="s">
        <v>270</v>
      </c>
      <c r="C123" s="358"/>
      <c r="D123" s="358"/>
      <c r="E123" s="358"/>
      <c r="F123" s="358"/>
      <c r="G123" s="358"/>
      <c r="H123" s="358"/>
      <c r="I123" s="358"/>
      <c r="J123" s="358"/>
      <c r="K123" s="358"/>
      <c r="L123" s="358"/>
      <c r="M123" s="358"/>
      <c r="N123" s="358"/>
      <c r="O123" s="358"/>
      <c r="P123" s="403">
        <v>-3701</v>
      </c>
      <c r="Q123" s="403"/>
      <c r="R123" s="404"/>
      <c r="S123" s="361"/>
      <c r="T123" s="348"/>
    </row>
    <row r="124" spans="1:20" s="349" customFormat="1" x14ac:dyDescent="0.3">
      <c r="A124" s="365"/>
      <c r="B124" s="358" t="s">
        <v>269</v>
      </c>
      <c r="C124" s="358"/>
      <c r="D124" s="358"/>
      <c r="E124" s="358"/>
      <c r="F124" s="358"/>
      <c r="G124" s="358"/>
      <c r="H124" s="358"/>
      <c r="I124" s="358"/>
      <c r="J124" s="358"/>
      <c r="K124" s="358"/>
      <c r="L124" s="358"/>
      <c r="M124" s="358"/>
      <c r="N124" s="358"/>
      <c r="O124" s="358"/>
      <c r="P124" s="403">
        <v>-4807</v>
      </c>
      <c r="Q124" s="403"/>
      <c r="R124" s="404"/>
      <c r="S124" s="361"/>
      <c r="T124" s="348"/>
    </row>
    <row r="125" spans="1:20" s="349" customFormat="1" x14ac:dyDescent="0.3">
      <c r="A125" s="365"/>
      <c r="B125" s="358" t="s">
        <v>181</v>
      </c>
      <c r="C125" s="358"/>
      <c r="D125" s="358"/>
      <c r="E125" s="358"/>
      <c r="F125" s="358"/>
      <c r="G125" s="358"/>
      <c r="H125" s="358"/>
      <c r="I125" s="358"/>
      <c r="J125" s="358"/>
      <c r="K125" s="358"/>
      <c r="L125" s="358"/>
      <c r="M125" s="358"/>
      <c r="N125" s="358"/>
      <c r="O125" s="358"/>
      <c r="P125" s="403">
        <v>0</v>
      </c>
      <c r="Q125" s="403"/>
      <c r="R125" s="404"/>
      <c r="S125" s="361"/>
      <c r="T125" s="348"/>
    </row>
    <row r="126" spans="1:20" s="349" customFormat="1" x14ac:dyDescent="0.3">
      <c r="A126" s="365"/>
      <c r="B126" s="358" t="s">
        <v>182</v>
      </c>
      <c r="C126" s="358"/>
      <c r="D126" s="358"/>
      <c r="E126" s="358"/>
      <c r="F126" s="358"/>
      <c r="G126" s="358"/>
      <c r="H126" s="358"/>
      <c r="I126" s="358"/>
      <c r="J126" s="358"/>
      <c r="K126" s="358"/>
      <c r="L126" s="358"/>
      <c r="M126" s="358"/>
      <c r="N126" s="358"/>
      <c r="O126" s="358"/>
      <c r="P126" s="403">
        <v>0</v>
      </c>
      <c r="Q126" s="403"/>
      <c r="R126" s="404"/>
      <c r="S126" s="361"/>
      <c r="T126" s="348"/>
    </row>
    <row r="127" spans="1:20" s="349" customFormat="1" x14ac:dyDescent="0.3">
      <c r="A127" s="365"/>
      <c r="B127" s="358" t="s">
        <v>271</v>
      </c>
      <c r="C127" s="358"/>
      <c r="D127" s="358"/>
      <c r="E127" s="358"/>
      <c r="F127" s="358"/>
      <c r="G127" s="358"/>
      <c r="H127" s="358"/>
      <c r="I127" s="358"/>
      <c r="J127" s="358"/>
      <c r="K127" s="358"/>
      <c r="L127" s="358"/>
      <c r="M127" s="358"/>
      <c r="N127" s="358"/>
      <c r="O127" s="358"/>
      <c r="P127" s="403">
        <v>0</v>
      </c>
      <c r="Q127" s="403"/>
      <c r="R127" s="404"/>
      <c r="S127" s="361"/>
      <c r="T127" s="348"/>
    </row>
    <row r="128" spans="1:20" s="349" customFormat="1" x14ac:dyDescent="0.3">
      <c r="A128" s="365"/>
      <c r="B128" s="358" t="s">
        <v>31</v>
      </c>
      <c r="C128" s="358"/>
      <c r="D128" s="358"/>
      <c r="E128" s="358"/>
      <c r="F128" s="358"/>
      <c r="G128" s="358"/>
      <c r="H128" s="358"/>
      <c r="I128" s="358"/>
      <c r="J128" s="358"/>
      <c r="K128" s="358"/>
      <c r="L128" s="358"/>
      <c r="M128" s="358"/>
      <c r="N128" s="358"/>
      <c r="O128" s="358"/>
      <c r="P128" s="403">
        <f>SUM(P121:P127)</f>
        <v>-8508</v>
      </c>
      <c r="Q128" s="403"/>
      <c r="R128" s="403">
        <f>SUM(R101:R127)</f>
        <v>-1085</v>
      </c>
      <c r="S128" s="361"/>
      <c r="T128" s="348"/>
    </row>
    <row r="129" spans="1:20" s="349" customFormat="1" x14ac:dyDescent="0.3">
      <c r="A129" s="365"/>
      <c r="B129" s="358" t="s">
        <v>32</v>
      </c>
      <c r="C129" s="358"/>
      <c r="D129" s="358"/>
      <c r="E129" s="358"/>
      <c r="F129" s="358"/>
      <c r="G129" s="358"/>
      <c r="H129" s="358"/>
      <c r="I129" s="358"/>
      <c r="J129" s="358"/>
      <c r="K129" s="358"/>
      <c r="L129" s="358"/>
      <c r="M129" s="358"/>
      <c r="N129" s="358"/>
      <c r="O129" s="358"/>
      <c r="P129" s="403">
        <f>P100+P128+P111</f>
        <v>0</v>
      </c>
      <c r="Q129" s="403"/>
      <c r="R129" s="403">
        <f>R100+R128</f>
        <v>0</v>
      </c>
      <c r="S129" s="361"/>
      <c r="T129" s="348"/>
    </row>
    <row r="130" spans="1:20" s="349" customFormat="1" x14ac:dyDescent="0.3">
      <c r="A130" s="344"/>
      <c r="B130" s="393"/>
      <c r="C130" s="393"/>
      <c r="D130" s="393"/>
      <c r="E130" s="393"/>
      <c r="F130" s="393"/>
      <c r="G130" s="393"/>
      <c r="H130" s="393"/>
      <c r="I130" s="393"/>
      <c r="J130" s="393"/>
      <c r="K130" s="393"/>
      <c r="L130" s="393"/>
      <c r="M130" s="393"/>
      <c r="N130" s="393"/>
      <c r="O130" s="393"/>
      <c r="P130" s="408"/>
      <c r="Q130" s="408"/>
      <c r="R130" s="408"/>
      <c r="S130" s="347"/>
      <c r="T130" s="348"/>
    </row>
    <row r="131" spans="1:20" s="349" customFormat="1" x14ac:dyDescent="0.3">
      <c r="A131" s="344"/>
      <c r="B131" s="346"/>
      <c r="C131" s="346"/>
      <c r="D131" s="346"/>
      <c r="E131" s="346"/>
      <c r="F131" s="346"/>
      <c r="G131" s="346"/>
      <c r="H131" s="346"/>
      <c r="I131" s="346"/>
      <c r="J131" s="346"/>
      <c r="K131" s="346"/>
      <c r="L131" s="346"/>
      <c r="M131" s="346"/>
      <c r="N131" s="346"/>
      <c r="O131" s="346"/>
      <c r="P131" s="346"/>
      <c r="Q131" s="346"/>
      <c r="R131" s="409"/>
      <c r="S131" s="347"/>
      <c r="T131" s="348"/>
    </row>
    <row r="132" spans="1:20" s="349" customFormat="1" ht="18.600000000000001" thickBot="1" x14ac:dyDescent="0.4">
      <c r="A132" s="398"/>
      <c r="B132" s="399" t="str">
        <f>B60</f>
        <v>PM22 INVESTOR REPORT QUARTER ENDING NOVEMBER 2018</v>
      </c>
      <c r="C132" s="400"/>
      <c r="D132" s="400"/>
      <c r="E132" s="400"/>
      <c r="F132" s="400"/>
      <c r="G132" s="400"/>
      <c r="H132" s="400"/>
      <c r="I132" s="400"/>
      <c r="J132" s="400"/>
      <c r="K132" s="400"/>
      <c r="L132" s="400"/>
      <c r="M132" s="400"/>
      <c r="N132" s="400"/>
      <c r="O132" s="400"/>
      <c r="P132" s="400"/>
      <c r="Q132" s="400"/>
      <c r="R132" s="410"/>
      <c r="S132" s="402"/>
      <c r="T132" s="348"/>
    </row>
    <row r="133" spans="1:20" x14ac:dyDescent="0.3">
      <c r="A133" s="456"/>
      <c r="B133" s="457" t="s">
        <v>33</v>
      </c>
      <c r="C133" s="458"/>
      <c r="D133" s="458"/>
      <c r="E133" s="458"/>
      <c r="F133" s="458"/>
      <c r="G133" s="458"/>
      <c r="H133" s="458"/>
      <c r="I133" s="458"/>
      <c r="J133" s="458"/>
      <c r="K133" s="458"/>
      <c r="L133" s="458"/>
      <c r="M133" s="458"/>
      <c r="N133" s="458"/>
      <c r="O133" s="458"/>
      <c r="P133" s="458"/>
      <c r="Q133" s="458"/>
      <c r="R133" s="459"/>
      <c r="S133" s="460"/>
      <c r="T133" s="247"/>
    </row>
    <row r="134" spans="1:20" x14ac:dyDescent="0.3">
      <c r="A134" s="249"/>
      <c r="B134" s="295"/>
      <c r="C134" s="251"/>
      <c r="D134" s="251"/>
      <c r="E134" s="251"/>
      <c r="F134" s="251"/>
      <c r="G134" s="251"/>
      <c r="H134" s="251"/>
      <c r="I134" s="251"/>
      <c r="J134" s="251"/>
      <c r="K134" s="251"/>
      <c r="L134" s="251"/>
      <c r="M134" s="251"/>
      <c r="N134" s="251"/>
      <c r="O134" s="251"/>
      <c r="P134" s="251"/>
      <c r="Q134" s="251"/>
      <c r="R134" s="279"/>
      <c r="S134" s="252"/>
      <c r="T134" s="247"/>
    </row>
    <row r="135" spans="1:20" x14ac:dyDescent="0.3">
      <c r="A135" s="249"/>
      <c r="B135" s="296" t="s">
        <v>34</v>
      </c>
      <c r="C135" s="251"/>
      <c r="D135" s="251"/>
      <c r="E135" s="251"/>
      <c r="F135" s="251"/>
      <c r="G135" s="251"/>
      <c r="H135" s="251"/>
      <c r="I135" s="251"/>
      <c r="J135" s="251"/>
      <c r="K135" s="251"/>
      <c r="L135" s="251"/>
      <c r="M135" s="251"/>
      <c r="N135" s="251"/>
      <c r="O135" s="251"/>
      <c r="P135" s="251"/>
      <c r="Q135" s="251"/>
      <c r="R135" s="279"/>
      <c r="S135" s="252"/>
      <c r="T135" s="247"/>
    </row>
    <row r="136" spans="1:20" s="349" customFormat="1" x14ac:dyDescent="0.3">
      <c r="A136" s="365"/>
      <c r="B136" s="358" t="s">
        <v>35</v>
      </c>
      <c r="C136" s="358"/>
      <c r="D136" s="358"/>
      <c r="E136" s="358"/>
      <c r="F136" s="358"/>
      <c r="G136" s="358"/>
      <c r="H136" s="358"/>
      <c r="I136" s="358"/>
      <c r="J136" s="358"/>
      <c r="K136" s="358"/>
      <c r="L136" s="358"/>
      <c r="M136" s="358"/>
      <c r="N136" s="358"/>
      <c r="O136" s="358"/>
      <c r="P136" s="358"/>
      <c r="Q136" s="358"/>
      <c r="R136" s="404">
        <v>7502</v>
      </c>
      <c r="S136" s="361"/>
      <c r="T136" s="348"/>
    </row>
    <row r="137" spans="1:20" s="349" customFormat="1" x14ac:dyDescent="0.3">
      <c r="A137" s="365"/>
      <c r="B137" s="358" t="s">
        <v>36</v>
      </c>
      <c r="C137" s="358"/>
      <c r="D137" s="358"/>
      <c r="E137" s="358"/>
      <c r="F137" s="358"/>
      <c r="G137" s="358"/>
      <c r="H137" s="358"/>
      <c r="I137" s="358"/>
      <c r="J137" s="358"/>
      <c r="K137" s="358"/>
      <c r="L137" s="358"/>
      <c r="M137" s="358"/>
      <c r="N137" s="358"/>
      <c r="O137" s="358"/>
      <c r="P137" s="358"/>
      <c r="Q137" s="358"/>
      <c r="R137" s="404">
        <v>0</v>
      </c>
      <c r="S137" s="361"/>
      <c r="T137" s="348"/>
    </row>
    <row r="138" spans="1:20" s="349" customFormat="1" x14ac:dyDescent="0.3">
      <c r="A138" s="365"/>
      <c r="B138" s="358" t="s">
        <v>169</v>
      </c>
      <c r="C138" s="358"/>
      <c r="D138" s="358"/>
      <c r="E138" s="358"/>
      <c r="F138" s="358"/>
      <c r="G138" s="358"/>
      <c r="H138" s="358"/>
      <c r="I138" s="358"/>
      <c r="J138" s="358"/>
      <c r="K138" s="358"/>
      <c r="L138" s="358"/>
      <c r="M138" s="358"/>
      <c r="N138" s="358"/>
      <c r="O138" s="358"/>
      <c r="P138" s="358"/>
      <c r="Q138" s="358"/>
      <c r="R138" s="404">
        <f>R136-R139</f>
        <v>6040.1894859650001</v>
      </c>
      <c r="S138" s="361"/>
      <c r="T138" s="348"/>
    </row>
    <row r="139" spans="1:20" s="349" customFormat="1" x14ac:dyDescent="0.3">
      <c r="A139" s="365"/>
      <c r="B139" s="358" t="s">
        <v>210</v>
      </c>
      <c r="C139" s="358"/>
      <c r="D139" s="358"/>
      <c r="E139" s="358"/>
      <c r="F139" s="358"/>
      <c r="G139" s="358"/>
      <c r="H139" s="358"/>
      <c r="I139" s="358"/>
      <c r="J139" s="358"/>
      <c r="K139" s="358"/>
      <c r="L139" s="358"/>
      <c r="M139" s="358"/>
      <c r="N139" s="358"/>
      <c r="O139" s="358"/>
      <c r="P139" s="358"/>
      <c r="Q139" s="358"/>
      <c r="R139" s="404">
        <f>SUM(D33:J33)*0.025</f>
        <v>1461.8105140349999</v>
      </c>
      <c r="S139" s="361"/>
      <c r="T139" s="348"/>
    </row>
    <row r="140" spans="1:20" s="349" customFormat="1" x14ac:dyDescent="0.3">
      <c r="A140" s="365"/>
      <c r="B140" s="358" t="s">
        <v>108</v>
      </c>
      <c r="C140" s="358"/>
      <c r="D140" s="358"/>
      <c r="E140" s="358"/>
      <c r="F140" s="358"/>
      <c r="G140" s="358"/>
      <c r="H140" s="358"/>
      <c r="I140" s="358"/>
      <c r="J140" s="358"/>
      <c r="K140" s="358"/>
      <c r="L140" s="358"/>
      <c r="M140" s="358"/>
      <c r="N140" s="358"/>
      <c r="O140" s="358"/>
      <c r="P140" s="358"/>
      <c r="Q140" s="358"/>
      <c r="R140" s="404"/>
      <c r="S140" s="361"/>
      <c r="T140" s="348"/>
    </row>
    <row r="141" spans="1:20" s="349" customFormat="1" x14ac:dyDescent="0.3">
      <c r="A141" s="365"/>
      <c r="B141" s="358" t="s">
        <v>155</v>
      </c>
      <c r="C141" s="358"/>
      <c r="D141" s="358"/>
      <c r="E141" s="358"/>
      <c r="F141" s="358"/>
      <c r="G141" s="358"/>
      <c r="H141" s="358"/>
      <c r="I141" s="358"/>
      <c r="J141" s="358"/>
      <c r="K141" s="358"/>
      <c r="L141" s="358"/>
      <c r="M141" s="358"/>
      <c r="N141" s="358"/>
      <c r="O141" s="358"/>
      <c r="P141" s="358"/>
      <c r="Q141" s="358"/>
      <c r="R141" s="404">
        <v>0</v>
      </c>
      <c r="S141" s="361"/>
      <c r="T141" s="348"/>
    </row>
    <row r="142" spans="1:20" s="349" customFormat="1" x14ac:dyDescent="0.3">
      <c r="A142" s="365"/>
      <c r="B142" s="358" t="s">
        <v>189</v>
      </c>
      <c r="C142" s="358"/>
      <c r="D142" s="358"/>
      <c r="E142" s="358"/>
      <c r="F142" s="358"/>
      <c r="G142" s="358"/>
      <c r="H142" s="358"/>
      <c r="I142" s="358"/>
      <c r="J142" s="358"/>
      <c r="K142" s="358"/>
      <c r="L142" s="358"/>
      <c r="M142" s="358"/>
      <c r="N142" s="358"/>
      <c r="O142" s="358"/>
      <c r="P142" s="358"/>
      <c r="Q142" s="358"/>
      <c r="R142" s="404">
        <v>0</v>
      </c>
      <c r="S142" s="361"/>
      <c r="T142" s="348"/>
    </row>
    <row r="143" spans="1:20" s="349" customFormat="1" x14ac:dyDescent="0.3">
      <c r="A143" s="365"/>
      <c r="B143" s="358" t="s">
        <v>190</v>
      </c>
      <c r="C143" s="358"/>
      <c r="D143" s="358"/>
      <c r="E143" s="358"/>
      <c r="F143" s="358"/>
      <c r="G143" s="358"/>
      <c r="H143" s="358"/>
      <c r="I143" s="358"/>
      <c r="J143" s="358"/>
      <c r="K143" s="358"/>
      <c r="L143" s="358"/>
      <c r="M143" s="358"/>
      <c r="N143" s="358"/>
      <c r="O143" s="358"/>
      <c r="P143" s="358"/>
      <c r="Q143" s="358"/>
      <c r="R143" s="404">
        <v>0</v>
      </c>
      <c r="S143" s="361"/>
      <c r="T143" s="348"/>
    </row>
    <row r="144" spans="1:20" s="349" customFormat="1" x14ac:dyDescent="0.3">
      <c r="A144" s="365"/>
      <c r="B144" s="358" t="s">
        <v>37</v>
      </c>
      <c r="C144" s="358"/>
      <c r="D144" s="358"/>
      <c r="E144" s="358"/>
      <c r="F144" s="358"/>
      <c r="G144" s="358"/>
      <c r="H144" s="358"/>
      <c r="I144" s="358"/>
      <c r="J144" s="358"/>
      <c r="K144" s="358"/>
      <c r="L144" s="358"/>
      <c r="M144" s="358"/>
      <c r="N144" s="358"/>
      <c r="O144" s="358"/>
      <c r="P144" s="358"/>
      <c r="Q144" s="358"/>
      <c r="R144" s="404">
        <v>0</v>
      </c>
      <c r="S144" s="361"/>
      <c r="T144" s="348"/>
    </row>
    <row r="145" spans="1:21" s="349" customFormat="1" x14ac:dyDescent="0.3">
      <c r="A145" s="365"/>
      <c r="B145" s="358" t="s">
        <v>102</v>
      </c>
      <c r="C145" s="358"/>
      <c r="D145" s="358"/>
      <c r="E145" s="358"/>
      <c r="F145" s="358"/>
      <c r="G145" s="358"/>
      <c r="H145" s="358"/>
      <c r="I145" s="358"/>
      <c r="J145" s="358"/>
      <c r="K145" s="358"/>
      <c r="L145" s="358"/>
      <c r="M145" s="358"/>
      <c r="N145" s="358"/>
      <c r="O145" s="358"/>
      <c r="P145" s="358"/>
      <c r="Q145" s="358"/>
      <c r="R145" s="404">
        <v>0</v>
      </c>
      <c r="S145" s="361"/>
      <c r="T145" s="348"/>
    </row>
    <row r="146" spans="1:21" s="349" customFormat="1" x14ac:dyDescent="0.3">
      <c r="A146" s="365"/>
      <c r="B146" s="358" t="s">
        <v>256</v>
      </c>
      <c r="C146" s="358"/>
      <c r="D146" s="358"/>
      <c r="E146" s="358"/>
      <c r="F146" s="358"/>
      <c r="G146" s="358"/>
      <c r="H146" s="358"/>
      <c r="I146" s="358"/>
      <c r="J146" s="358"/>
      <c r="K146" s="358"/>
      <c r="L146" s="358"/>
      <c r="M146" s="358"/>
      <c r="N146" s="358"/>
      <c r="O146" s="358"/>
      <c r="P146" s="358"/>
      <c r="Q146" s="358"/>
      <c r="R146" s="404">
        <v>0</v>
      </c>
      <c r="S146" s="361"/>
      <c r="T146" s="348"/>
      <c r="U146" s="407"/>
    </row>
    <row r="147" spans="1:21" s="349" customFormat="1" x14ac:dyDescent="0.3">
      <c r="A147" s="365"/>
      <c r="B147" s="358" t="s">
        <v>38</v>
      </c>
      <c r="C147" s="358"/>
      <c r="D147" s="358"/>
      <c r="E147" s="358"/>
      <c r="F147" s="358"/>
      <c r="G147" s="358"/>
      <c r="H147" s="358"/>
      <c r="I147" s="358"/>
      <c r="J147" s="358"/>
      <c r="K147" s="358"/>
      <c r="L147" s="358"/>
      <c r="M147" s="358"/>
      <c r="N147" s="358"/>
      <c r="O147" s="358"/>
      <c r="P147" s="358"/>
      <c r="Q147" s="358"/>
      <c r="R147" s="404">
        <f>SUM(R137:R146)</f>
        <v>7502</v>
      </c>
      <c r="S147" s="361"/>
      <c r="T147" s="348"/>
    </row>
    <row r="148" spans="1:21" x14ac:dyDescent="0.3">
      <c r="A148" s="249"/>
      <c r="B148" s="277"/>
      <c r="C148" s="277"/>
      <c r="D148" s="277"/>
      <c r="E148" s="277"/>
      <c r="F148" s="277"/>
      <c r="G148" s="277"/>
      <c r="H148" s="277"/>
      <c r="I148" s="277"/>
      <c r="J148" s="277"/>
      <c r="K148" s="277"/>
      <c r="L148" s="277"/>
      <c r="M148" s="277"/>
      <c r="N148" s="277"/>
      <c r="O148" s="277"/>
      <c r="P148" s="277"/>
      <c r="Q148" s="277"/>
      <c r="R148" s="297"/>
      <c r="S148" s="252"/>
      <c r="T148" s="247"/>
    </row>
    <row r="149" spans="1:21" x14ac:dyDescent="0.3">
      <c r="A149" s="249"/>
      <c r="B149" s="296" t="s">
        <v>203</v>
      </c>
      <c r="C149" s="251"/>
      <c r="D149" s="251"/>
      <c r="E149" s="251"/>
      <c r="F149" s="251"/>
      <c r="G149" s="251"/>
      <c r="H149" s="251"/>
      <c r="I149" s="251"/>
      <c r="J149" s="251"/>
      <c r="K149" s="251"/>
      <c r="L149" s="251"/>
      <c r="M149" s="251"/>
      <c r="N149" s="251"/>
      <c r="O149" s="251"/>
      <c r="P149" s="251"/>
      <c r="Q149" s="251"/>
      <c r="R149" s="279"/>
      <c r="S149" s="252"/>
      <c r="T149" s="247"/>
    </row>
    <row r="150" spans="1:21" s="349" customFormat="1" x14ac:dyDescent="0.3">
      <c r="A150" s="365"/>
      <c r="B150" s="358" t="s">
        <v>278</v>
      </c>
      <c r="C150" s="358"/>
      <c r="D150" s="358"/>
      <c r="E150" s="358"/>
      <c r="F150" s="358"/>
      <c r="G150" s="358"/>
      <c r="H150" s="358"/>
      <c r="I150" s="358"/>
      <c r="J150" s="358"/>
      <c r="K150" s="358"/>
      <c r="L150" s="358"/>
      <c r="M150" s="358"/>
      <c r="N150" s="358"/>
      <c r="O150" s="358"/>
      <c r="P150" s="358"/>
      <c r="Q150" s="358"/>
      <c r="R150" s="404">
        <v>0</v>
      </c>
      <c r="S150" s="361"/>
      <c r="T150" s="348"/>
    </row>
    <row r="151" spans="1:21" s="349" customFormat="1" x14ac:dyDescent="0.3">
      <c r="A151" s="365"/>
      <c r="B151" s="358" t="s">
        <v>191</v>
      </c>
      <c r="C151" s="358"/>
      <c r="D151" s="358"/>
      <c r="E151" s="358"/>
      <c r="F151" s="358"/>
      <c r="G151" s="358"/>
      <c r="H151" s="358"/>
      <c r="I151" s="358"/>
      <c r="J151" s="358"/>
      <c r="K151" s="358"/>
      <c r="L151" s="358"/>
      <c r="M151" s="358"/>
      <c r="N151" s="358"/>
      <c r="O151" s="358"/>
      <c r="P151" s="358"/>
      <c r="Q151" s="358"/>
      <c r="R151" s="404">
        <f>+J77</f>
        <v>0</v>
      </c>
      <c r="S151" s="361"/>
      <c r="T151" s="348"/>
    </row>
    <row r="152" spans="1:21" s="349" customFormat="1" x14ac:dyDescent="0.3">
      <c r="A152" s="365"/>
      <c r="B152" s="358" t="s">
        <v>205</v>
      </c>
      <c r="C152" s="358"/>
      <c r="D152" s="358"/>
      <c r="E152" s="358"/>
      <c r="F152" s="358"/>
      <c r="G152" s="358"/>
      <c r="H152" s="358"/>
      <c r="I152" s="358"/>
      <c r="J152" s="358"/>
      <c r="K152" s="358"/>
      <c r="L152" s="358"/>
      <c r="M152" s="358"/>
      <c r="N152" s="358"/>
      <c r="O152" s="358"/>
      <c r="P152" s="358"/>
      <c r="Q152" s="358"/>
      <c r="R152" s="404">
        <f>R150+R151</f>
        <v>0</v>
      </c>
      <c r="S152" s="361"/>
      <c r="T152" s="348"/>
    </row>
    <row r="153" spans="1:21" s="349" customFormat="1" x14ac:dyDescent="0.3">
      <c r="A153" s="344"/>
      <c r="B153" s="393"/>
      <c r="C153" s="393"/>
      <c r="D153" s="393"/>
      <c r="E153" s="393"/>
      <c r="F153" s="393"/>
      <c r="G153" s="393"/>
      <c r="H153" s="393"/>
      <c r="I153" s="393"/>
      <c r="J153" s="393"/>
      <c r="K153" s="393"/>
      <c r="L153" s="393"/>
      <c r="M153" s="393"/>
      <c r="N153" s="393"/>
      <c r="O153" s="393"/>
      <c r="P153" s="393"/>
      <c r="Q153" s="393"/>
      <c r="R153" s="411"/>
      <c r="S153" s="347"/>
      <c r="T153" s="348"/>
    </row>
    <row r="154" spans="1:21" x14ac:dyDescent="0.3">
      <c r="A154" s="249"/>
      <c r="B154" s="296" t="s">
        <v>211</v>
      </c>
      <c r="C154" s="298"/>
      <c r="D154" s="298"/>
      <c r="E154" s="298"/>
      <c r="F154" s="298"/>
      <c r="G154" s="298"/>
      <c r="H154" s="298"/>
      <c r="I154" s="298"/>
      <c r="J154" s="298"/>
      <c r="K154" s="298"/>
      <c r="L154" s="298"/>
      <c r="M154" s="298"/>
      <c r="N154" s="298"/>
      <c r="O154" s="298"/>
      <c r="P154" s="298"/>
      <c r="Q154" s="298"/>
      <c r="R154" s="299"/>
      <c r="S154" s="252"/>
      <c r="T154" s="247"/>
    </row>
    <row r="155" spans="1:21" s="349" customFormat="1" x14ac:dyDescent="0.3">
      <c r="A155" s="412"/>
      <c r="B155" s="413" t="s">
        <v>277</v>
      </c>
      <c r="C155" s="413"/>
      <c r="D155" s="413"/>
      <c r="E155" s="413"/>
      <c r="F155" s="413"/>
      <c r="G155" s="413"/>
      <c r="H155" s="413"/>
      <c r="I155" s="413"/>
      <c r="J155" s="413"/>
      <c r="K155" s="413"/>
      <c r="L155" s="413"/>
      <c r="M155" s="413"/>
      <c r="N155" s="413"/>
      <c r="O155" s="413"/>
      <c r="P155" s="413"/>
      <c r="Q155" s="413"/>
      <c r="R155" s="414">
        <f>+'Feb 17'!R158</f>
        <v>0</v>
      </c>
      <c r="S155" s="415"/>
      <c r="T155" s="348"/>
    </row>
    <row r="156" spans="1:21" s="349" customFormat="1" x14ac:dyDescent="0.3">
      <c r="A156" s="412"/>
      <c r="B156" s="413" t="s">
        <v>213</v>
      </c>
      <c r="C156" s="413"/>
      <c r="D156" s="413"/>
      <c r="E156" s="413"/>
      <c r="F156" s="413"/>
      <c r="G156" s="413"/>
      <c r="H156" s="413"/>
      <c r="I156" s="413"/>
      <c r="J156" s="413"/>
      <c r="K156" s="413"/>
      <c r="L156" s="413"/>
      <c r="M156" s="413"/>
      <c r="N156" s="413"/>
      <c r="O156" s="413"/>
      <c r="P156" s="413"/>
      <c r="Q156" s="413"/>
      <c r="R156" s="414">
        <f>P86</f>
        <v>0</v>
      </c>
      <c r="S156" s="415"/>
      <c r="T156" s="348"/>
    </row>
    <row r="157" spans="1:21" s="349" customFormat="1" x14ac:dyDescent="0.3">
      <c r="A157" s="412"/>
      <c r="B157" s="413" t="s">
        <v>214</v>
      </c>
      <c r="C157" s="413"/>
      <c r="D157" s="413"/>
      <c r="E157" s="413"/>
      <c r="F157" s="413"/>
      <c r="G157" s="413"/>
      <c r="H157" s="413"/>
      <c r="I157" s="413"/>
      <c r="J157" s="413"/>
      <c r="K157" s="413"/>
      <c r="L157" s="413"/>
      <c r="M157" s="413"/>
      <c r="N157" s="413"/>
      <c r="O157" s="413"/>
      <c r="P157" s="413"/>
      <c r="Q157" s="413"/>
      <c r="R157" s="414">
        <v>0</v>
      </c>
      <c r="S157" s="415"/>
      <c r="T157" s="348"/>
    </row>
    <row r="158" spans="1:21" s="349" customFormat="1" x14ac:dyDescent="0.3">
      <c r="A158" s="412"/>
      <c r="B158" s="413" t="s">
        <v>215</v>
      </c>
      <c r="C158" s="413"/>
      <c r="D158" s="413"/>
      <c r="E158" s="413"/>
      <c r="F158" s="413"/>
      <c r="G158" s="413"/>
      <c r="H158" s="413"/>
      <c r="I158" s="413"/>
      <c r="J158" s="413"/>
      <c r="K158" s="413"/>
      <c r="L158" s="413"/>
      <c r="M158" s="413"/>
      <c r="N158" s="413"/>
      <c r="O158" s="413"/>
      <c r="P158" s="413"/>
      <c r="Q158" s="413"/>
      <c r="R158" s="414">
        <f>R155+R156+R157</f>
        <v>0</v>
      </c>
      <c r="S158" s="415"/>
      <c r="T158" s="348"/>
    </row>
    <row r="159" spans="1:21" x14ac:dyDescent="0.3">
      <c r="A159" s="249"/>
      <c r="B159" s="277"/>
      <c r="C159" s="277"/>
      <c r="D159" s="277"/>
      <c r="E159" s="277"/>
      <c r="F159" s="277"/>
      <c r="G159" s="277"/>
      <c r="H159" s="277"/>
      <c r="I159" s="277"/>
      <c r="J159" s="277"/>
      <c r="K159" s="277"/>
      <c r="L159" s="277"/>
      <c r="M159" s="277"/>
      <c r="N159" s="277"/>
      <c r="O159" s="277"/>
      <c r="P159" s="277"/>
      <c r="Q159" s="277"/>
      <c r="R159" s="297"/>
      <c r="S159" s="252"/>
      <c r="T159" s="247"/>
    </row>
    <row r="160" spans="1:21" x14ac:dyDescent="0.3">
      <c r="A160" s="249"/>
      <c r="B160" s="296" t="s">
        <v>39</v>
      </c>
      <c r="C160" s="251"/>
      <c r="D160" s="251"/>
      <c r="E160" s="251"/>
      <c r="F160" s="251"/>
      <c r="G160" s="251"/>
      <c r="H160" s="251"/>
      <c r="I160" s="251"/>
      <c r="J160" s="251"/>
      <c r="K160" s="251"/>
      <c r="L160" s="251"/>
      <c r="M160" s="251"/>
      <c r="N160" s="251"/>
      <c r="O160" s="251"/>
      <c r="P160" s="251"/>
      <c r="Q160" s="251"/>
      <c r="R160" s="300"/>
      <c r="S160" s="252"/>
      <c r="T160" s="247"/>
    </row>
    <row r="161" spans="1:252" s="349" customFormat="1" x14ac:dyDescent="0.3">
      <c r="A161" s="365"/>
      <c r="B161" s="358" t="s">
        <v>40</v>
      </c>
      <c r="C161" s="358"/>
      <c r="D161" s="358"/>
      <c r="E161" s="358"/>
      <c r="F161" s="358"/>
      <c r="G161" s="358"/>
      <c r="H161" s="358"/>
      <c r="I161" s="358"/>
      <c r="J161" s="358"/>
      <c r="K161" s="358"/>
      <c r="L161" s="358"/>
      <c r="M161" s="358"/>
      <c r="N161" s="358"/>
      <c r="O161" s="358"/>
      <c r="P161" s="358"/>
      <c r="Q161" s="358"/>
      <c r="R161" s="404">
        <v>0</v>
      </c>
      <c r="S161" s="361"/>
      <c r="T161" s="348"/>
    </row>
    <row r="162" spans="1:252" s="349" customFormat="1" x14ac:dyDescent="0.3">
      <c r="A162" s="365"/>
      <c r="B162" s="358" t="s">
        <v>41</v>
      </c>
      <c r="C162" s="358"/>
      <c r="D162" s="358"/>
      <c r="E162" s="358"/>
      <c r="F162" s="358"/>
      <c r="G162" s="358"/>
      <c r="H162" s="358"/>
      <c r="I162" s="358"/>
      <c r="J162" s="358"/>
      <c r="K162" s="358"/>
      <c r="L162" s="358"/>
      <c r="M162" s="358"/>
      <c r="N162" s="358"/>
      <c r="O162" s="358"/>
      <c r="P162" s="358"/>
      <c r="Q162" s="358"/>
      <c r="R162" s="404">
        <v>0</v>
      </c>
      <c r="S162" s="361"/>
      <c r="T162" s="348"/>
    </row>
    <row r="163" spans="1:252" s="349" customFormat="1" x14ac:dyDescent="0.3">
      <c r="A163" s="365"/>
      <c r="B163" s="358" t="s">
        <v>42</v>
      </c>
      <c r="C163" s="358"/>
      <c r="D163" s="358"/>
      <c r="E163" s="358"/>
      <c r="F163" s="358"/>
      <c r="G163" s="358"/>
      <c r="H163" s="358"/>
      <c r="I163" s="358"/>
      <c r="J163" s="358"/>
      <c r="K163" s="358"/>
      <c r="L163" s="358"/>
      <c r="M163" s="358"/>
      <c r="N163" s="358"/>
      <c r="O163" s="358"/>
      <c r="P163" s="358"/>
      <c r="Q163" s="358"/>
      <c r="R163" s="404">
        <f>R162+R161</f>
        <v>0</v>
      </c>
      <c r="S163" s="361"/>
      <c r="T163" s="348"/>
    </row>
    <row r="164" spans="1:252" s="349" customFormat="1" x14ac:dyDescent="0.3">
      <c r="A164" s="365"/>
      <c r="B164" s="358" t="s">
        <v>174</v>
      </c>
      <c r="C164" s="358"/>
      <c r="D164" s="358"/>
      <c r="E164" s="358"/>
      <c r="F164" s="358"/>
      <c r="G164" s="358"/>
      <c r="H164" s="358"/>
      <c r="I164" s="358"/>
      <c r="J164" s="358"/>
      <c r="K164" s="358"/>
      <c r="L164" s="358"/>
      <c r="M164" s="358"/>
      <c r="N164" s="358"/>
      <c r="O164" s="358"/>
      <c r="P164" s="358"/>
      <c r="Q164" s="358"/>
      <c r="R164" s="404">
        <f>R111</f>
        <v>0</v>
      </c>
      <c r="S164" s="361"/>
      <c r="T164" s="348"/>
    </row>
    <row r="165" spans="1:252" s="349" customFormat="1" x14ac:dyDescent="0.3">
      <c r="A165" s="365"/>
      <c r="B165" s="358" t="s">
        <v>43</v>
      </c>
      <c r="C165" s="358"/>
      <c r="D165" s="358"/>
      <c r="E165" s="358"/>
      <c r="F165" s="358"/>
      <c r="G165" s="358"/>
      <c r="H165" s="358"/>
      <c r="I165" s="358"/>
      <c r="J165" s="358"/>
      <c r="K165" s="358"/>
      <c r="L165" s="358"/>
      <c r="M165" s="358"/>
      <c r="N165" s="358"/>
      <c r="O165" s="358"/>
      <c r="P165" s="358"/>
      <c r="Q165" s="358"/>
      <c r="R165" s="404">
        <f>R163+R164</f>
        <v>0</v>
      </c>
      <c r="S165" s="361"/>
      <c r="T165" s="348"/>
    </row>
    <row r="166" spans="1:252" s="349" customFormat="1" x14ac:dyDescent="0.3">
      <c r="A166" s="365"/>
      <c r="B166" s="358" t="s">
        <v>150</v>
      </c>
      <c r="C166" s="358"/>
      <c r="D166" s="358"/>
      <c r="E166" s="358"/>
      <c r="F166" s="358"/>
      <c r="G166" s="358"/>
      <c r="H166" s="358"/>
      <c r="I166" s="358"/>
      <c r="J166" s="358"/>
      <c r="K166" s="358"/>
      <c r="L166" s="358"/>
      <c r="M166" s="358"/>
      <c r="N166" s="358"/>
      <c r="O166" s="358"/>
      <c r="P166" s="358"/>
      <c r="Q166" s="358"/>
      <c r="R166" s="404">
        <f>-R99</f>
        <v>0</v>
      </c>
      <c r="S166" s="361"/>
      <c r="T166" s="348"/>
    </row>
    <row r="167" spans="1:252" ht="16.2" thickBot="1" x14ac:dyDescent="0.35">
      <c r="A167" s="249"/>
      <c r="B167" s="277"/>
      <c r="C167" s="277"/>
      <c r="D167" s="277"/>
      <c r="E167" s="277"/>
      <c r="F167" s="277"/>
      <c r="G167" s="277"/>
      <c r="H167" s="277"/>
      <c r="I167" s="277"/>
      <c r="J167" s="277"/>
      <c r="K167" s="277"/>
      <c r="L167" s="277"/>
      <c r="M167" s="277"/>
      <c r="N167" s="277"/>
      <c r="O167" s="277"/>
      <c r="P167" s="277"/>
      <c r="Q167" s="277"/>
      <c r="R167" s="297"/>
      <c r="S167" s="252"/>
      <c r="T167" s="247"/>
    </row>
    <row r="168" spans="1:252" x14ac:dyDescent="0.3">
      <c r="A168" s="244"/>
      <c r="B168" s="245"/>
      <c r="C168" s="245"/>
      <c r="D168" s="245"/>
      <c r="E168" s="245"/>
      <c r="F168" s="245"/>
      <c r="G168" s="245"/>
      <c r="H168" s="245"/>
      <c r="I168" s="245"/>
      <c r="J168" s="245"/>
      <c r="K168" s="245"/>
      <c r="L168" s="245"/>
      <c r="M168" s="245"/>
      <c r="N168" s="245"/>
      <c r="O168" s="245"/>
      <c r="P168" s="245"/>
      <c r="Q168" s="245"/>
      <c r="R168" s="301"/>
      <c r="S168" s="246"/>
      <c r="T168" s="247"/>
    </row>
    <row r="169" spans="1:252" s="303" customFormat="1" x14ac:dyDescent="0.3">
      <c r="A169" s="249"/>
      <c r="B169" s="296" t="s">
        <v>204</v>
      </c>
      <c r="C169" s="277"/>
      <c r="D169" s="277"/>
      <c r="E169" s="277"/>
      <c r="F169" s="277"/>
      <c r="G169" s="277"/>
      <c r="H169" s="277"/>
      <c r="I169" s="277"/>
      <c r="J169" s="277"/>
      <c r="K169" s="277"/>
      <c r="L169" s="277"/>
      <c r="M169" s="277"/>
      <c r="N169" s="277"/>
      <c r="O169" s="277"/>
      <c r="P169" s="277"/>
      <c r="Q169" s="277"/>
      <c r="R169" s="302"/>
      <c r="S169" s="252"/>
      <c r="T169" s="247"/>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c r="BT169" s="248"/>
      <c r="BU169" s="248"/>
      <c r="BV169" s="248"/>
      <c r="BW169" s="248"/>
      <c r="BX169" s="248"/>
      <c r="BY169" s="248"/>
      <c r="BZ169" s="248"/>
      <c r="CA169" s="248"/>
      <c r="CB169" s="248"/>
      <c r="CC169" s="248"/>
      <c r="CD169" s="248"/>
      <c r="CE169" s="248"/>
      <c r="CF169" s="248"/>
      <c r="CG169" s="248"/>
      <c r="CH169" s="248"/>
      <c r="CI169" s="248"/>
      <c r="CJ169" s="248"/>
      <c r="CK169" s="248"/>
      <c r="CL169" s="248"/>
      <c r="CM169" s="248"/>
      <c r="CN169" s="248"/>
      <c r="CO169" s="248"/>
      <c r="CP169" s="248"/>
      <c r="CQ169" s="248"/>
      <c r="CR169" s="248"/>
      <c r="CS169" s="248"/>
      <c r="CT169" s="248"/>
      <c r="CU169" s="248"/>
      <c r="CV169" s="248"/>
      <c r="CW169" s="248"/>
      <c r="CX169" s="248"/>
      <c r="CY169" s="248"/>
      <c r="CZ169" s="248"/>
      <c r="DA169" s="248"/>
      <c r="DB169" s="248"/>
      <c r="DC169" s="248"/>
      <c r="DD169" s="248"/>
      <c r="DE169" s="248"/>
      <c r="DF169" s="248"/>
      <c r="DG169" s="248"/>
      <c r="DH169" s="248"/>
      <c r="DI169" s="248"/>
      <c r="DJ169" s="248"/>
      <c r="DK169" s="248"/>
      <c r="DL169" s="248"/>
      <c r="DM169" s="248"/>
      <c r="DN169" s="248"/>
      <c r="DO169" s="248"/>
      <c r="DP169" s="248"/>
      <c r="DQ169" s="248"/>
      <c r="DR169" s="248"/>
      <c r="DS169" s="248"/>
      <c r="DT169" s="248"/>
      <c r="DU169" s="248"/>
      <c r="DV169" s="248"/>
      <c r="DW169" s="248"/>
      <c r="DX169" s="248"/>
      <c r="DY169" s="248"/>
      <c r="DZ169" s="248"/>
      <c r="EA169" s="248"/>
      <c r="EB169" s="248"/>
      <c r="EC169" s="248"/>
      <c r="ED169" s="248"/>
      <c r="EE169" s="248"/>
      <c r="EF169" s="248"/>
      <c r="EG169" s="248"/>
      <c r="EH169" s="248"/>
      <c r="EI169" s="248"/>
      <c r="EJ169" s="248"/>
      <c r="EK169" s="248"/>
      <c r="EL169" s="248"/>
      <c r="EM169" s="248"/>
      <c r="EN169" s="248"/>
      <c r="EO169" s="248"/>
      <c r="EP169" s="248"/>
      <c r="EQ169" s="248"/>
      <c r="ER169" s="248"/>
      <c r="ES169" s="248"/>
      <c r="ET169" s="248"/>
      <c r="EU169" s="248"/>
      <c r="EV169" s="248"/>
      <c r="EW169" s="248"/>
      <c r="EX169" s="248"/>
      <c r="EY169" s="248"/>
      <c r="EZ169" s="248"/>
      <c r="FA169" s="248"/>
      <c r="FB169" s="248"/>
      <c r="FC169" s="248"/>
      <c r="FD169" s="248"/>
      <c r="FE169" s="248"/>
      <c r="FF169" s="248"/>
      <c r="FG169" s="248"/>
      <c r="FH169" s="248"/>
      <c r="FI169" s="248"/>
      <c r="FJ169" s="248"/>
      <c r="FK169" s="248"/>
      <c r="FL169" s="248"/>
      <c r="FM169" s="248"/>
      <c r="FN169" s="248"/>
      <c r="FO169" s="248"/>
      <c r="FP169" s="248"/>
      <c r="FQ169" s="248"/>
      <c r="FR169" s="248"/>
      <c r="FS169" s="248"/>
      <c r="FT169" s="248"/>
      <c r="FU169" s="248"/>
      <c r="FV169" s="248"/>
      <c r="FW169" s="248"/>
      <c r="FX169" s="248"/>
      <c r="FY169" s="248"/>
      <c r="FZ169" s="248"/>
      <c r="GA169" s="248"/>
      <c r="GB169" s="248"/>
      <c r="GC169" s="248"/>
      <c r="GD169" s="248"/>
      <c r="GE169" s="248"/>
      <c r="GF169" s="248"/>
      <c r="GG169" s="248"/>
      <c r="GH169" s="248"/>
      <c r="GI169" s="248"/>
      <c r="GJ169" s="248"/>
      <c r="GK169" s="248"/>
      <c r="GL169" s="248"/>
      <c r="GM169" s="248"/>
      <c r="GN169" s="248"/>
      <c r="GO169" s="248"/>
      <c r="GP169" s="248"/>
      <c r="GQ169" s="248"/>
      <c r="GR169" s="248"/>
      <c r="GS169" s="248"/>
      <c r="GT169" s="248"/>
      <c r="GU169" s="248"/>
      <c r="GV169" s="248"/>
      <c r="GW169" s="248"/>
      <c r="GX169" s="248"/>
      <c r="GY169" s="248"/>
      <c r="GZ169" s="248"/>
      <c r="HA169" s="248"/>
      <c r="HB169" s="248"/>
      <c r="HC169" s="248"/>
      <c r="HD169" s="248"/>
      <c r="HE169" s="248"/>
      <c r="HF169" s="248"/>
      <c r="HG169" s="248"/>
      <c r="HH169" s="248"/>
      <c r="HI169" s="248"/>
      <c r="HJ169" s="248"/>
      <c r="HK169" s="248"/>
      <c r="HL169" s="248"/>
      <c r="HM169" s="248"/>
      <c r="HN169" s="248"/>
      <c r="HO169" s="248"/>
      <c r="HP169" s="248"/>
      <c r="HQ169" s="248"/>
      <c r="HR169" s="248"/>
      <c r="HS169" s="248"/>
      <c r="HT169" s="248"/>
      <c r="HU169" s="248"/>
      <c r="HV169" s="248"/>
      <c r="HW169" s="248"/>
      <c r="HX169" s="248"/>
      <c r="HY169" s="248"/>
      <c r="HZ169" s="248"/>
      <c r="IA169" s="248"/>
      <c r="IB169" s="248"/>
      <c r="IC169" s="248"/>
      <c r="ID169" s="248"/>
      <c r="IE169" s="248"/>
      <c r="IF169" s="248"/>
      <c r="IG169" s="248"/>
      <c r="IH169" s="248"/>
      <c r="II169" s="248"/>
      <c r="IJ169" s="248"/>
      <c r="IK169" s="248"/>
      <c r="IL169" s="248"/>
      <c r="IM169" s="248"/>
      <c r="IN169" s="248"/>
      <c r="IO169" s="248"/>
      <c r="IP169" s="248"/>
      <c r="IQ169" s="248"/>
      <c r="IR169" s="248"/>
    </row>
    <row r="170" spans="1:252" s="416" customFormat="1" x14ac:dyDescent="0.3">
      <c r="A170" s="365"/>
      <c r="B170" s="358" t="s">
        <v>141</v>
      </c>
      <c r="C170" s="358"/>
      <c r="D170" s="358"/>
      <c r="E170" s="358"/>
      <c r="F170" s="358"/>
      <c r="G170" s="358"/>
      <c r="H170" s="358"/>
      <c r="I170" s="358"/>
      <c r="J170" s="358"/>
      <c r="K170" s="358"/>
      <c r="L170" s="358"/>
      <c r="M170" s="358"/>
      <c r="N170" s="358"/>
      <c r="O170" s="358"/>
      <c r="P170" s="358"/>
      <c r="Q170" s="358"/>
      <c r="R170" s="404">
        <f>+'Aug 18'!R173</f>
        <v>879</v>
      </c>
      <c r="S170" s="361"/>
      <c r="T170" s="348"/>
      <c r="U170" s="349"/>
      <c r="V170" s="349"/>
      <c r="W170" s="349"/>
      <c r="X170" s="349"/>
      <c r="Y170" s="349"/>
      <c r="Z170" s="349"/>
      <c r="AA170" s="349"/>
      <c r="AB170" s="349"/>
      <c r="AC170" s="349"/>
      <c r="AD170" s="349"/>
      <c r="AE170" s="349"/>
      <c r="AF170" s="349"/>
      <c r="AG170" s="349"/>
      <c r="AH170" s="349"/>
      <c r="AI170" s="349"/>
      <c r="AJ170" s="349"/>
      <c r="AK170" s="349"/>
      <c r="AL170" s="349"/>
      <c r="AM170" s="349"/>
      <c r="AN170" s="349"/>
      <c r="AO170" s="349"/>
      <c r="AP170" s="349"/>
      <c r="AQ170" s="349"/>
      <c r="AR170" s="349"/>
      <c r="AS170" s="349"/>
      <c r="AT170" s="349"/>
      <c r="AU170" s="349"/>
      <c r="AV170" s="349"/>
      <c r="AW170" s="349"/>
      <c r="AX170" s="349"/>
      <c r="AY170" s="349"/>
      <c r="AZ170" s="349"/>
      <c r="BA170" s="349"/>
      <c r="BB170" s="349"/>
      <c r="BC170" s="349"/>
      <c r="BD170" s="349"/>
      <c r="BE170" s="349"/>
      <c r="BF170" s="349"/>
      <c r="BG170" s="349"/>
      <c r="BH170" s="349"/>
      <c r="BI170" s="349"/>
      <c r="BJ170" s="349"/>
      <c r="BK170" s="349"/>
      <c r="BL170" s="349"/>
      <c r="BM170" s="349"/>
      <c r="BN170" s="349"/>
      <c r="BO170" s="349"/>
      <c r="BP170" s="349"/>
      <c r="BQ170" s="349"/>
      <c r="BR170" s="349"/>
      <c r="BS170" s="349"/>
      <c r="BT170" s="349"/>
      <c r="BU170" s="349"/>
      <c r="BV170" s="349"/>
      <c r="BW170" s="349"/>
      <c r="BX170" s="349"/>
      <c r="BY170" s="349"/>
      <c r="BZ170" s="349"/>
      <c r="CA170" s="349"/>
      <c r="CB170" s="349"/>
      <c r="CC170" s="349"/>
      <c r="CD170" s="349"/>
      <c r="CE170" s="349"/>
      <c r="CF170" s="349"/>
      <c r="CG170" s="349"/>
      <c r="CH170" s="349"/>
      <c r="CI170" s="349"/>
      <c r="CJ170" s="349"/>
      <c r="CK170" s="349"/>
      <c r="CL170" s="349"/>
      <c r="CM170" s="349"/>
      <c r="CN170" s="349"/>
      <c r="CO170" s="349"/>
      <c r="CP170" s="349"/>
      <c r="CQ170" s="349"/>
      <c r="CR170" s="349"/>
      <c r="CS170" s="349"/>
      <c r="CT170" s="349"/>
      <c r="CU170" s="349"/>
      <c r="CV170" s="349"/>
      <c r="CW170" s="349"/>
      <c r="CX170" s="349"/>
      <c r="CY170" s="349"/>
      <c r="CZ170" s="349"/>
      <c r="DA170" s="349"/>
      <c r="DB170" s="349"/>
      <c r="DC170" s="349"/>
      <c r="DD170" s="349"/>
      <c r="DE170" s="349"/>
      <c r="DF170" s="349"/>
      <c r="DG170" s="349"/>
      <c r="DH170" s="349"/>
      <c r="DI170" s="349"/>
      <c r="DJ170" s="349"/>
      <c r="DK170" s="349"/>
      <c r="DL170" s="349"/>
      <c r="DM170" s="349"/>
      <c r="DN170" s="349"/>
      <c r="DO170" s="349"/>
      <c r="DP170" s="349"/>
      <c r="DQ170" s="349"/>
      <c r="DR170" s="349"/>
      <c r="DS170" s="349"/>
      <c r="DT170" s="349"/>
      <c r="DU170" s="349"/>
      <c r="DV170" s="349"/>
      <c r="DW170" s="349"/>
      <c r="DX170" s="349"/>
      <c r="DY170" s="349"/>
      <c r="DZ170" s="349"/>
      <c r="EA170" s="349"/>
      <c r="EB170" s="349"/>
      <c r="EC170" s="349"/>
      <c r="ED170" s="349"/>
      <c r="EE170" s="349"/>
      <c r="EF170" s="349"/>
      <c r="EG170" s="349"/>
      <c r="EH170" s="349"/>
      <c r="EI170" s="349"/>
      <c r="EJ170" s="349"/>
      <c r="EK170" s="349"/>
      <c r="EL170" s="349"/>
      <c r="EM170" s="349"/>
      <c r="EN170" s="349"/>
      <c r="EO170" s="349"/>
      <c r="EP170" s="349"/>
      <c r="EQ170" s="349"/>
      <c r="ER170" s="349"/>
      <c r="ES170" s="349"/>
      <c r="ET170" s="349"/>
      <c r="EU170" s="349"/>
      <c r="EV170" s="349"/>
      <c r="EW170" s="349"/>
      <c r="EX170" s="349"/>
      <c r="EY170" s="349"/>
      <c r="EZ170" s="349"/>
      <c r="FA170" s="349"/>
      <c r="FB170" s="349"/>
      <c r="FC170" s="349"/>
      <c r="FD170" s="349"/>
      <c r="FE170" s="349"/>
      <c r="FF170" s="349"/>
      <c r="FG170" s="349"/>
      <c r="FH170" s="349"/>
      <c r="FI170" s="349"/>
      <c r="FJ170" s="349"/>
      <c r="FK170" s="349"/>
      <c r="FL170" s="349"/>
      <c r="FM170" s="349"/>
      <c r="FN170" s="349"/>
      <c r="FO170" s="349"/>
      <c r="FP170" s="349"/>
      <c r="FQ170" s="349"/>
      <c r="FR170" s="349"/>
      <c r="FS170" s="349"/>
      <c r="FT170" s="349"/>
      <c r="FU170" s="349"/>
      <c r="FV170" s="349"/>
      <c r="FW170" s="349"/>
      <c r="FX170" s="349"/>
      <c r="FY170" s="349"/>
      <c r="FZ170" s="349"/>
      <c r="GA170" s="349"/>
      <c r="GB170" s="349"/>
      <c r="GC170" s="349"/>
      <c r="GD170" s="349"/>
      <c r="GE170" s="349"/>
      <c r="GF170" s="349"/>
      <c r="GG170" s="349"/>
      <c r="GH170" s="349"/>
      <c r="GI170" s="349"/>
      <c r="GJ170" s="349"/>
      <c r="GK170" s="349"/>
      <c r="GL170" s="349"/>
      <c r="GM170" s="349"/>
      <c r="GN170" s="349"/>
      <c r="GO170" s="349"/>
      <c r="GP170" s="349"/>
      <c r="GQ170" s="349"/>
      <c r="GR170" s="349"/>
      <c r="GS170" s="349"/>
      <c r="GT170" s="349"/>
      <c r="GU170" s="349"/>
      <c r="GV170" s="349"/>
      <c r="GW170" s="349"/>
      <c r="GX170" s="349"/>
      <c r="GY170" s="349"/>
      <c r="GZ170" s="349"/>
      <c r="HA170" s="349"/>
      <c r="HB170" s="349"/>
      <c r="HC170" s="349"/>
      <c r="HD170" s="349"/>
      <c r="HE170" s="349"/>
      <c r="HF170" s="349"/>
      <c r="HG170" s="349"/>
      <c r="HH170" s="349"/>
      <c r="HI170" s="349"/>
      <c r="HJ170" s="349"/>
      <c r="HK170" s="349"/>
      <c r="HL170" s="349"/>
      <c r="HM170" s="349"/>
      <c r="HN170" s="349"/>
      <c r="HO170" s="349"/>
      <c r="HP170" s="349"/>
      <c r="HQ170" s="349"/>
      <c r="HR170" s="349"/>
      <c r="HS170" s="349"/>
      <c r="HT170" s="349"/>
      <c r="HU170" s="349"/>
      <c r="HV170" s="349"/>
      <c r="HW170" s="349"/>
      <c r="HX170" s="349"/>
      <c r="HY170" s="349"/>
      <c r="HZ170" s="349"/>
      <c r="IA170" s="349"/>
      <c r="IB170" s="349"/>
      <c r="IC170" s="349"/>
      <c r="ID170" s="349"/>
      <c r="IE170" s="349"/>
      <c r="IF170" s="349"/>
      <c r="IG170" s="349"/>
      <c r="IH170" s="349"/>
      <c r="II170" s="349"/>
      <c r="IJ170" s="349"/>
      <c r="IK170" s="349"/>
      <c r="IL170" s="349"/>
      <c r="IM170" s="349"/>
      <c r="IN170" s="349"/>
      <c r="IO170" s="349"/>
      <c r="IP170" s="349"/>
      <c r="IQ170" s="349"/>
      <c r="IR170" s="349"/>
    </row>
    <row r="171" spans="1:252" s="416" customFormat="1" x14ac:dyDescent="0.3">
      <c r="A171" s="365"/>
      <c r="B171" s="358" t="s">
        <v>288</v>
      </c>
      <c r="C171" s="358"/>
      <c r="D171" s="358"/>
      <c r="E171" s="358"/>
      <c r="F171" s="358"/>
      <c r="G171" s="358"/>
      <c r="H171" s="358"/>
      <c r="I171" s="358"/>
      <c r="J171" s="358"/>
      <c r="K171" s="358"/>
      <c r="L171" s="358"/>
      <c r="M171" s="358"/>
      <c r="N171" s="358"/>
      <c r="O171" s="358"/>
      <c r="P171" s="358"/>
      <c r="Q171" s="358"/>
      <c r="R171" s="404">
        <v>0</v>
      </c>
      <c r="S171" s="361"/>
      <c r="T171" s="348"/>
      <c r="U171" s="349"/>
      <c r="V171" s="349"/>
      <c r="W171" s="349"/>
      <c r="X171" s="349"/>
      <c r="Y171" s="349"/>
      <c r="Z171" s="349"/>
      <c r="AA171" s="349"/>
      <c r="AB171" s="349"/>
      <c r="AC171" s="349"/>
      <c r="AD171" s="349"/>
      <c r="AE171" s="349"/>
      <c r="AF171" s="349"/>
      <c r="AG171" s="349"/>
      <c r="AH171" s="349"/>
      <c r="AI171" s="349"/>
      <c r="AJ171" s="349"/>
      <c r="AK171" s="349"/>
      <c r="AL171" s="349"/>
      <c r="AM171" s="349"/>
      <c r="AN171" s="349"/>
      <c r="AO171" s="349"/>
      <c r="AP171" s="349"/>
      <c r="AQ171" s="349"/>
      <c r="AR171" s="349"/>
      <c r="AS171" s="349"/>
      <c r="AT171" s="349"/>
      <c r="AU171" s="349"/>
      <c r="AV171" s="349"/>
      <c r="AW171" s="349"/>
      <c r="AX171" s="349"/>
      <c r="AY171" s="349"/>
      <c r="AZ171" s="349"/>
      <c r="BA171" s="349"/>
      <c r="BB171" s="349"/>
      <c r="BC171" s="349"/>
      <c r="BD171" s="349"/>
      <c r="BE171" s="349"/>
      <c r="BF171" s="349"/>
      <c r="BG171" s="349"/>
      <c r="BH171" s="349"/>
      <c r="BI171" s="349"/>
      <c r="BJ171" s="349"/>
      <c r="BK171" s="349"/>
      <c r="BL171" s="349"/>
      <c r="BM171" s="349"/>
      <c r="BN171" s="349"/>
      <c r="BO171" s="349"/>
      <c r="BP171" s="349"/>
      <c r="BQ171" s="349"/>
      <c r="BR171" s="349"/>
      <c r="BS171" s="349"/>
      <c r="BT171" s="349"/>
      <c r="BU171" s="349"/>
      <c r="BV171" s="349"/>
      <c r="BW171" s="349"/>
      <c r="BX171" s="349"/>
      <c r="BY171" s="349"/>
      <c r="BZ171" s="349"/>
      <c r="CA171" s="349"/>
      <c r="CB171" s="349"/>
      <c r="CC171" s="349"/>
      <c r="CD171" s="349"/>
      <c r="CE171" s="349"/>
      <c r="CF171" s="349"/>
      <c r="CG171" s="349"/>
      <c r="CH171" s="349"/>
      <c r="CI171" s="349"/>
      <c r="CJ171" s="349"/>
      <c r="CK171" s="349"/>
      <c r="CL171" s="349"/>
      <c r="CM171" s="349"/>
      <c r="CN171" s="349"/>
      <c r="CO171" s="349"/>
      <c r="CP171" s="349"/>
      <c r="CQ171" s="349"/>
      <c r="CR171" s="349"/>
      <c r="CS171" s="349"/>
      <c r="CT171" s="349"/>
      <c r="CU171" s="349"/>
      <c r="CV171" s="349"/>
      <c r="CW171" s="349"/>
      <c r="CX171" s="349"/>
      <c r="CY171" s="349"/>
      <c r="CZ171" s="349"/>
      <c r="DA171" s="349"/>
      <c r="DB171" s="349"/>
      <c r="DC171" s="349"/>
      <c r="DD171" s="349"/>
      <c r="DE171" s="349"/>
      <c r="DF171" s="349"/>
      <c r="DG171" s="349"/>
      <c r="DH171" s="349"/>
      <c r="DI171" s="349"/>
      <c r="DJ171" s="349"/>
      <c r="DK171" s="349"/>
      <c r="DL171" s="349"/>
      <c r="DM171" s="349"/>
      <c r="DN171" s="349"/>
      <c r="DO171" s="349"/>
      <c r="DP171" s="349"/>
      <c r="DQ171" s="349"/>
      <c r="DR171" s="349"/>
      <c r="DS171" s="349"/>
      <c r="DT171" s="349"/>
      <c r="DU171" s="349"/>
      <c r="DV171" s="349"/>
      <c r="DW171" s="349"/>
      <c r="DX171" s="349"/>
      <c r="DY171" s="349"/>
      <c r="DZ171" s="349"/>
      <c r="EA171" s="349"/>
      <c r="EB171" s="349"/>
      <c r="EC171" s="349"/>
      <c r="ED171" s="349"/>
      <c r="EE171" s="349"/>
      <c r="EF171" s="349"/>
      <c r="EG171" s="349"/>
      <c r="EH171" s="349"/>
      <c r="EI171" s="349"/>
      <c r="EJ171" s="349"/>
      <c r="EK171" s="349"/>
      <c r="EL171" s="349"/>
      <c r="EM171" s="349"/>
      <c r="EN171" s="349"/>
      <c r="EO171" s="349"/>
      <c r="EP171" s="349"/>
      <c r="EQ171" s="349"/>
      <c r="ER171" s="349"/>
      <c r="ES171" s="349"/>
      <c r="ET171" s="349"/>
      <c r="EU171" s="349"/>
      <c r="EV171" s="349"/>
      <c r="EW171" s="349"/>
      <c r="EX171" s="349"/>
      <c r="EY171" s="349"/>
      <c r="EZ171" s="349"/>
      <c r="FA171" s="349"/>
      <c r="FB171" s="349"/>
      <c r="FC171" s="349"/>
      <c r="FD171" s="349"/>
      <c r="FE171" s="349"/>
      <c r="FF171" s="349"/>
      <c r="FG171" s="349"/>
      <c r="FH171" s="349"/>
      <c r="FI171" s="349"/>
      <c r="FJ171" s="349"/>
      <c r="FK171" s="349"/>
      <c r="FL171" s="349"/>
      <c r="FM171" s="349"/>
      <c r="FN171" s="349"/>
      <c r="FO171" s="349"/>
      <c r="FP171" s="349"/>
      <c r="FQ171" s="349"/>
      <c r="FR171" s="349"/>
      <c r="FS171" s="349"/>
      <c r="FT171" s="349"/>
      <c r="FU171" s="349"/>
      <c r="FV171" s="349"/>
      <c r="FW171" s="349"/>
      <c r="FX171" s="349"/>
      <c r="FY171" s="349"/>
      <c r="FZ171" s="349"/>
      <c r="GA171" s="349"/>
      <c r="GB171" s="349"/>
      <c r="GC171" s="349"/>
      <c r="GD171" s="349"/>
      <c r="GE171" s="349"/>
      <c r="GF171" s="349"/>
      <c r="GG171" s="349"/>
      <c r="GH171" s="349"/>
      <c r="GI171" s="349"/>
      <c r="GJ171" s="349"/>
      <c r="GK171" s="349"/>
      <c r="GL171" s="349"/>
      <c r="GM171" s="349"/>
      <c r="GN171" s="349"/>
      <c r="GO171" s="349"/>
      <c r="GP171" s="349"/>
      <c r="GQ171" s="349"/>
      <c r="GR171" s="349"/>
      <c r="GS171" s="349"/>
      <c r="GT171" s="349"/>
      <c r="GU171" s="349"/>
      <c r="GV171" s="349"/>
      <c r="GW171" s="349"/>
      <c r="GX171" s="349"/>
      <c r="GY171" s="349"/>
      <c r="GZ171" s="349"/>
      <c r="HA171" s="349"/>
      <c r="HB171" s="349"/>
      <c r="HC171" s="349"/>
      <c r="HD171" s="349"/>
      <c r="HE171" s="349"/>
      <c r="HF171" s="349"/>
      <c r="HG171" s="349"/>
      <c r="HH171" s="349"/>
      <c r="HI171" s="349"/>
      <c r="HJ171" s="349"/>
      <c r="HK171" s="349"/>
      <c r="HL171" s="349"/>
      <c r="HM171" s="349"/>
      <c r="HN171" s="349"/>
      <c r="HO171" s="349"/>
      <c r="HP171" s="349"/>
      <c r="HQ171" s="349"/>
      <c r="HR171" s="349"/>
      <c r="HS171" s="349"/>
      <c r="HT171" s="349"/>
      <c r="HU171" s="349"/>
      <c r="HV171" s="349"/>
      <c r="HW171" s="349"/>
      <c r="HX171" s="349"/>
      <c r="HY171" s="349"/>
      <c r="HZ171" s="349"/>
      <c r="IA171" s="349"/>
      <c r="IB171" s="349"/>
      <c r="IC171" s="349"/>
      <c r="ID171" s="349"/>
      <c r="IE171" s="349"/>
      <c r="IF171" s="349"/>
      <c r="IG171" s="349"/>
      <c r="IH171" s="349"/>
      <c r="II171" s="349"/>
      <c r="IJ171" s="349"/>
      <c r="IK171" s="349"/>
      <c r="IL171" s="349"/>
      <c r="IM171" s="349"/>
      <c r="IN171" s="349"/>
      <c r="IO171" s="349"/>
      <c r="IP171" s="349"/>
      <c r="IQ171" s="349"/>
      <c r="IR171" s="349"/>
    </row>
    <row r="172" spans="1:252" s="416" customFormat="1" x14ac:dyDescent="0.3">
      <c r="A172" s="365"/>
      <c r="B172" s="358" t="s">
        <v>144</v>
      </c>
      <c r="C172" s="358"/>
      <c r="D172" s="358"/>
      <c r="E172" s="358"/>
      <c r="F172" s="358"/>
      <c r="G172" s="358"/>
      <c r="H172" s="358"/>
      <c r="I172" s="358"/>
      <c r="J172" s="358"/>
      <c r="K172" s="358"/>
      <c r="L172" s="358"/>
      <c r="M172" s="358"/>
      <c r="N172" s="358"/>
      <c r="O172" s="358"/>
      <c r="P172" s="358"/>
      <c r="Q172" s="358"/>
      <c r="R172" s="404">
        <f>+R92</f>
        <v>122</v>
      </c>
      <c r="S172" s="361"/>
      <c r="T172" s="348"/>
      <c r="U172" s="349"/>
      <c r="V172" s="349"/>
      <c r="W172" s="349"/>
      <c r="X172" s="349"/>
      <c r="Y172" s="349"/>
      <c r="Z172" s="349"/>
      <c r="AA172" s="349"/>
      <c r="AB172" s="349"/>
      <c r="AC172" s="349"/>
      <c r="AD172" s="349"/>
      <c r="AE172" s="349"/>
      <c r="AF172" s="349"/>
      <c r="AG172" s="349"/>
      <c r="AH172" s="349"/>
      <c r="AI172" s="349"/>
      <c r="AJ172" s="349"/>
      <c r="AK172" s="349"/>
      <c r="AL172" s="349"/>
      <c r="AM172" s="349"/>
      <c r="AN172" s="349"/>
      <c r="AO172" s="349"/>
      <c r="AP172" s="349"/>
      <c r="AQ172" s="349"/>
      <c r="AR172" s="349"/>
      <c r="AS172" s="349"/>
      <c r="AT172" s="349"/>
      <c r="AU172" s="349"/>
      <c r="AV172" s="349"/>
      <c r="AW172" s="349"/>
      <c r="AX172" s="349"/>
      <c r="AY172" s="349"/>
      <c r="AZ172" s="349"/>
      <c r="BA172" s="349"/>
      <c r="BB172" s="349"/>
      <c r="BC172" s="349"/>
      <c r="BD172" s="349"/>
      <c r="BE172" s="349"/>
      <c r="BF172" s="349"/>
      <c r="BG172" s="349"/>
      <c r="BH172" s="349"/>
      <c r="BI172" s="349"/>
      <c r="BJ172" s="349"/>
      <c r="BK172" s="349"/>
      <c r="BL172" s="349"/>
      <c r="BM172" s="349"/>
      <c r="BN172" s="349"/>
      <c r="BO172" s="349"/>
      <c r="BP172" s="349"/>
      <c r="BQ172" s="349"/>
      <c r="BR172" s="349"/>
      <c r="BS172" s="349"/>
      <c r="BT172" s="349"/>
      <c r="BU172" s="349"/>
      <c r="BV172" s="349"/>
      <c r="BW172" s="349"/>
      <c r="BX172" s="349"/>
      <c r="BY172" s="349"/>
      <c r="BZ172" s="349"/>
      <c r="CA172" s="349"/>
      <c r="CB172" s="349"/>
      <c r="CC172" s="349"/>
      <c r="CD172" s="349"/>
      <c r="CE172" s="349"/>
      <c r="CF172" s="349"/>
      <c r="CG172" s="349"/>
      <c r="CH172" s="349"/>
      <c r="CI172" s="349"/>
      <c r="CJ172" s="349"/>
      <c r="CK172" s="349"/>
      <c r="CL172" s="349"/>
      <c r="CM172" s="349"/>
      <c r="CN172" s="349"/>
      <c r="CO172" s="349"/>
      <c r="CP172" s="349"/>
      <c r="CQ172" s="349"/>
      <c r="CR172" s="349"/>
      <c r="CS172" s="349"/>
      <c r="CT172" s="349"/>
      <c r="CU172" s="349"/>
      <c r="CV172" s="349"/>
      <c r="CW172" s="349"/>
      <c r="CX172" s="349"/>
      <c r="CY172" s="349"/>
      <c r="CZ172" s="349"/>
      <c r="DA172" s="349"/>
      <c r="DB172" s="349"/>
      <c r="DC172" s="349"/>
      <c r="DD172" s="349"/>
      <c r="DE172" s="349"/>
      <c r="DF172" s="349"/>
      <c r="DG172" s="349"/>
      <c r="DH172" s="349"/>
      <c r="DI172" s="349"/>
      <c r="DJ172" s="349"/>
      <c r="DK172" s="349"/>
      <c r="DL172" s="349"/>
      <c r="DM172" s="349"/>
      <c r="DN172" s="349"/>
      <c r="DO172" s="349"/>
      <c r="DP172" s="349"/>
      <c r="DQ172" s="349"/>
      <c r="DR172" s="349"/>
      <c r="DS172" s="349"/>
      <c r="DT172" s="349"/>
      <c r="DU172" s="349"/>
      <c r="DV172" s="349"/>
      <c r="DW172" s="349"/>
      <c r="DX172" s="349"/>
      <c r="DY172" s="349"/>
      <c r="DZ172" s="349"/>
      <c r="EA172" s="349"/>
      <c r="EB172" s="349"/>
      <c r="EC172" s="349"/>
      <c r="ED172" s="349"/>
      <c r="EE172" s="349"/>
      <c r="EF172" s="349"/>
      <c r="EG172" s="349"/>
      <c r="EH172" s="349"/>
      <c r="EI172" s="349"/>
      <c r="EJ172" s="349"/>
      <c r="EK172" s="349"/>
      <c r="EL172" s="349"/>
      <c r="EM172" s="349"/>
      <c r="EN172" s="349"/>
      <c r="EO172" s="349"/>
      <c r="EP172" s="349"/>
      <c r="EQ172" s="349"/>
      <c r="ER172" s="349"/>
      <c r="ES172" s="349"/>
      <c r="ET172" s="349"/>
      <c r="EU172" s="349"/>
      <c r="EV172" s="349"/>
      <c r="EW172" s="349"/>
      <c r="EX172" s="349"/>
      <c r="EY172" s="349"/>
      <c r="EZ172" s="349"/>
      <c r="FA172" s="349"/>
      <c r="FB172" s="349"/>
      <c r="FC172" s="349"/>
      <c r="FD172" s="349"/>
      <c r="FE172" s="349"/>
      <c r="FF172" s="349"/>
      <c r="FG172" s="349"/>
      <c r="FH172" s="349"/>
      <c r="FI172" s="349"/>
      <c r="FJ172" s="349"/>
      <c r="FK172" s="349"/>
      <c r="FL172" s="349"/>
      <c r="FM172" s="349"/>
      <c r="FN172" s="349"/>
      <c r="FO172" s="349"/>
      <c r="FP172" s="349"/>
      <c r="FQ172" s="349"/>
      <c r="FR172" s="349"/>
      <c r="FS172" s="349"/>
      <c r="FT172" s="349"/>
      <c r="FU172" s="349"/>
      <c r="FV172" s="349"/>
      <c r="FW172" s="349"/>
      <c r="FX172" s="349"/>
      <c r="FY172" s="349"/>
      <c r="FZ172" s="349"/>
      <c r="GA172" s="349"/>
      <c r="GB172" s="349"/>
      <c r="GC172" s="349"/>
      <c r="GD172" s="349"/>
      <c r="GE172" s="349"/>
      <c r="GF172" s="349"/>
      <c r="GG172" s="349"/>
      <c r="GH172" s="349"/>
      <c r="GI172" s="349"/>
      <c r="GJ172" s="349"/>
      <c r="GK172" s="349"/>
      <c r="GL172" s="349"/>
      <c r="GM172" s="349"/>
      <c r="GN172" s="349"/>
      <c r="GO172" s="349"/>
      <c r="GP172" s="349"/>
      <c r="GQ172" s="349"/>
      <c r="GR172" s="349"/>
      <c r="GS172" s="349"/>
      <c r="GT172" s="349"/>
      <c r="GU172" s="349"/>
      <c r="GV172" s="349"/>
      <c r="GW172" s="349"/>
      <c r="GX172" s="349"/>
      <c r="GY172" s="349"/>
      <c r="GZ172" s="349"/>
      <c r="HA172" s="349"/>
      <c r="HB172" s="349"/>
      <c r="HC172" s="349"/>
      <c r="HD172" s="349"/>
      <c r="HE172" s="349"/>
      <c r="HF172" s="349"/>
      <c r="HG172" s="349"/>
      <c r="HH172" s="349"/>
      <c r="HI172" s="349"/>
      <c r="HJ172" s="349"/>
      <c r="HK172" s="349"/>
      <c r="HL172" s="349"/>
      <c r="HM172" s="349"/>
      <c r="HN172" s="349"/>
      <c r="HO172" s="349"/>
      <c r="HP172" s="349"/>
      <c r="HQ172" s="349"/>
      <c r="HR172" s="349"/>
      <c r="HS172" s="349"/>
      <c r="HT172" s="349"/>
      <c r="HU172" s="349"/>
      <c r="HV172" s="349"/>
      <c r="HW172" s="349"/>
      <c r="HX172" s="349"/>
      <c r="HY172" s="349"/>
      <c r="HZ172" s="349"/>
      <c r="IA172" s="349"/>
      <c r="IB172" s="349"/>
      <c r="IC172" s="349"/>
      <c r="ID172" s="349"/>
      <c r="IE172" s="349"/>
      <c r="IF172" s="349"/>
      <c r="IG172" s="349"/>
      <c r="IH172" s="349"/>
      <c r="II172" s="349"/>
      <c r="IJ172" s="349"/>
      <c r="IK172" s="349"/>
      <c r="IL172" s="349"/>
      <c r="IM172" s="349"/>
      <c r="IN172" s="349"/>
      <c r="IO172" s="349"/>
      <c r="IP172" s="349"/>
      <c r="IQ172" s="349"/>
      <c r="IR172" s="349"/>
    </row>
    <row r="173" spans="1:252" s="416" customFormat="1" x14ac:dyDescent="0.3">
      <c r="A173" s="365"/>
      <c r="B173" s="358" t="s">
        <v>142</v>
      </c>
      <c r="C173" s="358"/>
      <c r="D173" s="358"/>
      <c r="E173" s="358"/>
      <c r="F173" s="358"/>
      <c r="G173" s="358"/>
      <c r="H173" s="358"/>
      <c r="I173" s="358"/>
      <c r="J173" s="358"/>
      <c r="K173" s="358"/>
      <c r="L173" s="358"/>
      <c r="M173" s="358"/>
      <c r="N173" s="358"/>
      <c r="O173" s="358"/>
      <c r="P173" s="358"/>
      <c r="Q173" s="358"/>
      <c r="R173" s="404">
        <f>R170+R171-R172</f>
        <v>757</v>
      </c>
      <c r="S173" s="361"/>
      <c r="T173" s="348"/>
      <c r="U173" s="349"/>
      <c r="V173" s="349"/>
      <c r="W173" s="349"/>
      <c r="X173" s="349"/>
      <c r="Y173" s="349"/>
      <c r="Z173" s="349"/>
      <c r="AA173" s="349"/>
      <c r="AB173" s="349"/>
      <c r="AC173" s="349"/>
      <c r="AD173" s="349"/>
      <c r="AE173" s="349"/>
      <c r="AF173" s="349"/>
      <c r="AG173" s="349"/>
      <c r="AH173" s="349"/>
      <c r="AI173" s="349"/>
      <c r="AJ173" s="349"/>
      <c r="AK173" s="349"/>
      <c r="AL173" s="349"/>
      <c r="AM173" s="349"/>
      <c r="AN173" s="349"/>
      <c r="AO173" s="349"/>
      <c r="AP173" s="349"/>
      <c r="AQ173" s="349"/>
      <c r="AR173" s="349"/>
      <c r="AS173" s="349"/>
      <c r="AT173" s="349"/>
      <c r="AU173" s="349"/>
      <c r="AV173" s="349"/>
      <c r="AW173" s="349"/>
      <c r="AX173" s="349"/>
      <c r="AY173" s="349"/>
      <c r="AZ173" s="349"/>
      <c r="BA173" s="349"/>
      <c r="BB173" s="349"/>
      <c r="BC173" s="349"/>
      <c r="BD173" s="349"/>
      <c r="BE173" s="349"/>
      <c r="BF173" s="349"/>
      <c r="BG173" s="349"/>
      <c r="BH173" s="349"/>
      <c r="BI173" s="349"/>
      <c r="BJ173" s="349"/>
      <c r="BK173" s="349"/>
      <c r="BL173" s="349"/>
      <c r="BM173" s="349"/>
      <c r="BN173" s="349"/>
      <c r="BO173" s="349"/>
      <c r="BP173" s="349"/>
      <c r="BQ173" s="349"/>
      <c r="BR173" s="349"/>
      <c r="BS173" s="349"/>
      <c r="BT173" s="349"/>
      <c r="BU173" s="349"/>
      <c r="BV173" s="349"/>
      <c r="BW173" s="349"/>
      <c r="BX173" s="349"/>
      <c r="BY173" s="349"/>
      <c r="BZ173" s="349"/>
      <c r="CA173" s="349"/>
      <c r="CB173" s="349"/>
      <c r="CC173" s="349"/>
      <c r="CD173" s="349"/>
      <c r="CE173" s="349"/>
      <c r="CF173" s="349"/>
      <c r="CG173" s="349"/>
      <c r="CH173" s="349"/>
      <c r="CI173" s="349"/>
      <c r="CJ173" s="349"/>
      <c r="CK173" s="349"/>
      <c r="CL173" s="349"/>
      <c r="CM173" s="349"/>
      <c r="CN173" s="349"/>
      <c r="CO173" s="349"/>
      <c r="CP173" s="349"/>
      <c r="CQ173" s="349"/>
      <c r="CR173" s="349"/>
      <c r="CS173" s="349"/>
      <c r="CT173" s="349"/>
      <c r="CU173" s="349"/>
      <c r="CV173" s="349"/>
      <c r="CW173" s="349"/>
      <c r="CX173" s="349"/>
      <c r="CY173" s="349"/>
      <c r="CZ173" s="349"/>
      <c r="DA173" s="349"/>
      <c r="DB173" s="349"/>
      <c r="DC173" s="349"/>
      <c r="DD173" s="349"/>
      <c r="DE173" s="349"/>
      <c r="DF173" s="349"/>
      <c r="DG173" s="349"/>
      <c r="DH173" s="349"/>
      <c r="DI173" s="349"/>
      <c r="DJ173" s="349"/>
      <c r="DK173" s="349"/>
      <c r="DL173" s="349"/>
      <c r="DM173" s="349"/>
      <c r="DN173" s="349"/>
      <c r="DO173" s="349"/>
      <c r="DP173" s="349"/>
      <c r="DQ173" s="349"/>
      <c r="DR173" s="349"/>
      <c r="DS173" s="349"/>
      <c r="DT173" s="349"/>
      <c r="DU173" s="349"/>
      <c r="DV173" s="349"/>
      <c r="DW173" s="349"/>
      <c r="DX173" s="349"/>
      <c r="DY173" s="349"/>
      <c r="DZ173" s="349"/>
      <c r="EA173" s="349"/>
      <c r="EB173" s="349"/>
      <c r="EC173" s="349"/>
      <c r="ED173" s="349"/>
      <c r="EE173" s="349"/>
      <c r="EF173" s="349"/>
      <c r="EG173" s="349"/>
      <c r="EH173" s="349"/>
      <c r="EI173" s="349"/>
      <c r="EJ173" s="349"/>
      <c r="EK173" s="349"/>
      <c r="EL173" s="349"/>
      <c r="EM173" s="349"/>
      <c r="EN173" s="349"/>
      <c r="EO173" s="349"/>
      <c r="EP173" s="349"/>
      <c r="EQ173" s="349"/>
      <c r="ER173" s="349"/>
      <c r="ES173" s="349"/>
      <c r="ET173" s="349"/>
      <c r="EU173" s="349"/>
      <c r="EV173" s="349"/>
      <c r="EW173" s="349"/>
      <c r="EX173" s="349"/>
      <c r="EY173" s="349"/>
      <c r="EZ173" s="349"/>
      <c r="FA173" s="349"/>
      <c r="FB173" s="349"/>
      <c r="FC173" s="349"/>
      <c r="FD173" s="349"/>
      <c r="FE173" s="349"/>
      <c r="FF173" s="349"/>
      <c r="FG173" s="349"/>
      <c r="FH173" s="349"/>
      <c r="FI173" s="349"/>
      <c r="FJ173" s="349"/>
      <c r="FK173" s="349"/>
      <c r="FL173" s="349"/>
      <c r="FM173" s="349"/>
      <c r="FN173" s="349"/>
      <c r="FO173" s="349"/>
      <c r="FP173" s="349"/>
      <c r="FQ173" s="349"/>
      <c r="FR173" s="349"/>
      <c r="FS173" s="349"/>
      <c r="FT173" s="349"/>
      <c r="FU173" s="349"/>
      <c r="FV173" s="349"/>
      <c r="FW173" s="349"/>
      <c r="FX173" s="349"/>
      <c r="FY173" s="349"/>
      <c r="FZ173" s="349"/>
      <c r="GA173" s="349"/>
      <c r="GB173" s="349"/>
      <c r="GC173" s="349"/>
      <c r="GD173" s="349"/>
      <c r="GE173" s="349"/>
      <c r="GF173" s="349"/>
      <c r="GG173" s="349"/>
      <c r="GH173" s="349"/>
      <c r="GI173" s="349"/>
      <c r="GJ173" s="349"/>
      <c r="GK173" s="349"/>
      <c r="GL173" s="349"/>
      <c r="GM173" s="349"/>
      <c r="GN173" s="349"/>
      <c r="GO173" s="349"/>
      <c r="GP173" s="349"/>
      <c r="GQ173" s="349"/>
      <c r="GR173" s="349"/>
      <c r="GS173" s="349"/>
      <c r="GT173" s="349"/>
      <c r="GU173" s="349"/>
      <c r="GV173" s="349"/>
      <c r="GW173" s="349"/>
      <c r="GX173" s="349"/>
      <c r="GY173" s="349"/>
      <c r="GZ173" s="349"/>
      <c r="HA173" s="349"/>
      <c r="HB173" s="349"/>
      <c r="HC173" s="349"/>
      <c r="HD173" s="349"/>
      <c r="HE173" s="349"/>
      <c r="HF173" s="349"/>
      <c r="HG173" s="349"/>
      <c r="HH173" s="349"/>
      <c r="HI173" s="349"/>
      <c r="HJ173" s="349"/>
      <c r="HK173" s="349"/>
      <c r="HL173" s="349"/>
      <c r="HM173" s="349"/>
      <c r="HN173" s="349"/>
      <c r="HO173" s="349"/>
      <c r="HP173" s="349"/>
      <c r="HQ173" s="349"/>
      <c r="HR173" s="349"/>
      <c r="HS173" s="349"/>
      <c r="HT173" s="349"/>
      <c r="HU173" s="349"/>
      <c r="HV173" s="349"/>
      <c r="HW173" s="349"/>
      <c r="HX173" s="349"/>
      <c r="HY173" s="349"/>
      <c r="HZ173" s="349"/>
      <c r="IA173" s="349"/>
      <c r="IB173" s="349"/>
      <c r="IC173" s="349"/>
      <c r="ID173" s="349"/>
      <c r="IE173" s="349"/>
      <c r="IF173" s="349"/>
      <c r="IG173" s="349"/>
      <c r="IH173" s="349"/>
      <c r="II173" s="349"/>
      <c r="IJ173" s="349"/>
      <c r="IK173" s="349"/>
      <c r="IL173" s="349"/>
      <c r="IM173" s="349"/>
      <c r="IN173" s="349"/>
      <c r="IO173" s="349"/>
      <c r="IP173" s="349"/>
      <c r="IQ173" s="349"/>
      <c r="IR173" s="349"/>
    </row>
    <row r="174" spans="1:252" s="304" customFormat="1" ht="16.2" thickBot="1" x14ac:dyDescent="0.35">
      <c r="A174" s="278"/>
      <c r="B174" s="277"/>
      <c r="C174" s="277"/>
      <c r="D174" s="277"/>
      <c r="E174" s="277"/>
      <c r="F174" s="277"/>
      <c r="G174" s="277"/>
      <c r="H174" s="277"/>
      <c r="I174" s="277"/>
      <c r="J174" s="277"/>
      <c r="K174" s="277"/>
      <c r="L174" s="277"/>
      <c r="M174" s="277"/>
      <c r="N174" s="277"/>
      <c r="O174" s="277"/>
      <c r="P174" s="277"/>
      <c r="Q174" s="277"/>
      <c r="R174" s="297"/>
      <c r="S174" s="252"/>
      <c r="T174" s="247"/>
      <c r="U174" s="248"/>
      <c r="V174" s="248"/>
      <c r="W174" s="248"/>
      <c r="X174" s="248"/>
      <c r="Y174" s="248"/>
      <c r="Z174" s="248"/>
      <c r="AA174" s="248"/>
      <c r="AB174" s="248"/>
      <c r="AC174" s="248"/>
      <c r="AD174" s="248"/>
      <c r="AE174" s="248"/>
      <c r="AF174" s="248"/>
      <c r="AG174" s="248"/>
      <c r="AH174" s="248"/>
      <c r="AI174" s="248"/>
      <c r="AJ174" s="248"/>
      <c r="AK174" s="248"/>
      <c r="AL174" s="248"/>
      <c r="AM174" s="248"/>
      <c r="AN174" s="248"/>
      <c r="AO174" s="248"/>
      <c r="AP174" s="248"/>
      <c r="AQ174" s="248"/>
      <c r="AR174" s="248"/>
      <c r="AS174" s="248"/>
      <c r="AT174" s="248"/>
      <c r="AU174" s="248"/>
      <c r="AV174" s="248"/>
      <c r="AW174" s="248"/>
      <c r="AX174" s="248"/>
      <c r="AY174" s="248"/>
      <c r="AZ174" s="248"/>
      <c r="BA174" s="248"/>
      <c r="BB174" s="248"/>
      <c r="BC174" s="248"/>
      <c r="BD174" s="248"/>
      <c r="BE174" s="248"/>
      <c r="BF174" s="248"/>
      <c r="BG174" s="248"/>
      <c r="BH174" s="248"/>
      <c r="BI174" s="248"/>
      <c r="BJ174" s="248"/>
      <c r="BK174" s="248"/>
      <c r="BL174" s="248"/>
      <c r="BM174" s="248"/>
      <c r="BN174" s="248"/>
      <c r="BO174" s="248"/>
      <c r="BP174" s="248"/>
      <c r="BQ174" s="248"/>
      <c r="BR174" s="248"/>
      <c r="BS174" s="248"/>
      <c r="BT174" s="248"/>
      <c r="BU174" s="248"/>
      <c r="BV174" s="248"/>
      <c r="BW174" s="248"/>
      <c r="BX174" s="248"/>
      <c r="BY174" s="248"/>
      <c r="BZ174" s="248"/>
      <c r="CA174" s="248"/>
      <c r="CB174" s="248"/>
      <c r="CC174" s="248"/>
      <c r="CD174" s="248"/>
      <c r="CE174" s="248"/>
      <c r="CF174" s="248"/>
      <c r="CG174" s="248"/>
      <c r="CH174" s="248"/>
      <c r="CI174" s="248"/>
      <c r="CJ174" s="248"/>
      <c r="CK174" s="248"/>
      <c r="CL174" s="248"/>
      <c r="CM174" s="248"/>
      <c r="CN174" s="248"/>
      <c r="CO174" s="248"/>
      <c r="CP174" s="248"/>
      <c r="CQ174" s="248"/>
      <c r="CR174" s="248"/>
      <c r="CS174" s="248"/>
      <c r="CT174" s="248"/>
      <c r="CU174" s="248"/>
      <c r="CV174" s="248"/>
      <c r="CW174" s="248"/>
      <c r="CX174" s="248"/>
      <c r="CY174" s="248"/>
      <c r="CZ174" s="248"/>
      <c r="DA174" s="248"/>
      <c r="DB174" s="248"/>
      <c r="DC174" s="248"/>
      <c r="DD174" s="248"/>
      <c r="DE174" s="248"/>
      <c r="DF174" s="248"/>
      <c r="DG174" s="248"/>
      <c r="DH174" s="248"/>
      <c r="DI174" s="248"/>
      <c r="DJ174" s="248"/>
      <c r="DK174" s="248"/>
      <c r="DL174" s="248"/>
      <c r="DM174" s="248"/>
      <c r="DN174" s="248"/>
      <c r="DO174" s="248"/>
      <c r="DP174" s="248"/>
      <c r="DQ174" s="248"/>
      <c r="DR174" s="248"/>
      <c r="DS174" s="248"/>
      <c r="DT174" s="248"/>
      <c r="DU174" s="248"/>
      <c r="DV174" s="248"/>
      <c r="DW174" s="248"/>
      <c r="DX174" s="248"/>
      <c r="DY174" s="248"/>
      <c r="DZ174" s="248"/>
      <c r="EA174" s="248"/>
      <c r="EB174" s="248"/>
      <c r="EC174" s="248"/>
      <c r="ED174" s="248"/>
      <c r="EE174" s="248"/>
      <c r="EF174" s="248"/>
      <c r="EG174" s="248"/>
      <c r="EH174" s="248"/>
      <c r="EI174" s="248"/>
      <c r="EJ174" s="248"/>
      <c r="EK174" s="248"/>
      <c r="EL174" s="248"/>
      <c r="EM174" s="248"/>
      <c r="EN174" s="248"/>
      <c r="EO174" s="248"/>
      <c r="EP174" s="248"/>
      <c r="EQ174" s="248"/>
      <c r="ER174" s="248"/>
      <c r="ES174" s="248"/>
      <c r="ET174" s="248"/>
      <c r="EU174" s="248"/>
      <c r="EV174" s="248"/>
      <c r="EW174" s="248"/>
      <c r="EX174" s="248"/>
      <c r="EY174" s="248"/>
      <c r="EZ174" s="248"/>
      <c r="FA174" s="248"/>
      <c r="FB174" s="248"/>
      <c r="FC174" s="248"/>
      <c r="FD174" s="248"/>
      <c r="FE174" s="248"/>
      <c r="FF174" s="248"/>
      <c r="FG174" s="248"/>
      <c r="FH174" s="248"/>
      <c r="FI174" s="248"/>
      <c r="FJ174" s="248"/>
      <c r="FK174" s="248"/>
      <c r="FL174" s="248"/>
      <c r="FM174" s="248"/>
      <c r="FN174" s="248"/>
      <c r="FO174" s="248"/>
      <c r="FP174" s="248"/>
      <c r="FQ174" s="248"/>
      <c r="FR174" s="248"/>
      <c r="FS174" s="248"/>
      <c r="FT174" s="248"/>
      <c r="FU174" s="248"/>
      <c r="FV174" s="248"/>
      <c r="FW174" s="248"/>
      <c r="FX174" s="248"/>
      <c r="FY174" s="248"/>
      <c r="FZ174" s="248"/>
      <c r="GA174" s="248"/>
      <c r="GB174" s="248"/>
      <c r="GC174" s="248"/>
      <c r="GD174" s="248"/>
      <c r="GE174" s="248"/>
      <c r="GF174" s="248"/>
      <c r="GG174" s="248"/>
      <c r="GH174" s="248"/>
      <c r="GI174" s="248"/>
      <c r="GJ174" s="248"/>
      <c r="GK174" s="248"/>
      <c r="GL174" s="248"/>
      <c r="GM174" s="248"/>
      <c r="GN174" s="248"/>
      <c r="GO174" s="248"/>
      <c r="GP174" s="248"/>
      <c r="GQ174" s="248"/>
      <c r="GR174" s="248"/>
      <c r="GS174" s="248"/>
      <c r="GT174" s="248"/>
      <c r="GU174" s="248"/>
      <c r="GV174" s="248"/>
      <c r="GW174" s="248"/>
      <c r="GX174" s="248"/>
      <c r="GY174" s="248"/>
      <c r="GZ174" s="248"/>
      <c r="HA174" s="248"/>
      <c r="HB174" s="248"/>
      <c r="HC174" s="248"/>
      <c r="HD174" s="248"/>
      <c r="HE174" s="248"/>
      <c r="HF174" s="248"/>
      <c r="HG174" s="248"/>
      <c r="HH174" s="248"/>
      <c r="HI174" s="248"/>
      <c r="HJ174" s="248"/>
      <c r="HK174" s="248"/>
      <c r="HL174" s="248"/>
      <c r="HM174" s="248"/>
      <c r="HN174" s="248"/>
      <c r="HO174" s="248"/>
      <c r="HP174" s="248"/>
      <c r="HQ174" s="248"/>
      <c r="HR174" s="248"/>
      <c r="HS174" s="248"/>
      <c r="HT174" s="248"/>
      <c r="HU174" s="248"/>
      <c r="HV174" s="248"/>
      <c r="HW174" s="248"/>
      <c r="HX174" s="248"/>
      <c r="HY174" s="248"/>
      <c r="HZ174" s="248"/>
      <c r="IA174" s="248"/>
      <c r="IB174" s="248"/>
      <c r="IC174" s="248"/>
      <c r="ID174" s="248"/>
      <c r="IE174" s="248"/>
      <c r="IF174" s="248"/>
      <c r="IG174" s="248"/>
      <c r="IH174" s="248"/>
      <c r="II174" s="248"/>
      <c r="IJ174" s="248"/>
      <c r="IK174" s="248"/>
      <c r="IL174" s="248"/>
      <c r="IM174" s="248"/>
      <c r="IN174" s="248"/>
      <c r="IO174" s="248"/>
      <c r="IP174" s="248"/>
      <c r="IQ174" s="248"/>
      <c r="IR174" s="248"/>
    </row>
    <row r="175" spans="1:252" s="305" customFormat="1" x14ac:dyDescent="0.3">
      <c r="A175" s="244"/>
      <c r="B175" s="245"/>
      <c r="C175" s="245"/>
      <c r="D175" s="245"/>
      <c r="E175" s="245"/>
      <c r="F175" s="245"/>
      <c r="G175" s="245"/>
      <c r="H175" s="245"/>
      <c r="I175" s="245"/>
      <c r="J175" s="245"/>
      <c r="K175" s="245"/>
      <c r="L175" s="245"/>
      <c r="M175" s="245"/>
      <c r="N175" s="245"/>
      <c r="O175" s="245"/>
      <c r="P175" s="245"/>
      <c r="Q175" s="245"/>
      <c r="R175" s="301"/>
      <c r="S175" s="246"/>
      <c r="T175" s="247"/>
      <c r="U175" s="248"/>
      <c r="V175" s="248"/>
      <c r="W175" s="248"/>
      <c r="X175" s="248"/>
      <c r="Y175" s="248"/>
      <c r="Z175" s="248"/>
      <c r="AA175" s="248"/>
      <c r="AB175" s="248"/>
      <c r="AC175" s="248"/>
      <c r="AD175" s="248"/>
      <c r="AE175" s="248"/>
      <c r="AF175" s="248"/>
      <c r="AG175" s="248"/>
      <c r="AH175" s="248"/>
      <c r="AI175" s="248"/>
      <c r="AJ175" s="248"/>
      <c r="AK175" s="248"/>
      <c r="AL175" s="248"/>
      <c r="AM175" s="248"/>
      <c r="AN175" s="248"/>
      <c r="AO175" s="248"/>
      <c r="AP175" s="248"/>
      <c r="AQ175" s="248"/>
      <c r="AR175" s="248"/>
      <c r="AS175" s="248"/>
      <c r="AT175" s="248"/>
      <c r="AU175" s="248"/>
      <c r="AV175" s="248"/>
      <c r="AW175" s="248"/>
      <c r="AX175" s="248"/>
      <c r="AY175" s="248"/>
      <c r="AZ175" s="248"/>
      <c r="BA175" s="248"/>
      <c r="BB175" s="248"/>
      <c r="BC175" s="248"/>
      <c r="BD175" s="248"/>
      <c r="BE175" s="248"/>
      <c r="BF175" s="248"/>
      <c r="BG175" s="248"/>
      <c r="BH175" s="248"/>
      <c r="BI175" s="248"/>
      <c r="BJ175" s="248"/>
      <c r="BK175" s="248"/>
      <c r="BL175" s="248"/>
      <c r="BM175" s="248"/>
      <c r="BN175" s="248"/>
      <c r="BO175" s="248"/>
      <c r="BP175" s="248"/>
      <c r="BQ175" s="248"/>
      <c r="BR175" s="248"/>
      <c r="BS175" s="248"/>
      <c r="BT175" s="248"/>
      <c r="BU175" s="248"/>
      <c r="BV175" s="248"/>
      <c r="BW175" s="248"/>
      <c r="BX175" s="248"/>
      <c r="BY175" s="248"/>
      <c r="BZ175" s="248"/>
      <c r="CA175" s="248"/>
      <c r="CB175" s="248"/>
      <c r="CC175" s="248"/>
      <c r="CD175" s="248"/>
      <c r="CE175" s="248"/>
      <c r="CF175" s="248"/>
      <c r="CG175" s="248"/>
      <c r="CH175" s="248"/>
      <c r="CI175" s="248"/>
      <c r="CJ175" s="248"/>
      <c r="CK175" s="248"/>
      <c r="CL175" s="248"/>
      <c r="CM175" s="248"/>
      <c r="CN175" s="248"/>
      <c r="CO175" s="248"/>
      <c r="CP175" s="248"/>
      <c r="CQ175" s="248"/>
      <c r="CR175" s="248"/>
      <c r="CS175" s="248"/>
      <c r="CT175" s="248"/>
      <c r="CU175" s="248"/>
      <c r="CV175" s="248"/>
      <c r="CW175" s="248"/>
      <c r="CX175" s="248"/>
      <c r="CY175" s="248"/>
      <c r="CZ175" s="248"/>
      <c r="DA175" s="248"/>
      <c r="DB175" s="248"/>
      <c r="DC175" s="248"/>
      <c r="DD175" s="248"/>
      <c r="DE175" s="248"/>
      <c r="DF175" s="248"/>
      <c r="DG175" s="248"/>
      <c r="DH175" s="248"/>
      <c r="DI175" s="248"/>
      <c r="DJ175" s="248"/>
      <c r="DK175" s="248"/>
      <c r="DL175" s="248"/>
      <c r="DM175" s="248"/>
      <c r="DN175" s="248"/>
      <c r="DO175" s="248"/>
      <c r="DP175" s="248"/>
      <c r="DQ175" s="248"/>
      <c r="DR175" s="248"/>
      <c r="DS175" s="248"/>
      <c r="DT175" s="248"/>
      <c r="DU175" s="248"/>
      <c r="DV175" s="248"/>
      <c r="DW175" s="248"/>
      <c r="DX175" s="248"/>
      <c r="DY175" s="248"/>
      <c r="DZ175" s="248"/>
      <c r="EA175" s="248"/>
      <c r="EB175" s="248"/>
      <c r="EC175" s="248"/>
      <c r="ED175" s="248"/>
      <c r="EE175" s="248"/>
      <c r="EF175" s="248"/>
      <c r="EG175" s="248"/>
      <c r="EH175" s="248"/>
      <c r="EI175" s="248"/>
      <c r="EJ175" s="248"/>
      <c r="EK175" s="248"/>
      <c r="EL175" s="248"/>
      <c r="EM175" s="248"/>
      <c r="EN175" s="248"/>
      <c r="EO175" s="248"/>
      <c r="EP175" s="248"/>
      <c r="EQ175" s="248"/>
      <c r="ER175" s="248"/>
      <c r="ES175" s="248"/>
      <c r="ET175" s="248"/>
      <c r="EU175" s="248"/>
      <c r="EV175" s="248"/>
      <c r="EW175" s="248"/>
      <c r="EX175" s="248"/>
      <c r="EY175" s="248"/>
      <c r="EZ175" s="248"/>
      <c r="FA175" s="248"/>
      <c r="FB175" s="248"/>
      <c r="FC175" s="248"/>
      <c r="FD175" s="248"/>
      <c r="FE175" s="248"/>
      <c r="FF175" s="248"/>
      <c r="FG175" s="248"/>
      <c r="FH175" s="248"/>
      <c r="FI175" s="248"/>
      <c r="FJ175" s="248"/>
      <c r="FK175" s="248"/>
      <c r="FL175" s="248"/>
      <c r="FM175" s="248"/>
      <c r="FN175" s="248"/>
      <c r="FO175" s="248"/>
      <c r="FP175" s="248"/>
      <c r="FQ175" s="248"/>
      <c r="FR175" s="248"/>
      <c r="FS175" s="248"/>
      <c r="FT175" s="248"/>
      <c r="FU175" s="248"/>
      <c r="FV175" s="248"/>
      <c r="FW175" s="248"/>
      <c r="FX175" s="248"/>
      <c r="FY175" s="248"/>
      <c r="FZ175" s="248"/>
      <c r="GA175" s="248"/>
      <c r="GB175" s="248"/>
      <c r="GC175" s="248"/>
      <c r="GD175" s="248"/>
      <c r="GE175" s="248"/>
      <c r="GF175" s="248"/>
      <c r="GG175" s="248"/>
      <c r="GH175" s="248"/>
      <c r="GI175" s="248"/>
      <c r="GJ175" s="248"/>
      <c r="GK175" s="248"/>
      <c r="GL175" s="248"/>
      <c r="GM175" s="248"/>
      <c r="GN175" s="248"/>
      <c r="GO175" s="248"/>
      <c r="GP175" s="248"/>
      <c r="GQ175" s="248"/>
      <c r="GR175" s="248"/>
      <c r="GS175" s="248"/>
      <c r="GT175" s="248"/>
      <c r="GU175" s="248"/>
      <c r="GV175" s="248"/>
      <c r="GW175" s="248"/>
      <c r="GX175" s="248"/>
      <c r="GY175" s="248"/>
      <c r="GZ175" s="248"/>
      <c r="HA175" s="248"/>
      <c r="HB175" s="248"/>
      <c r="HC175" s="248"/>
      <c r="HD175" s="248"/>
      <c r="HE175" s="248"/>
      <c r="HF175" s="248"/>
      <c r="HG175" s="248"/>
      <c r="HH175" s="248"/>
      <c r="HI175" s="248"/>
      <c r="HJ175" s="248"/>
      <c r="HK175" s="248"/>
      <c r="HL175" s="248"/>
      <c r="HM175" s="248"/>
      <c r="HN175" s="248"/>
      <c r="HO175" s="248"/>
      <c r="HP175" s="248"/>
      <c r="HQ175" s="248"/>
      <c r="HR175" s="248"/>
      <c r="HS175" s="248"/>
      <c r="HT175" s="248"/>
      <c r="HU175" s="248"/>
      <c r="HV175" s="248"/>
      <c r="HW175" s="248"/>
      <c r="HX175" s="248"/>
      <c r="HY175" s="248"/>
      <c r="HZ175" s="248"/>
      <c r="IA175" s="248"/>
      <c r="IB175" s="248"/>
      <c r="IC175" s="248"/>
      <c r="ID175" s="248"/>
      <c r="IE175" s="248"/>
      <c r="IF175" s="248"/>
      <c r="IG175" s="248"/>
      <c r="IH175" s="248"/>
      <c r="II175" s="248"/>
      <c r="IJ175" s="248"/>
      <c r="IK175" s="248"/>
      <c r="IL175" s="248"/>
      <c r="IM175" s="248"/>
      <c r="IN175" s="248"/>
      <c r="IO175" s="248"/>
      <c r="IP175" s="248"/>
      <c r="IQ175" s="248"/>
      <c r="IR175" s="248"/>
    </row>
    <row r="176" spans="1:252" x14ac:dyDescent="0.3">
      <c r="A176" s="249"/>
      <c r="B176" s="296" t="s">
        <v>44</v>
      </c>
      <c r="C176" s="251"/>
      <c r="D176" s="251"/>
      <c r="E176" s="251"/>
      <c r="F176" s="251"/>
      <c r="G176" s="251"/>
      <c r="H176" s="251"/>
      <c r="I176" s="251"/>
      <c r="J176" s="251"/>
      <c r="K176" s="251"/>
      <c r="L176" s="251"/>
      <c r="M176" s="251"/>
      <c r="N176" s="251"/>
      <c r="O176" s="251"/>
      <c r="P176" s="251"/>
      <c r="Q176" s="251"/>
      <c r="R176" s="279"/>
      <c r="S176" s="252"/>
      <c r="T176" s="247"/>
    </row>
    <row r="177" spans="1:20" x14ac:dyDescent="0.3">
      <c r="A177" s="249"/>
      <c r="B177" s="295"/>
      <c r="C177" s="251"/>
      <c r="D177" s="251"/>
      <c r="E177" s="251"/>
      <c r="F177" s="251"/>
      <c r="G177" s="251"/>
      <c r="H177" s="251"/>
      <c r="I177" s="251"/>
      <c r="J177" s="251"/>
      <c r="K177" s="251"/>
      <c r="L177" s="251"/>
      <c r="M177" s="251"/>
      <c r="N177" s="251"/>
      <c r="O177" s="251"/>
      <c r="P177" s="251"/>
      <c r="Q177" s="251"/>
      <c r="R177" s="279"/>
      <c r="S177" s="252"/>
      <c r="T177" s="247"/>
    </row>
    <row r="178" spans="1:20" s="349" customFormat="1" x14ac:dyDescent="0.3">
      <c r="A178" s="365"/>
      <c r="B178" s="358" t="s">
        <v>172</v>
      </c>
      <c r="C178" s="358"/>
      <c r="D178" s="358"/>
      <c r="E178" s="358"/>
      <c r="F178" s="358"/>
      <c r="G178" s="358"/>
      <c r="H178" s="358"/>
      <c r="I178" s="358"/>
      <c r="J178" s="358"/>
      <c r="K178" s="358"/>
      <c r="L178" s="358"/>
      <c r="M178" s="358"/>
      <c r="N178" s="358"/>
      <c r="O178" s="358"/>
      <c r="P178" s="358"/>
      <c r="Q178" s="358"/>
      <c r="R178" s="404">
        <f>+R67</f>
        <v>65972</v>
      </c>
      <c r="S178" s="361"/>
      <c r="T178" s="348"/>
    </row>
    <row r="179" spans="1:20" s="349" customFormat="1" x14ac:dyDescent="0.3">
      <c r="A179" s="365"/>
      <c r="B179" s="358" t="s">
        <v>173</v>
      </c>
      <c r="C179" s="358"/>
      <c r="D179" s="358"/>
      <c r="E179" s="358"/>
      <c r="F179" s="358"/>
      <c r="G179" s="358"/>
      <c r="H179" s="358"/>
      <c r="I179" s="358"/>
      <c r="J179" s="358"/>
      <c r="K179" s="358"/>
      <c r="L179" s="358"/>
      <c r="M179" s="358"/>
      <c r="N179" s="358"/>
      <c r="O179" s="358"/>
      <c r="P179" s="358"/>
      <c r="Q179" s="358"/>
      <c r="R179" s="404">
        <f>+R77</f>
        <v>0</v>
      </c>
      <c r="S179" s="361"/>
      <c r="T179" s="348"/>
    </row>
    <row r="180" spans="1:20" s="349" customFormat="1" x14ac:dyDescent="0.3">
      <c r="A180" s="365"/>
      <c r="B180" s="358" t="s">
        <v>216</v>
      </c>
      <c r="C180" s="358"/>
      <c r="D180" s="358"/>
      <c r="E180" s="358"/>
      <c r="F180" s="358"/>
      <c r="G180" s="358"/>
      <c r="H180" s="358"/>
      <c r="I180" s="358"/>
      <c r="J180" s="358"/>
      <c r="K180" s="358"/>
      <c r="L180" s="358"/>
      <c r="M180" s="358"/>
      <c r="N180" s="358"/>
      <c r="O180" s="358"/>
      <c r="P180" s="358"/>
      <c r="Q180" s="358"/>
      <c r="R180" s="404">
        <f>+R78</f>
        <v>0</v>
      </c>
      <c r="S180" s="361"/>
      <c r="T180" s="348"/>
    </row>
    <row r="181" spans="1:20" s="349" customFormat="1" x14ac:dyDescent="0.3">
      <c r="A181" s="365"/>
      <c r="B181" s="358" t="s">
        <v>126</v>
      </c>
      <c r="C181" s="358"/>
      <c r="D181" s="358"/>
      <c r="E181" s="358"/>
      <c r="F181" s="358"/>
      <c r="G181" s="358"/>
      <c r="H181" s="358"/>
      <c r="I181" s="358"/>
      <c r="J181" s="358"/>
      <c r="K181" s="358"/>
      <c r="L181" s="358"/>
      <c r="M181" s="358"/>
      <c r="N181" s="358"/>
      <c r="O181" s="358"/>
      <c r="P181" s="358"/>
      <c r="Q181" s="358"/>
      <c r="R181" s="404">
        <f>+R178+R179+R180</f>
        <v>65972</v>
      </c>
      <c r="S181" s="361"/>
      <c r="T181" s="348"/>
    </row>
    <row r="182" spans="1:20" s="349" customFormat="1" x14ac:dyDescent="0.3">
      <c r="A182" s="365"/>
      <c r="B182" s="358" t="s">
        <v>45</v>
      </c>
      <c r="C182" s="358"/>
      <c r="D182" s="358"/>
      <c r="E182" s="358"/>
      <c r="F182" s="358"/>
      <c r="G182" s="358"/>
      <c r="H182" s="358"/>
      <c r="I182" s="358"/>
      <c r="J182" s="358"/>
      <c r="K182" s="358"/>
      <c r="L182" s="358"/>
      <c r="M182" s="358"/>
      <c r="N182" s="358"/>
      <c r="O182" s="358"/>
      <c r="P182" s="358"/>
      <c r="Q182" s="358"/>
      <c r="R182" s="404">
        <f>R80</f>
        <v>65972</v>
      </c>
      <c r="S182" s="361"/>
      <c r="T182" s="348"/>
    </row>
    <row r="183" spans="1:20" ht="16.2" thickBot="1" x14ac:dyDescent="0.35">
      <c r="A183" s="249"/>
      <c r="B183" s="277"/>
      <c r="C183" s="277"/>
      <c r="D183" s="277"/>
      <c r="E183" s="277"/>
      <c r="F183" s="277"/>
      <c r="G183" s="277"/>
      <c r="H183" s="277"/>
      <c r="I183" s="277"/>
      <c r="J183" s="277"/>
      <c r="K183" s="277"/>
      <c r="L183" s="277"/>
      <c r="M183" s="277"/>
      <c r="N183" s="277"/>
      <c r="O183" s="277"/>
      <c r="P183" s="277"/>
      <c r="Q183" s="277"/>
      <c r="R183" s="297"/>
      <c r="S183" s="252"/>
      <c r="T183" s="247"/>
    </row>
    <row r="184" spans="1:20" x14ac:dyDescent="0.3">
      <c r="A184" s="244"/>
      <c r="B184" s="245"/>
      <c r="C184" s="245"/>
      <c r="D184" s="245"/>
      <c r="E184" s="245"/>
      <c r="F184" s="245"/>
      <c r="G184" s="245"/>
      <c r="H184" s="245"/>
      <c r="I184" s="245"/>
      <c r="J184" s="245"/>
      <c r="K184" s="245"/>
      <c r="L184" s="245"/>
      <c r="M184" s="245"/>
      <c r="N184" s="245"/>
      <c r="O184" s="245"/>
      <c r="P184" s="245"/>
      <c r="Q184" s="245"/>
      <c r="R184" s="301"/>
      <c r="S184" s="246"/>
      <c r="T184" s="247"/>
    </row>
    <row r="185" spans="1:20" s="273" customFormat="1" x14ac:dyDescent="0.3">
      <c r="A185" s="280"/>
      <c r="B185" s="296" t="s">
        <v>46</v>
      </c>
      <c r="C185" s="306"/>
      <c r="D185" s="307"/>
      <c r="E185" s="307"/>
      <c r="F185" s="307"/>
      <c r="G185" s="307"/>
      <c r="H185" s="307"/>
      <c r="I185" s="307"/>
      <c r="J185" s="307"/>
      <c r="K185" s="307"/>
      <c r="L185" s="307"/>
      <c r="M185" s="307"/>
      <c r="N185" s="307"/>
      <c r="O185" s="307" t="s">
        <v>82</v>
      </c>
      <c r="P185" s="307" t="s">
        <v>170</v>
      </c>
      <c r="Q185" s="254"/>
      <c r="R185" s="308" t="s">
        <v>94</v>
      </c>
      <c r="S185" s="309"/>
      <c r="T185" s="272"/>
    </row>
    <row r="186" spans="1:20" s="349" customFormat="1" x14ac:dyDescent="0.3">
      <c r="A186" s="365"/>
      <c r="B186" s="358" t="s">
        <v>47</v>
      </c>
      <c r="C186" s="358"/>
      <c r="D186" s="358"/>
      <c r="E186" s="358"/>
      <c r="F186" s="358"/>
      <c r="G186" s="358"/>
      <c r="H186" s="358"/>
      <c r="I186" s="358"/>
      <c r="J186" s="358"/>
      <c r="K186" s="358"/>
      <c r="L186" s="358"/>
      <c r="M186" s="358"/>
      <c r="N186" s="358"/>
      <c r="O186" s="404">
        <f>+R31*0.08</f>
        <v>24000.720000000001</v>
      </c>
      <c r="P186" s="383"/>
      <c r="Q186" s="358"/>
      <c r="R186" s="404"/>
      <c r="S186" s="361"/>
      <c r="T186" s="348"/>
    </row>
    <row r="187" spans="1:20" s="349" customFormat="1" x14ac:dyDescent="0.3">
      <c r="A187" s="365"/>
      <c r="B187" s="358" t="s">
        <v>48</v>
      </c>
      <c r="C187" s="358"/>
      <c r="D187" s="358"/>
      <c r="E187" s="358"/>
      <c r="F187" s="358"/>
      <c r="G187" s="358"/>
      <c r="H187" s="358"/>
      <c r="I187" s="358"/>
      <c r="J187" s="358"/>
      <c r="K187" s="358"/>
      <c r="L187" s="358"/>
      <c r="M187" s="358"/>
      <c r="N187" s="358"/>
      <c r="O187" s="404">
        <f>+'Aug 18'!O189</f>
        <v>569</v>
      </c>
      <c r="P187" s="404">
        <f>+'Aug 18'!P189</f>
        <v>694</v>
      </c>
      <c r="Q187" s="358"/>
      <c r="R187" s="404">
        <f>O187+P187</f>
        <v>1263</v>
      </c>
      <c r="S187" s="361"/>
      <c r="T187" s="348"/>
    </row>
    <row r="188" spans="1:20" s="349" customFormat="1" x14ac:dyDescent="0.3">
      <c r="A188" s="365"/>
      <c r="B188" s="358" t="s">
        <v>49</v>
      </c>
      <c r="C188" s="358"/>
      <c r="D188" s="358"/>
      <c r="E188" s="358"/>
      <c r="F188" s="358"/>
      <c r="G188" s="358"/>
      <c r="H188" s="358"/>
      <c r="I188" s="358"/>
      <c r="J188" s="358"/>
      <c r="K188" s="358"/>
      <c r="L188" s="358"/>
      <c r="M188" s="358"/>
      <c r="N188" s="358"/>
      <c r="O188" s="403">
        <v>0</v>
      </c>
      <c r="P188" s="403">
        <v>0</v>
      </c>
      <c r="Q188" s="358"/>
      <c r="R188" s="404">
        <f>O188+P188</f>
        <v>0</v>
      </c>
      <c r="S188" s="361"/>
      <c r="T188" s="348"/>
    </row>
    <row r="189" spans="1:20" s="349" customFormat="1" x14ac:dyDescent="0.3">
      <c r="A189" s="365"/>
      <c r="B189" s="358" t="s">
        <v>50</v>
      </c>
      <c r="C189" s="358"/>
      <c r="D189" s="358"/>
      <c r="E189" s="358"/>
      <c r="F189" s="358"/>
      <c r="G189" s="358"/>
      <c r="H189" s="358"/>
      <c r="I189" s="358"/>
      <c r="J189" s="358"/>
      <c r="K189" s="358"/>
      <c r="L189" s="358"/>
      <c r="M189" s="358"/>
      <c r="N189" s="358"/>
      <c r="O189" s="404">
        <f>O187+O188</f>
        <v>569</v>
      </c>
      <c r="P189" s="404">
        <f>P188+P187</f>
        <v>694</v>
      </c>
      <c r="Q189" s="358"/>
      <c r="R189" s="404">
        <f>O189+P189</f>
        <v>1263</v>
      </c>
      <c r="S189" s="361"/>
      <c r="T189" s="348"/>
    </row>
    <row r="190" spans="1:20" s="349" customFormat="1" x14ac:dyDescent="0.3">
      <c r="A190" s="365"/>
      <c r="B190" s="358" t="s">
        <v>51</v>
      </c>
      <c r="C190" s="358"/>
      <c r="D190" s="358"/>
      <c r="E190" s="358"/>
      <c r="F190" s="358"/>
      <c r="G190" s="358"/>
      <c r="H190" s="358"/>
      <c r="I190" s="358"/>
      <c r="J190" s="358"/>
      <c r="K190" s="358"/>
      <c r="L190" s="358"/>
      <c r="M190" s="358"/>
      <c r="N190" s="358"/>
      <c r="O190" s="404">
        <f>O186-O189-P189</f>
        <v>22737.72</v>
      </c>
      <c r="P190" s="383"/>
      <c r="Q190" s="358"/>
      <c r="R190" s="404"/>
      <c r="S190" s="361"/>
      <c r="T190" s="348"/>
    </row>
    <row r="191" spans="1:20" ht="16.2" thickBot="1" x14ac:dyDescent="0.35">
      <c r="A191" s="249"/>
      <c r="B191" s="277"/>
      <c r="C191" s="277"/>
      <c r="D191" s="277"/>
      <c r="E191" s="277"/>
      <c r="F191" s="277"/>
      <c r="G191" s="277"/>
      <c r="H191" s="277"/>
      <c r="I191" s="277"/>
      <c r="J191" s="277"/>
      <c r="K191" s="277"/>
      <c r="L191" s="277"/>
      <c r="M191" s="277"/>
      <c r="N191" s="277"/>
      <c r="O191" s="277"/>
      <c r="P191" s="277"/>
      <c r="Q191" s="277"/>
      <c r="R191" s="297"/>
      <c r="S191" s="252"/>
      <c r="T191" s="247"/>
    </row>
    <row r="192" spans="1:20" x14ac:dyDescent="0.3">
      <c r="A192" s="244"/>
      <c r="B192" s="245"/>
      <c r="C192" s="245"/>
      <c r="D192" s="245"/>
      <c r="E192" s="245"/>
      <c r="F192" s="245"/>
      <c r="G192" s="245"/>
      <c r="H192" s="245"/>
      <c r="I192" s="245"/>
      <c r="J192" s="245"/>
      <c r="K192" s="245"/>
      <c r="L192" s="245"/>
      <c r="M192" s="245"/>
      <c r="N192" s="245"/>
      <c r="O192" s="245"/>
      <c r="P192" s="245"/>
      <c r="Q192" s="245"/>
      <c r="R192" s="301"/>
      <c r="S192" s="246"/>
      <c r="T192" s="247"/>
    </row>
    <row r="193" spans="1:20" x14ac:dyDescent="0.3">
      <c r="A193" s="249"/>
      <c r="B193" s="296" t="s">
        <v>52</v>
      </c>
      <c r="C193" s="251"/>
      <c r="D193" s="251"/>
      <c r="E193" s="251"/>
      <c r="F193" s="251"/>
      <c r="G193" s="251"/>
      <c r="H193" s="251"/>
      <c r="I193" s="251"/>
      <c r="J193" s="251"/>
      <c r="K193" s="251"/>
      <c r="L193" s="251"/>
      <c r="M193" s="251"/>
      <c r="N193" s="251"/>
      <c r="O193" s="251"/>
      <c r="P193" s="251"/>
      <c r="Q193" s="251"/>
      <c r="R193" s="310"/>
      <c r="S193" s="252"/>
      <c r="T193" s="247"/>
    </row>
    <row r="194" spans="1:20" s="349" customFormat="1" x14ac:dyDescent="0.3">
      <c r="A194" s="365"/>
      <c r="B194" s="358" t="s">
        <v>53</v>
      </c>
      <c r="C194" s="358"/>
      <c r="D194" s="358"/>
      <c r="E194" s="358"/>
      <c r="F194" s="358"/>
      <c r="G194" s="358"/>
      <c r="H194" s="358"/>
      <c r="I194" s="358"/>
      <c r="J194" s="358"/>
      <c r="K194" s="358"/>
      <c r="L194" s="358"/>
      <c r="M194" s="358"/>
      <c r="N194" s="358"/>
      <c r="O194" s="358"/>
      <c r="P194" s="358"/>
      <c r="Q194" s="358"/>
      <c r="R194" s="417">
        <f>(R100+R102+R103+R104+R105)/-(R106+R107)</f>
        <v>5.666666666666667</v>
      </c>
      <c r="S194" s="361" t="s">
        <v>95</v>
      </c>
      <c r="T194" s="348"/>
    </row>
    <row r="195" spans="1:20" s="349" customFormat="1" x14ac:dyDescent="0.3">
      <c r="A195" s="365"/>
      <c r="B195" s="358" t="s">
        <v>54</v>
      </c>
      <c r="C195" s="358"/>
      <c r="D195" s="358"/>
      <c r="E195" s="358"/>
      <c r="F195" s="358"/>
      <c r="G195" s="358"/>
      <c r="H195" s="358"/>
      <c r="I195" s="358"/>
      <c r="J195" s="358"/>
      <c r="K195" s="358"/>
      <c r="L195" s="358"/>
      <c r="M195" s="358"/>
      <c r="N195" s="358"/>
      <c r="O195" s="358"/>
      <c r="P195" s="358"/>
      <c r="Q195" s="358"/>
      <c r="R195" s="418">
        <v>3.6</v>
      </c>
      <c r="S195" s="361" t="s">
        <v>95</v>
      </c>
      <c r="T195" s="348"/>
    </row>
    <row r="196" spans="1:20" s="349" customFormat="1" x14ac:dyDescent="0.3">
      <c r="A196" s="365"/>
      <c r="B196" s="358" t="s">
        <v>183</v>
      </c>
      <c r="C196" s="358"/>
      <c r="D196" s="358"/>
      <c r="E196" s="358"/>
      <c r="F196" s="358"/>
      <c r="G196" s="358"/>
      <c r="H196" s="358"/>
      <c r="I196" s="358"/>
      <c r="J196" s="358"/>
      <c r="K196" s="358"/>
      <c r="L196" s="358"/>
      <c r="M196" s="358"/>
      <c r="N196" s="358"/>
      <c r="O196" s="358"/>
      <c r="P196" s="358"/>
      <c r="Q196" s="358"/>
      <c r="R196" s="417">
        <f>(R100+R102+R103+R104+R105+R106+R107)/-(R108)</f>
        <v>13.34375</v>
      </c>
      <c r="S196" s="361" t="s">
        <v>95</v>
      </c>
      <c r="T196" s="348"/>
    </row>
    <row r="197" spans="1:20" s="349" customFormat="1" x14ac:dyDescent="0.3">
      <c r="A197" s="365"/>
      <c r="B197" s="358" t="s">
        <v>184</v>
      </c>
      <c r="C197" s="358"/>
      <c r="D197" s="358"/>
      <c r="E197" s="358"/>
      <c r="F197" s="358"/>
      <c r="G197" s="358"/>
      <c r="H197" s="358"/>
      <c r="I197" s="358"/>
      <c r="J197" s="358"/>
      <c r="K197" s="358"/>
      <c r="L197" s="358"/>
      <c r="M197" s="358"/>
      <c r="N197" s="358"/>
      <c r="O197" s="358"/>
      <c r="P197" s="358"/>
      <c r="Q197" s="358"/>
      <c r="R197" s="418">
        <v>29.53</v>
      </c>
      <c r="S197" s="361" t="s">
        <v>95</v>
      </c>
      <c r="T197" s="348"/>
    </row>
    <row r="198" spans="1:20" s="349" customFormat="1" x14ac:dyDescent="0.3">
      <c r="A198" s="365"/>
      <c r="B198" s="358" t="s">
        <v>185</v>
      </c>
      <c r="C198" s="358"/>
      <c r="D198" s="358"/>
      <c r="E198" s="358"/>
      <c r="F198" s="358"/>
      <c r="G198" s="358"/>
      <c r="H198" s="358"/>
      <c r="I198" s="358"/>
      <c r="J198" s="358"/>
      <c r="K198" s="358"/>
      <c r="L198" s="358"/>
      <c r="M198" s="358"/>
      <c r="N198" s="358"/>
      <c r="O198" s="358"/>
      <c r="P198" s="358"/>
      <c r="Q198" s="358"/>
      <c r="R198" s="417">
        <f>(R100+R102+R103+R104+R105+R106+R107+R108)/-(R109)</f>
        <v>10.821917808219178</v>
      </c>
      <c r="S198" s="361" t="s">
        <v>95</v>
      </c>
      <c r="T198" s="348"/>
    </row>
    <row r="199" spans="1:20" s="349" customFormat="1" x14ac:dyDescent="0.3">
      <c r="A199" s="365"/>
      <c r="B199" s="358" t="s">
        <v>186</v>
      </c>
      <c r="C199" s="358"/>
      <c r="D199" s="358"/>
      <c r="E199" s="358"/>
      <c r="F199" s="358"/>
      <c r="G199" s="358"/>
      <c r="H199" s="358"/>
      <c r="I199" s="358"/>
      <c r="J199" s="358"/>
      <c r="K199" s="358"/>
      <c r="L199" s="358"/>
      <c r="M199" s="358"/>
      <c r="N199" s="358"/>
      <c r="O199" s="358"/>
      <c r="P199" s="358"/>
      <c r="Q199" s="358"/>
      <c r="R199" s="418">
        <v>24.56</v>
      </c>
      <c r="S199" s="361" t="s">
        <v>95</v>
      </c>
      <c r="T199" s="348"/>
    </row>
    <row r="200" spans="1:20" s="349" customFormat="1" x14ac:dyDescent="0.3">
      <c r="A200" s="365"/>
      <c r="B200" s="358" t="s">
        <v>257</v>
      </c>
      <c r="C200" s="358"/>
      <c r="D200" s="358"/>
      <c r="E200" s="358"/>
      <c r="F200" s="358"/>
      <c r="G200" s="358"/>
      <c r="H200" s="358"/>
      <c r="I200" s="358"/>
      <c r="J200" s="358"/>
      <c r="K200" s="358"/>
      <c r="L200" s="358"/>
      <c r="M200" s="358"/>
      <c r="N200" s="358"/>
      <c r="O200" s="358"/>
      <c r="P200" s="358"/>
      <c r="Q200" s="358"/>
      <c r="R200" s="417">
        <f>(R100+R102+R103+R104+R105+R106+R107+R108+R109+R110+R111+R112+R113+R114)/-(R115)</f>
        <v>13.403846153846153</v>
      </c>
      <c r="S200" s="361" t="s">
        <v>95</v>
      </c>
      <c r="T200" s="348"/>
    </row>
    <row r="201" spans="1:20" s="349" customFormat="1" x14ac:dyDescent="0.3">
      <c r="A201" s="365"/>
      <c r="B201" s="358" t="s">
        <v>258</v>
      </c>
      <c r="C201" s="358"/>
      <c r="D201" s="358"/>
      <c r="E201" s="358"/>
      <c r="F201" s="358"/>
      <c r="G201" s="358"/>
      <c r="H201" s="358"/>
      <c r="I201" s="358"/>
      <c r="J201" s="358"/>
      <c r="K201" s="358"/>
      <c r="L201" s="358"/>
      <c r="M201" s="358"/>
      <c r="N201" s="358"/>
      <c r="O201" s="358"/>
      <c r="P201" s="358"/>
      <c r="Q201" s="358"/>
      <c r="R201" s="418">
        <v>31.99</v>
      </c>
      <c r="S201" s="361" t="s">
        <v>95</v>
      </c>
      <c r="T201" s="348"/>
    </row>
    <row r="202" spans="1:20" s="349" customFormat="1" x14ac:dyDescent="0.3">
      <c r="A202" s="365"/>
      <c r="B202" s="358"/>
      <c r="C202" s="358"/>
      <c r="D202" s="358"/>
      <c r="E202" s="358"/>
      <c r="F202" s="358"/>
      <c r="G202" s="358"/>
      <c r="H202" s="358"/>
      <c r="I202" s="358"/>
      <c r="J202" s="358"/>
      <c r="K202" s="358"/>
      <c r="L202" s="358"/>
      <c r="M202" s="358"/>
      <c r="N202" s="358"/>
      <c r="O202" s="358"/>
      <c r="P202" s="358"/>
      <c r="Q202" s="358"/>
      <c r="R202" s="358"/>
      <c r="S202" s="361"/>
      <c r="T202" s="348"/>
    </row>
    <row r="203" spans="1:20" s="349" customFormat="1" x14ac:dyDescent="0.3">
      <c r="A203" s="344"/>
      <c r="B203" s="393"/>
      <c r="C203" s="393"/>
      <c r="D203" s="393"/>
      <c r="E203" s="393"/>
      <c r="F203" s="393"/>
      <c r="G203" s="393"/>
      <c r="H203" s="393"/>
      <c r="I203" s="393"/>
      <c r="J203" s="393"/>
      <c r="K203" s="393"/>
      <c r="L203" s="393"/>
      <c r="M203" s="393"/>
      <c r="N203" s="393"/>
      <c r="O203" s="393"/>
      <c r="P203" s="393"/>
      <c r="Q203" s="393"/>
      <c r="R203" s="393"/>
      <c r="S203" s="347"/>
      <c r="T203" s="348"/>
    </row>
    <row r="204" spans="1:20" s="349" customFormat="1" x14ac:dyDescent="0.3">
      <c r="A204" s="344"/>
      <c r="B204" s="346"/>
      <c r="C204" s="346"/>
      <c r="D204" s="346"/>
      <c r="E204" s="346"/>
      <c r="F204" s="346"/>
      <c r="G204" s="346"/>
      <c r="H204" s="346"/>
      <c r="I204" s="346"/>
      <c r="J204" s="346"/>
      <c r="K204" s="346"/>
      <c r="L204" s="346"/>
      <c r="M204" s="346"/>
      <c r="N204" s="346"/>
      <c r="O204" s="346"/>
      <c r="P204" s="346"/>
      <c r="Q204" s="346"/>
      <c r="R204" s="346"/>
      <c r="S204" s="347"/>
      <c r="T204" s="348"/>
    </row>
    <row r="205" spans="1:20" s="349" customFormat="1" ht="18.600000000000001" thickBot="1" x14ac:dyDescent="0.4">
      <c r="A205" s="398"/>
      <c r="B205" s="399" t="str">
        <f>B132</f>
        <v>PM22 INVESTOR REPORT QUARTER ENDING NOVEMBER 2018</v>
      </c>
      <c r="C205" s="400"/>
      <c r="D205" s="400"/>
      <c r="E205" s="400"/>
      <c r="F205" s="400"/>
      <c r="G205" s="400"/>
      <c r="H205" s="400"/>
      <c r="I205" s="400"/>
      <c r="J205" s="400"/>
      <c r="K205" s="400"/>
      <c r="L205" s="400"/>
      <c r="M205" s="400"/>
      <c r="N205" s="400"/>
      <c r="O205" s="400"/>
      <c r="P205" s="400"/>
      <c r="Q205" s="400"/>
      <c r="R205" s="400"/>
      <c r="S205" s="402"/>
      <c r="T205" s="348"/>
    </row>
    <row r="206" spans="1:20" x14ac:dyDescent="0.3">
      <c r="A206" s="456"/>
      <c r="B206" s="457" t="s">
        <v>55</v>
      </c>
      <c r="C206" s="461"/>
      <c r="D206" s="462"/>
      <c r="E206" s="462"/>
      <c r="F206" s="462"/>
      <c r="G206" s="462"/>
      <c r="H206" s="462"/>
      <c r="I206" s="462"/>
      <c r="J206" s="462"/>
      <c r="K206" s="462"/>
      <c r="L206" s="462"/>
      <c r="M206" s="462"/>
      <c r="N206" s="462"/>
      <c r="O206" s="462"/>
      <c r="P206" s="462">
        <v>43434</v>
      </c>
      <c r="Q206" s="458"/>
      <c r="R206" s="458"/>
      <c r="S206" s="460"/>
      <c r="T206" s="247"/>
    </row>
    <row r="207" spans="1:20" x14ac:dyDescent="0.3">
      <c r="A207" s="312"/>
      <c r="B207" s="313"/>
      <c r="C207" s="314"/>
      <c r="D207" s="315"/>
      <c r="E207" s="315"/>
      <c r="F207" s="315"/>
      <c r="G207" s="315"/>
      <c r="H207" s="315"/>
      <c r="I207" s="315"/>
      <c r="J207" s="315"/>
      <c r="K207" s="315"/>
      <c r="L207" s="315"/>
      <c r="M207" s="315"/>
      <c r="N207" s="315"/>
      <c r="O207" s="315"/>
      <c r="P207" s="315"/>
      <c r="Q207" s="251"/>
      <c r="R207" s="251"/>
      <c r="S207" s="252"/>
      <c r="T207" s="247"/>
    </row>
    <row r="208" spans="1:20" s="349" customFormat="1" x14ac:dyDescent="0.3">
      <c r="A208" s="365"/>
      <c r="B208" s="358" t="s">
        <v>56</v>
      </c>
      <c r="C208" s="419"/>
      <c r="D208" s="387"/>
      <c r="E208" s="387"/>
      <c r="F208" s="387"/>
      <c r="G208" s="387"/>
      <c r="H208" s="387"/>
      <c r="I208" s="387"/>
      <c r="J208" s="387"/>
      <c r="K208" s="387"/>
      <c r="L208" s="387"/>
      <c r="M208" s="387"/>
      <c r="N208" s="387"/>
      <c r="O208" s="387"/>
      <c r="P208" s="379">
        <v>4.079E-2</v>
      </c>
      <c r="Q208" s="358"/>
      <c r="R208" s="358"/>
      <c r="S208" s="361"/>
      <c r="T208" s="348"/>
    </row>
    <row r="209" spans="1:20" s="349" customFormat="1" x14ac:dyDescent="0.3">
      <c r="A209" s="365"/>
      <c r="B209" s="358" t="s">
        <v>158</v>
      </c>
      <c r="C209" s="419"/>
      <c r="D209" s="387"/>
      <c r="E209" s="387"/>
      <c r="F209" s="387"/>
      <c r="G209" s="387"/>
      <c r="H209" s="387"/>
      <c r="I209" s="387"/>
      <c r="J209" s="387"/>
      <c r="K209" s="387"/>
      <c r="L209" s="387"/>
      <c r="M209" s="387"/>
      <c r="N209" s="387"/>
      <c r="O209" s="387"/>
      <c r="P209" s="379">
        <v>1.5340718167454973E-2</v>
      </c>
      <c r="Q209" s="358"/>
      <c r="R209" s="358"/>
      <c r="S209" s="361"/>
      <c r="T209" s="348"/>
    </row>
    <row r="210" spans="1:20" s="349" customFormat="1" x14ac:dyDescent="0.3">
      <c r="A210" s="365"/>
      <c r="B210" s="358" t="s">
        <v>57</v>
      </c>
      <c r="C210" s="419"/>
      <c r="D210" s="387"/>
      <c r="E210" s="387"/>
      <c r="F210" s="387"/>
      <c r="G210" s="387"/>
      <c r="H210" s="387"/>
      <c r="I210" s="387"/>
      <c r="J210" s="387"/>
      <c r="K210" s="387"/>
      <c r="L210" s="387"/>
      <c r="M210" s="387"/>
      <c r="N210" s="387"/>
      <c r="O210" s="387"/>
      <c r="P210" s="379">
        <f>P208-P209</f>
        <v>2.5449281832545027E-2</v>
      </c>
      <c r="Q210" s="358"/>
      <c r="R210" s="358"/>
      <c r="S210" s="361"/>
      <c r="T210" s="348"/>
    </row>
    <row r="211" spans="1:20" s="349" customFormat="1" x14ac:dyDescent="0.3">
      <c r="A211" s="365"/>
      <c r="B211" s="358" t="s">
        <v>161</v>
      </c>
      <c r="C211" s="419"/>
      <c r="D211" s="387"/>
      <c r="E211" s="387"/>
      <c r="F211" s="387"/>
      <c r="G211" s="387"/>
      <c r="H211" s="387"/>
      <c r="I211" s="387"/>
      <c r="J211" s="387"/>
      <c r="K211" s="387"/>
      <c r="L211" s="387"/>
      <c r="M211" s="387"/>
      <c r="N211" s="387"/>
      <c r="O211" s="387"/>
      <c r="P211" s="379">
        <v>4.7973099999999998E-2</v>
      </c>
      <c r="Q211" s="358"/>
      <c r="R211" s="358"/>
      <c r="S211" s="361"/>
      <c r="T211" s="348"/>
    </row>
    <row r="212" spans="1:20" s="349" customFormat="1" x14ac:dyDescent="0.3">
      <c r="A212" s="365"/>
      <c r="B212" s="358" t="s">
        <v>58</v>
      </c>
      <c r="C212" s="419"/>
      <c r="D212" s="387"/>
      <c r="E212" s="387"/>
      <c r="F212" s="387"/>
      <c r="G212" s="387"/>
      <c r="H212" s="387"/>
      <c r="I212" s="387"/>
      <c r="J212" s="387"/>
      <c r="K212" s="387"/>
      <c r="L212" s="387"/>
      <c r="M212" s="387"/>
      <c r="N212" s="387"/>
      <c r="O212" s="387"/>
      <c r="P212" s="379">
        <v>4.947E-2</v>
      </c>
      <c r="Q212" s="358"/>
      <c r="R212" s="358"/>
      <c r="S212" s="361"/>
      <c r="T212" s="348"/>
    </row>
    <row r="213" spans="1:20" s="349" customFormat="1" x14ac:dyDescent="0.3">
      <c r="A213" s="365"/>
      <c r="B213" s="358" t="s">
        <v>159</v>
      </c>
      <c r="C213" s="419"/>
      <c r="D213" s="387"/>
      <c r="E213" s="387"/>
      <c r="F213" s="387"/>
      <c r="G213" s="387"/>
      <c r="H213" s="387"/>
      <c r="I213" s="387"/>
      <c r="J213" s="387"/>
      <c r="K213" s="387"/>
      <c r="L213" s="387"/>
      <c r="M213" s="387"/>
      <c r="N213" s="387"/>
      <c r="O213" s="387"/>
      <c r="P213" s="379">
        <f>R40</f>
        <v>2.0039598855973544E-2</v>
      </c>
      <c r="Q213" s="358"/>
      <c r="R213" s="358"/>
      <c r="S213" s="361"/>
      <c r="T213" s="348"/>
    </row>
    <row r="214" spans="1:20" s="349" customFormat="1" x14ac:dyDescent="0.3">
      <c r="A214" s="365"/>
      <c r="B214" s="358" t="s">
        <v>59</v>
      </c>
      <c r="C214" s="419"/>
      <c r="D214" s="387"/>
      <c r="E214" s="387"/>
      <c r="F214" s="387"/>
      <c r="G214" s="387"/>
      <c r="H214" s="387"/>
      <c r="I214" s="387"/>
      <c r="J214" s="387"/>
      <c r="K214" s="387"/>
      <c r="L214" s="387"/>
      <c r="M214" s="387"/>
      <c r="N214" s="387"/>
      <c r="O214" s="387"/>
      <c r="P214" s="379">
        <f>P212-P213</f>
        <v>2.9430401144026456E-2</v>
      </c>
      <c r="Q214" s="358"/>
      <c r="R214" s="358"/>
      <c r="S214" s="361"/>
      <c r="T214" s="348"/>
    </row>
    <row r="215" spans="1:20" s="349" customFormat="1" x14ac:dyDescent="0.3">
      <c r="A215" s="365"/>
      <c r="B215" s="358" t="s">
        <v>139</v>
      </c>
      <c r="C215" s="419"/>
      <c r="D215" s="387"/>
      <c r="E215" s="387"/>
      <c r="F215" s="387"/>
      <c r="G215" s="387"/>
      <c r="H215" s="387"/>
      <c r="I215" s="387"/>
      <c r="J215" s="387"/>
      <c r="K215" s="387"/>
      <c r="L215" s="387"/>
      <c r="M215" s="387"/>
      <c r="N215" s="387"/>
      <c r="O215" s="387"/>
      <c r="P215" s="379">
        <f>(+R100+R102)/H80</f>
        <v>1.456766917293233E-2</v>
      </c>
      <c r="Q215" s="358"/>
      <c r="R215" s="358"/>
      <c r="S215" s="361"/>
      <c r="T215" s="348"/>
    </row>
    <row r="216" spans="1:20" s="349" customFormat="1" x14ac:dyDescent="0.3">
      <c r="A216" s="365"/>
      <c r="B216" s="358" t="s">
        <v>132</v>
      </c>
      <c r="C216" s="419"/>
      <c r="D216" s="387"/>
      <c r="E216" s="387"/>
      <c r="F216" s="387"/>
      <c r="G216" s="387"/>
      <c r="H216" s="387"/>
      <c r="I216" s="387"/>
      <c r="J216" s="387"/>
      <c r="K216" s="387"/>
      <c r="L216" s="387"/>
      <c r="M216" s="387"/>
      <c r="N216" s="387"/>
      <c r="O216" s="387"/>
      <c r="P216" s="420">
        <v>52124</v>
      </c>
      <c r="Q216" s="358"/>
      <c r="R216" s="358"/>
      <c r="S216" s="361"/>
      <c r="T216" s="348"/>
    </row>
    <row r="217" spans="1:20" s="349" customFormat="1" x14ac:dyDescent="0.3">
      <c r="A217" s="365"/>
      <c r="B217" s="358" t="s">
        <v>187</v>
      </c>
      <c r="C217" s="419"/>
      <c r="D217" s="387"/>
      <c r="E217" s="387"/>
      <c r="F217" s="387"/>
      <c r="G217" s="387"/>
      <c r="H217" s="387"/>
      <c r="I217" s="387"/>
      <c r="J217" s="387"/>
      <c r="K217" s="387"/>
      <c r="L217" s="387"/>
      <c r="M217" s="387"/>
      <c r="N217" s="387"/>
      <c r="O217" s="387"/>
      <c r="P217" s="420">
        <v>15599</v>
      </c>
      <c r="Q217" s="358"/>
      <c r="R217" s="358"/>
      <c r="S217" s="361"/>
      <c r="T217" s="348"/>
    </row>
    <row r="218" spans="1:20" s="349" customFormat="1" x14ac:dyDescent="0.3">
      <c r="A218" s="365"/>
      <c r="B218" s="358" t="s">
        <v>188</v>
      </c>
      <c r="C218" s="419"/>
      <c r="D218" s="387"/>
      <c r="E218" s="387"/>
      <c r="F218" s="387"/>
      <c r="G218" s="387"/>
      <c r="H218" s="387"/>
      <c r="I218" s="387"/>
      <c r="J218" s="387"/>
      <c r="K218" s="387"/>
      <c r="L218" s="387"/>
      <c r="M218" s="387"/>
      <c r="N218" s="387"/>
      <c r="O218" s="387"/>
      <c r="P218" s="420">
        <v>15599</v>
      </c>
      <c r="Q218" s="358"/>
      <c r="R218" s="358"/>
      <c r="S218" s="361"/>
      <c r="T218" s="348"/>
    </row>
    <row r="219" spans="1:20" s="349" customFormat="1" x14ac:dyDescent="0.3">
      <c r="A219" s="365"/>
      <c r="B219" s="358" t="s">
        <v>259</v>
      </c>
      <c r="C219" s="419"/>
      <c r="D219" s="387"/>
      <c r="E219" s="387"/>
      <c r="F219" s="387"/>
      <c r="G219" s="387"/>
      <c r="H219" s="387"/>
      <c r="I219" s="387"/>
      <c r="J219" s="387"/>
      <c r="K219" s="387"/>
      <c r="L219" s="387"/>
      <c r="M219" s="387"/>
      <c r="N219" s="387"/>
      <c r="O219" s="387"/>
      <c r="P219" s="420">
        <v>15599</v>
      </c>
      <c r="Q219" s="358"/>
      <c r="R219" s="358"/>
      <c r="S219" s="361"/>
      <c r="T219" s="348"/>
    </row>
    <row r="220" spans="1:20" s="349" customFormat="1" x14ac:dyDescent="0.3">
      <c r="A220" s="365"/>
      <c r="B220" s="358" t="s">
        <v>60</v>
      </c>
      <c r="C220" s="419"/>
      <c r="D220" s="387"/>
      <c r="E220" s="387"/>
      <c r="F220" s="387"/>
      <c r="G220" s="387"/>
      <c r="H220" s="387"/>
      <c r="I220" s="387"/>
      <c r="J220" s="387"/>
      <c r="K220" s="387"/>
      <c r="L220" s="387"/>
      <c r="M220" s="387"/>
      <c r="N220" s="387"/>
      <c r="O220" s="387"/>
      <c r="P220" s="385">
        <v>20.55</v>
      </c>
      <c r="Q220" s="358" t="s">
        <v>90</v>
      </c>
      <c r="R220" s="358"/>
      <c r="S220" s="361"/>
      <c r="T220" s="348"/>
    </row>
    <row r="221" spans="1:20" s="349" customFormat="1" x14ac:dyDescent="0.3">
      <c r="A221" s="365"/>
      <c r="B221" s="358" t="s">
        <v>61</v>
      </c>
      <c r="C221" s="419"/>
      <c r="D221" s="387"/>
      <c r="E221" s="387"/>
      <c r="F221" s="387"/>
      <c r="G221" s="387"/>
      <c r="H221" s="387"/>
      <c r="I221" s="387"/>
      <c r="J221" s="387"/>
      <c r="K221" s="387"/>
      <c r="L221" s="387"/>
      <c r="M221" s="387"/>
      <c r="N221" s="387"/>
      <c r="O221" s="387"/>
      <c r="P221" s="385">
        <v>16.73</v>
      </c>
      <c r="Q221" s="358" t="s">
        <v>90</v>
      </c>
      <c r="R221" s="358"/>
      <c r="S221" s="361"/>
      <c r="T221" s="348"/>
    </row>
    <row r="222" spans="1:20" s="349" customFormat="1" x14ac:dyDescent="0.3">
      <c r="A222" s="365"/>
      <c r="B222" s="358" t="s">
        <v>62</v>
      </c>
      <c r="C222" s="419"/>
      <c r="D222" s="387"/>
      <c r="E222" s="387"/>
      <c r="F222" s="387"/>
      <c r="G222" s="387"/>
      <c r="H222" s="387"/>
      <c r="I222" s="387"/>
      <c r="J222" s="387"/>
      <c r="K222" s="387"/>
      <c r="L222" s="387"/>
      <c r="M222" s="387"/>
      <c r="N222" s="387"/>
      <c r="O222" s="387"/>
      <c r="P222" s="379">
        <f>(+J64+L64+P64)/H64</f>
        <v>0.11423200859291086</v>
      </c>
      <c r="Q222" s="358"/>
      <c r="R222" s="358"/>
      <c r="S222" s="361"/>
      <c r="T222" s="348"/>
    </row>
    <row r="223" spans="1:20" s="349" customFormat="1" x14ac:dyDescent="0.3">
      <c r="A223" s="365"/>
      <c r="B223" s="358" t="s">
        <v>63</v>
      </c>
      <c r="C223" s="419"/>
      <c r="D223" s="387"/>
      <c r="E223" s="387"/>
      <c r="F223" s="387"/>
      <c r="G223" s="387"/>
      <c r="H223" s="387"/>
      <c r="I223" s="387"/>
      <c r="J223" s="387"/>
      <c r="K223" s="387"/>
      <c r="L223" s="387"/>
      <c r="M223" s="387"/>
      <c r="N223" s="387"/>
      <c r="O223" s="387"/>
      <c r="P223" s="379">
        <v>0.33339999999999997</v>
      </c>
      <c r="Q223" s="358"/>
      <c r="R223" s="358"/>
      <c r="S223" s="361"/>
      <c r="T223" s="348"/>
    </row>
    <row r="224" spans="1:20" x14ac:dyDescent="0.3">
      <c r="A224" s="312"/>
      <c r="B224" s="316"/>
      <c r="C224" s="316"/>
      <c r="D224" s="277"/>
      <c r="E224" s="277"/>
      <c r="F224" s="277"/>
      <c r="G224" s="277"/>
      <c r="H224" s="277"/>
      <c r="I224" s="277"/>
      <c r="J224" s="277"/>
      <c r="K224" s="277"/>
      <c r="L224" s="277"/>
      <c r="M224" s="277"/>
      <c r="N224" s="277"/>
      <c r="O224" s="277"/>
      <c r="P224" s="297"/>
      <c r="Q224" s="277"/>
      <c r="R224" s="317"/>
      <c r="S224" s="252"/>
      <c r="T224" s="247"/>
    </row>
    <row r="225" spans="1:20" x14ac:dyDescent="0.3">
      <c r="A225" s="463"/>
      <c r="B225" s="452" t="s">
        <v>64</v>
      </c>
      <c r="C225" s="453"/>
      <c r="D225" s="453"/>
      <c r="E225" s="453"/>
      <c r="F225" s="453"/>
      <c r="G225" s="453"/>
      <c r="H225" s="453"/>
      <c r="I225" s="453"/>
      <c r="J225" s="453"/>
      <c r="K225" s="453"/>
      <c r="L225" s="453"/>
      <c r="M225" s="453"/>
      <c r="N225" s="453"/>
      <c r="O225" s="453" t="s">
        <v>83</v>
      </c>
      <c r="P225" s="469" t="s">
        <v>88</v>
      </c>
      <c r="Q225" s="447"/>
      <c r="R225" s="447"/>
      <c r="S225" s="445"/>
      <c r="T225" s="247"/>
    </row>
    <row r="226" spans="1:20" s="349" customFormat="1" x14ac:dyDescent="0.3">
      <c r="A226" s="464"/>
      <c r="B226" s="393" t="s">
        <v>65</v>
      </c>
      <c r="C226" s="408"/>
      <c r="D226" s="465"/>
      <c r="E226" s="465"/>
      <c r="F226" s="465"/>
      <c r="G226" s="465"/>
      <c r="H226" s="465"/>
      <c r="I226" s="465"/>
      <c r="J226" s="465"/>
      <c r="K226" s="465"/>
      <c r="L226" s="465"/>
      <c r="M226" s="465"/>
      <c r="N226" s="465"/>
      <c r="O226" s="465">
        <v>0</v>
      </c>
      <c r="P226" s="466">
        <v>0</v>
      </c>
      <c r="Q226" s="393"/>
      <c r="R226" s="467"/>
      <c r="S226" s="468"/>
      <c r="T226" s="348"/>
    </row>
    <row r="227" spans="1:20" s="349" customFormat="1" x14ac:dyDescent="0.3">
      <c r="A227" s="421"/>
      <c r="B227" s="358" t="s">
        <v>113</v>
      </c>
      <c r="C227" s="403"/>
      <c r="D227" s="366"/>
      <c r="E227" s="366"/>
      <c r="F227" s="366"/>
      <c r="G227" s="366"/>
      <c r="H227" s="366"/>
      <c r="I227" s="366"/>
      <c r="J227" s="366"/>
      <c r="K227" s="366"/>
      <c r="L227" s="366"/>
      <c r="M227" s="366"/>
      <c r="N227" s="366"/>
      <c r="O227" s="422">
        <f>+N279</f>
        <v>0</v>
      </c>
      <c r="P227" s="423">
        <f>+P279</f>
        <v>0</v>
      </c>
      <c r="Q227" s="358"/>
      <c r="R227" s="424"/>
      <c r="S227" s="425"/>
      <c r="T227" s="348"/>
    </row>
    <row r="228" spans="1:20" s="349" customFormat="1" x14ac:dyDescent="0.3">
      <c r="A228" s="421"/>
      <c r="B228" s="358" t="s">
        <v>66</v>
      </c>
      <c r="C228" s="403"/>
      <c r="D228" s="366"/>
      <c r="E228" s="366"/>
      <c r="F228" s="366"/>
      <c r="G228" s="366"/>
      <c r="H228" s="366"/>
      <c r="I228" s="366"/>
      <c r="J228" s="366"/>
      <c r="K228" s="366"/>
      <c r="L228" s="366"/>
      <c r="M228" s="366"/>
      <c r="N228" s="366"/>
      <c r="O228" s="422">
        <f>+N291</f>
        <v>0</v>
      </c>
      <c r="P228" s="423">
        <f>+P291</f>
        <v>0</v>
      </c>
      <c r="Q228" s="358"/>
      <c r="R228" s="424"/>
      <c r="S228" s="425"/>
      <c r="T228" s="348"/>
    </row>
    <row r="229" spans="1:20" x14ac:dyDescent="0.3">
      <c r="A229" s="318"/>
      <c r="B229" s="266" t="s">
        <v>284</v>
      </c>
      <c r="C229" s="321"/>
      <c r="D229" s="291"/>
      <c r="E229" s="291"/>
      <c r="F229" s="291"/>
      <c r="G229" s="291"/>
      <c r="H229" s="291"/>
      <c r="I229" s="291"/>
      <c r="J229" s="291"/>
      <c r="K229" s="291"/>
      <c r="L229" s="291"/>
      <c r="M229" s="291"/>
      <c r="N229" s="291"/>
      <c r="O229" s="263"/>
      <c r="P229" s="423">
        <f>+P64</f>
        <v>2785</v>
      </c>
      <c r="Q229" s="291"/>
      <c r="R229" s="322"/>
      <c r="S229" s="320"/>
      <c r="T229" s="247"/>
    </row>
    <row r="230" spans="1:20" x14ac:dyDescent="0.3">
      <c r="A230" s="318"/>
      <c r="B230" s="266" t="s">
        <v>140</v>
      </c>
      <c r="C230" s="321"/>
      <c r="D230" s="291"/>
      <c r="E230" s="291"/>
      <c r="F230" s="291"/>
      <c r="G230" s="291"/>
      <c r="H230" s="291"/>
      <c r="I230" s="291"/>
      <c r="J230" s="291"/>
      <c r="K230" s="291"/>
      <c r="L230" s="291"/>
      <c r="M230" s="291"/>
      <c r="N230" s="291"/>
      <c r="O230" s="263"/>
      <c r="P230" s="423">
        <f>-J77</f>
        <v>0</v>
      </c>
      <c r="Q230" s="291"/>
      <c r="R230" s="322"/>
      <c r="S230" s="320"/>
      <c r="T230" s="247"/>
    </row>
    <row r="231" spans="1:20" x14ac:dyDescent="0.3">
      <c r="A231" s="323"/>
      <c r="B231" s="266" t="s">
        <v>67</v>
      </c>
      <c r="C231" s="324"/>
      <c r="D231" s="291"/>
      <c r="E231" s="291"/>
      <c r="F231" s="291"/>
      <c r="G231" s="291"/>
      <c r="H231" s="291"/>
      <c r="I231" s="291"/>
      <c r="J231" s="291"/>
      <c r="K231" s="291"/>
      <c r="L231" s="291"/>
      <c r="M231" s="291"/>
      <c r="N231" s="291"/>
      <c r="O231" s="263"/>
      <c r="P231" s="319"/>
      <c r="Q231" s="291"/>
      <c r="R231" s="322"/>
      <c r="S231" s="325"/>
      <c r="T231" s="247"/>
    </row>
    <row r="232" spans="1:20" s="349" customFormat="1" x14ac:dyDescent="0.3">
      <c r="A232" s="426"/>
      <c r="B232" s="358" t="s">
        <v>68</v>
      </c>
      <c r="C232" s="358"/>
      <c r="D232" s="358"/>
      <c r="E232" s="358"/>
      <c r="F232" s="358"/>
      <c r="G232" s="358"/>
      <c r="H232" s="358"/>
      <c r="I232" s="358"/>
      <c r="J232" s="358"/>
      <c r="K232" s="358"/>
      <c r="L232" s="358"/>
      <c r="M232" s="358"/>
      <c r="N232" s="358"/>
      <c r="O232" s="366"/>
      <c r="P232" s="423">
        <f>R162</f>
        <v>0</v>
      </c>
      <c r="Q232" s="358"/>
      <c r="R232" s="424"/>
      <c r="S232" s="427"/>
      <c r="T232" s="348"/>
    </row>
    <row r="233" spans="1:20" s="349" customFormat="1" x14ac:dyDescent="0.3">
      <c r="A233" s="421"/>
      <c r="B233" s="358" t="s">
        <v>69</v>
      </c>
      <c r="C233" s="403"/>
      <c r="D233" s="358"/>
      <c r="E233" s="358"/>
      <c r="F233" s="358"/>
      <c r="G233" s="358"/>
      <c r="H233" s="358"/>
      <c r="I233" s="358"/>
      <c r="J233" s="358"/>
      <c r="K233" s="358"/>
      <c r="L233" s="358"/>
      <c r="M233" s="358"/>
      <c r="N233" s="358"/>
      <c r="O233" s="366"/>
      <c r="P233" s="423">
        <f>'Aug 18'!P233+P232</f>
        <v>0</v>
      </c>
      <c r="Q233" s="358"/>
      <c r="R233" s="424"/>
      <c r="S233" s="427"/>
      <c r="T233" s="348"/>
    </row>
    <row r="234" spans="1:20" x14ac:dyDescent="0.3">
      <c r="A234" s="323"/>
      <c r="B234" s="266" t="s">
        <v>151</v>
      </c>
      <c r="C234" s="324"/>
      <c r="D234" s="291"/>
      <c r="E234" s="291"/>
      <c r="F234" s="291"/>
      <c r="G234" s="291"/>
      <c r="H234" s="291"/>
      <c r="I234" s="291"/>
      <c r="J234" s="291"/>
      <c r="K234" s="291"/>
      <c r="L234" s="291"/>
      <c r="M234" s="291"/>
      <c r="N234" s="291"/>
      <c r="O234" s="264"/>
      <c r="P234" s="319"/>
      <c r="Q234" s="291"/>
      <c r="R234" s="322"/>
      <c r="S234" s="325"/>
      <c r="T234" s="247"/>
    </row>
    <row r="235" spans="1:20" s="349" customFormat="1" x14ac:dyDescent="0.3">
      <c r="A235" s="426"/>
      <c r="B235" s="358" t="s">
        <v>160</v>
      </c>
      <c r="C235" s="358"/>
      <c r="D235" s="358"/>
      <c r="E235" s="358"/>
      <c r="F235" s="358"/>
      <c r="G235" s="358"/>
      <c r="H235" s="358"/>
      <c r="I235" s="358"/>
      <c r="J235" s="358"/>
      <c r="K235" s="358"/>
      <c r="L235" s="358"/>
      <c r="M235" s="358"/>
      <c r="N235" s="358"/>
      <c r="O235" s="366">
        <v>0</v>
      </c>
      <c r="P235" s="423">
        <v>0</v>
      </c>
      <c r="Q235" s="358"/>
      <c r="R235" s="424"/>
      <c r="S235" s="427"/>
      <c r="T235" s="348"/>
    </row>
    <row r="236" spans="1:20" s="349" customFormat="1" x14ac:dyDescent="0.3">
      <c r="A236" s="421"/>
      <c r="B236" s="358" t="s">
        <v>70</v>
      </c>
      <c r="C236" s="383"/>
      <c r="D236" s="358"/>
      <c r="E236" s="358"/>
      <c r="F236" s="358"/>
      <c r="G236" s="358"/>
      <c r="H236" s="358"/>
      <c r="I236" s="358"/>
      <c r="J236" s="358"/>
      <c r="K236" s="358"/>
      <c r="L236" s="358"/>
      <c r="M236" s="358"/>
      <c r="N236" s="358"/>
      <c r="O236" s="358"/>
      <c r="P236" s="428">
        <v>0</v>
      </c>
      <c r="Q236" s="358"/>
      <c r="R236" s="424"/>
      <c r="S236" s="427"/>
      <c r="T236" s="348"/>
    </row>
    <row r="237" spans="1:20" s="349" customFormat="1" x14ac:dyDescent="0.3">
      <c r="A237" s="421"/>
      <c r="B237" s="358" t="s">
        <v>71</v>
      </c>
      <c r="C237" s="383"/>
      <c r="D237" s="358"/>
      <c r="E237" s="358"/>
      <c r="F237" s="358"/>
      <c r="G237" s="358"/>
      <c r="H237" s="358"/>
      <c r="I237" s="358"/>
      <c r="J237" s="358"/>
      <c r="K237" s="358"/>
      <c r="L237" s="358"/>
      <c r="M237" s="358"/>
      <c r="N237" s="358"/>
      <c r="O237" s="358"/>
      <c r="P237" s="428">
        <v>0</v>
      </c>
      <c r="Q237" s="358"/>
      <c r="R237" s="424"/>
      <c r="S237" s="427"/>
      <c r="T237" s="348"/>
    </row>
    <row r="238" spans="1:20" x14ac:dyDescent="0.3">
      <c r="A238" s="318"/>
      <c r="B238" s="266" t="s">
        <v>136</v>
      </c>
      <c r="C238" s="326"/>
      <c r="D238" s="291"/>
      <c r="E238" s="291"/>
      <c r="F238" s="291"/>
      <c r="G238" s="291"/>
      <c r="H238" s="291"/>
      <c r="I238" s="291"/>
      <c r="J238" s="291"/>
      <c r="K238" s="291"/>
      <c r="L238" s="291"/>
      <c r="M238" s="291"/>
      <c r="N238" s="291"/>
      <c r="O238" s="263"/>
      <c r="P238" s="327"/>
      <c r="Q238" s="291"/>
      <c r="R238" s="322"/>
      <c r="S238" s="325"/>
      <c r="T238" s="247"/>
    </row>
    <row r="239" spans="1:20" s="349" customFormat="1" x14ac:dyDescent="0.3">
      <c r="A239" s="421"/>
      <c r="B239" s="358" t="s">
        <v>160</v>
      </c>
      <c r="C239" s="383"/>
      <c r="D239" s="358"/>
      <c r="E239" s="358"/>
      <c r="F239" s="358"/>
      <c r="G239" s="358"/>
      <c r="H239" s="358"/>
      <c r="I239" s="358"/>
      <c r="J239" s="358"/>
      <c r="K239" s="358"/>
      <c r="L239" s="358"/>
      <c r="M239" s="358"/>
      <c r="N239" s="358"/>
      <c r="O239" s="366">
        <v>0</v>
      </c>
      <c r="P239" s="423">
        <v>0</v>
      </c>
      <c r="Q239" s="358"/>
      <c r="R239" s="424"/>
      <c r="S239" s="427"/>
      <c r="T239" s="348"/>
    </row>
    <row r="240" spans="1:20" s="349" customFormat="1" x14ac:dyDescent="0.3">
      <c r="A240" s="421"/>
      <c r="B240" s="358" t="s">
        <v>137</v>
      </c>
      <c r="C240" s="383"/>
      <c r="D240" s="358"/>
      <c r="E240" s="358"/>
      <c r="F240" s="358"/>
      <c r="G240" s="358"/>
      <c r="H240" s="358"/>
      <c r="I240" s="358"/>
      <c r="J240" s="358"/>
      <c r="K240" s="358"/>
      <c r="L240" s="358"/>
      <c r="M240" s="358"/>
      <c r="N240" s="358"/>
      <c r="O240" s="358"/>
      <c r="P240" s="428">
        <v>0</v>
      </c>
      <c r="Q240" s="358"/>
      <c r="R240" s="424"/>
      <c r="S240" s="427"/>
      <c r="T240" s="348"/>
    </row>
    <row r="241" spans="1:20" x14ac:dyDescent="0.3">
      <c r="A241" s="318"/>
      <c r="B241" s="324"/>
      <c r="C241" s="326"/>
      <c r="D241" s="291"/>
      <c r="E241" s="291"/>
      <c r="F241" s="291"/>
      <c r="G241" s="291"/>
      <c r="H241" s="291"/>
      <c r="I241" s="291"/>
      <c r="J241" s="291"/>
      <c r="K241" s="291"/>
      <c r="L241" s="291"/>
      <c r="M241" s="291"/>
      <c r="N241" s="291"/>
      <c r="O241" s="263"/>
      <c r="P241" s="327"/>
      <c r="Q241" s="291"/>
      <c r="R241" s="322"/>
      <c r="S241" s="325"/>
      <c r="T241" s="247"/>
    </row>
    <row r="242" spans="1:20" x14ac:dyDescent="0.3">
      <c r="A242" s="318"/>
      <c r="B242" s="324"/>
      <c r="C242" s="326"/>
      <c r="D242" s="291"/>
      <c r="E242" s="291"/>
      <c r="F242" s="291"/>
      <c r="G242" s="291"/>
      <c r="H242" s="291"/>
      <c r="I242" s="291"/>
      <c r="J242" s="291"/>
      <c r="K242" s="291"/>
      <c r="L242" s="291"/>
      <c r="M242" s="291"/>
      <c r="N242" s="291"/>
      <c r="O242" s="291"/>
      <c r="P242" s="328"/>
      <c r="Q242" s="291"/>
      <c r="R242" s="322"/>
      <c r="S242" s="325"/>
      <c r="T242" s="247"/>
    </row>
    <row r="243" spans="1:20" ht="18" x14ac:dyDescent="0.35">
      <c r="A243" s="318"/>
      <c r="B243" s="329" t="s">
        <v>129</v>
      </c>
      <c r="C243" s="326"/>
      <c r="D243" s="291"/>
      <c r="E243" s="291"/>
      <c r="F243" s="291"/>
      <c r="G243" s="291"/>
      <c r="H243" s="291"/>
      <c r="I243" s="291"/>
      <c r="J243" s="291"/>
      <c r="K243" s="291"/>
      <c r="L243" s="330"/>
      <c r="M243" s="291"/>
      <c r="N243" s="342" t="s">
        <v>291</v>
      </c>
      <c r="O243" s="330"/>
      <c r="P243" s="328"/>
      <c r="Q243" s="291"/>
      <c r="R243" s="322"/>
      <c r="S243" s="325"/>
      <c r="T243" s="247"/>
    </row>
    <row r="244" spans="1:20" ht="18" x14ac:dyDescent="0.35">
      <c r="A244" s="331"/>
      <c r="B244" s="332"/>
      <c r="C244" s="333"/>
      <c r="D244" s="277"/>
      <c r="E244" s="277"/>
      <c r="F244" s="277"/>
      <c r="G244" s="277"/>
      <c r="H244" s="277"/>
      <c r="I244" s="277"/>
      <c r="J244" s="277"/>
      <c r="K244" s="277"/>
      <c r="L244" s="334"/>
      <c r="M244" s="277"/>
      <c r="N244" s="277"/>
      <c r="O244" s="277"/>
      <c r="P244" s="335"/>
      <c r="Q244" s="277"/>
      <c r="R244" s="317"/>
      <c r="S244" s="336"/>
      <c r="T244" s="247"/>
    </row>
    <row r="245" spans="1:20" x14ac:dyDescent="0.3">
      <c r="A245" s="443"/>
      <c r="B245" s="452" t="s">
        <v>152</v>
      </c>
      <c r="C245" s="453"/>
      <c r="D245" s="453"/>
      <c r="E245" s="453"/>
      <c r="F245" s="453"/>
      <c r="G245" s="453"/>
      <c r="H245" s="453"/>
      <c r="I245" s="453"/>
      <c r="J245" s="453"/>
      <c r="K245" s="453"/>
      <c r="L245" s="453"/>
      <c r="M245" s="453"/>
      <c r="N245" s="469" t="s">
        <v>83</v>
      </c>
      <c r="O245" s="453" t="s">
        <v>84</v>
      </c>
      <c r="P245" s="469" t="s">
        <v>89</v>
      </c>
      <c r="Q245" s="453" t="s">
        <v>84</v>
      </c>
      <c r="R245" s="447"/>
      <c r="S245" s="470"/>
      <c r="T245" s="247"/>
    </row>
    <row r="246" spans="1:20" s="349" customFormat="1" x14ac:dyDescent="0.3">
      <c r="A246" s="344"/>
      <c r="B246" s="408" t="s">
        <v>72</v>
      </c>
      <c r="C246" s="471"/>
      <c r="D246" s="471"/>
      <c r="E246" s="471"/>
      <c r="F246" s="471"/>
      <c r="G246" s="471"/>
      <c r="H246" s="471"/>
      <c r="I246" s="471"/>
      <c r="J246" s="471"/>
      <c r="K246" s="471"/>
      <c r="L246" s="471"/>
      <c r="M246" s="471"/>
      <c r="N246" s="408">
        <f>+N258+N270+N282</f>
        <v>409</v>
      </c>
      <c r="O246" s="472">
        <f>N246/$N$255</f>
        <v>0.9975609756097561</v>
      </c>
      <c r="P246" s="411">
        <f t="shared" ref="P246:P253" si="5">+P258+P270+P282</f>
        <v>65588</v>
      </c>
      <c r="Q246" s="472">
        <f t="shared" ref="Q246:Q253" si="6">P246/$P$255</f>
        <v>0.99417934881464864</v>
      </c>
      <c r="R246" s="467"/>
      <c r="S246" s="473"/>
      <c r="T246" s="348"/>
    </row>
    <row r="247" spans="1:20" s="349" customFormat="1" x14ac:dyDescent="0.3">
      <c r="A247" s="365"/>
      <c r="B247" s="403" t="s">
        <v>73</v>
      </c>
      <c r="C247" s="429"/>
      <c r="D247" s="429"/>
      <c r="E247" s="429"/>
      <c r="F247" s="429"/>
      <c r="G247" s="429"/>
      <c r="H247" s="429"/>
      <c r="I247" s="429"/>
      <c r="J247" s="429"/>
      <c r="K247" s="429"/>
      <c r="L247" s="429"/>
      <c r="M247" s="429"/>
      <c r="N247" s="403">
        <f t="shared" ref="N247:N253" si="7">+N259+N271+N283</f>
        <v>0</v>
      </c>
      <c r="O247" s="430">
        <f t="shared" ref="O247:O253" si="8">N247/$N$255</f>
        <v>0</v>
      </c>
      <c r="P247" s="404">
        <f t="shared" si="5"/>
        <v>0</v>
      </c>
      <c r="Q247" s="430">
        <f t="shared" si="6"/>
        <v>0</v>
      </c>
      <c r="R247" s="424"/>
      <c r="S247" s="427"/>
      <c r="T247" s="348"/>
    </row>
    <row r="248" spans="1:20" s="349" customFormat="1" x14ac:dyDescent="0.3">
      <c r="A248" s="365"/>
      <c r="B248" s="403" t="s">
        <v>74</v>
      </c>
      <c r="C248" s="429"/>
      <c r="D248" s="429"/>
      <c r="E248" s="429"/>
      <c r="F248" s="429"/>
      <c r="G248" s="429"/>
      <c r="H248" s="429"/>
      <c r="I248" s="429"/>
      <c r="J248" s="429"/>
      <c r="K248" s="429"/>
      <c r="L248" s="429"/>
      <c r="M248" s="429"/>
      <c r="N248" s="403">
        <f t="shared" si="7"/>
        <v>0</v>
      </c>
      <c r="O248" s="430">
        <f t="shared" si="8"/>
        <v>0</v>
      </c>
      <c r="P248" s="404">
        <f t="shared" si="5"/>
        <v>0</v>
      </c>
      <c r="Q248" s="430">
        <f t="shared" si="6"/>
        <v>0</v>
      </c>
      <c r="R248" s="424"/>
      <c r="S248" s="427"/>
      <c r="T248" s="348"/>
    </row>
    <row r="249" spans="1:20" s="349" customFormat="1" x14ac:dyDescent="0.3">
      <c r="A249" s="365"/>
      <c r="B249" s="403" t="s">
        <v>119</v>
      </c>
      <c r="C249" s="429"/>
      <c r="D249" s="429"/>
      <c r="E249" s="429"/>
      <c r="F249" s="429"/>
      <c r="G249" s="429"/>
      <c r="H249" s="429"/>
      <c r="I249" s="429"/>
      <c r="J249" s="429"/>
      <c r="K249" s="429"/>
      <c r="L249" s="429"/>
      <c r="M249" s="429"/>
      <c r="N249" s="403">
        <f t="shared" si="7"/>
        <v>0</v>
      </c>
      <c r="O249" s="430">
        <f t="shared" si="8"/>
        <v>0</v>
      </c>
      <c r="P249" s="404">
        <f t="shared" si="5"/>
        <v>0</v>
      </c>
      <c r="Q249" s="430">
        <f t="shared" si="6"/>
        <v>0</v>
      </c>
      <c r="R249" s="424"/>
      <c r="S249" s="427"/>
      <c r="T249" s="348"/>
    </row>
    <row r="250" spans="1:20" s="349" customFormat="1" x14ac:dyDescent="0.3">
      <c r="A250" s="365"/>
      <c r="B250" s="403" t="s">
        <v>120</v>
      </c>
      <c r="C250" s="429"/>
      <c r="D250" s="429"/>
      <c r="E250" s="429"/>
      <c r="F250" s="429"/>
      <c r="G250" s="429"/>
      <c r="H250" s="429"/>
      <c r="I250" s="429"/>
      <c r="J250" s="429"/>
      <c r="K250" s="429"/>
      <c r="L250" s="429"/>
      <c r="M250" s="429"/>
      <c r="N250" s="403">
        <f t="shared" si="7"/>
        <v>0</v>
      </c>
      <c r="O250" s="430">
        <f t="shared" si="8"/>
        <v>0</v>
      </c>
      <c r="P250" s="404">
        <f t="shared" si="5"/>
        <v>0</v>
      </c>
      <c r="Q250" s="430">
        <f t="shared" si="6"/>
        <v>0</v>
      </c>
      <c r="R250" s="424"/>
      <c r="S250" s="427"/>
      <c r="T250" s="348"/>
    </row>
    <row r="251" spans="1:20" s="349" customFormat="1" x14ac:dyDescent="0.3">
      <c r="A251" s="365"/>
      <c r="B251" s="403" t="s">
        <v>121</v>
      </c>
      <c r="C251" s="429"/>
      <c r="D251" s="429"/>
      <c r="E251" s="429"/>
      <c r="F251" s="429"/>
      <c r="G251" s="429"/>
      <c r="H251" s="429"/>
      <c r="I251" s="429"/>
      <c r="J251" s="429"/>
      <c r="K251" s="429"/>
      <c r="L251" s="429"/>
      <c r="M251" s="429"/>
      <c r="N251" s="403">
        <f t="shared" si="7"/>
        <v>0</v>
      </c>
      <c r="O251" s="430">
        <f t="shared" si="8"/>
        <v>0</v>
      </c>
      <c r="P251" s="404">
        <f t="shared" si="5"/>
        <v>0</v>
      </c>
      <c r="Q251" s="430">
        <f t="shared" si="6"/>
        <v>0</v>
      </c>
      <c r="R251" s="424"/>
      <c r="S251" s="427"/>
      <c r="T251" s="348"/>
    </row>
    <row r="252" spans="1:20" s="349" customFormat="1" x14ac:dyDescent="0.3">
      <c r="A252" s="365"/>
      <c r="B252" s="403" t="s">
        <v>122</v>
      </c>
      <c r="C252" s="429"/>
      <c r="D252" s="429"/>
      <c r="E252" s="429"/>
      <c r="F252" s="429"/>
      <c r="G252" s="429"/>
      <c r="H252" s="429"/>
      <c r="I252" s="429"/>
      <c r="J252" s="429"/>
      <c r="K252" s="429"/>
      <c r="L252" s="429"/>
      <c r="M252" s="429"/>
      <c r="N252" s="403">
        <f t="shared" si="7"/>
        <v>1</v>
      </c>
      <c r="O252" s="430">
        <f t="shared" si="8"/>
        <v>2.4390243902439024E-3</v>
      </c>
      <c r="P252" s="404">
        <f t="shared" si="5"/>
        <v>384</v>
      </c>
      <c r="Q252" s="430">
        <f t="shared" si="6"/>
        <v>5.8206511853513615E-3</v>
      </c>
      <c r="R252" s="424"/>
      <c r="S252" s="427"/>
      <c r="T252" s="348"/>
    </row>
    <row r="253" spans="1:20" s="349" customFormat="1" x14ac:dyDescent="0.3">
      <c r="A253" s="365"/>
      <c r="B253" s="403" t="s">
        <v>123</v>
      </c>
      <c r="C253" s="429"/>
      <c r="D253" s="429"/>
      <c r="E253" s="429"/>
      <c r="F253" s="429"/>
      <c r="G253" s="429"/>
      <c r="H253" s="429"/>
      <c r="I253" s="429"/>
      <c r="J253" s="429"/>
      <c r="K253" s="429"/>
      <c r="L253" s="429"/>
      <c r="M253" s="429"/>
      <c r="N253" s="403">
        <f t="shared" si="7"/>
        <v>0</v>
      </c>
      <c r="O253" s="430">
        <f t="shared" si="8"/>
        <v>0</v>
      </c>
      <c r="P253" s="404">
        <f t="shared" si="5"/>
        <v>0</v>
      </c>
      <c r="Q253" s="430">
        <f t="shared" si="6"/>
        <v>0</v>
      </c>
      <c r="R253" s="424"/>
      <c r="S253" s="427"/>
      <c r="T253" s="348"/>
    </row>
    <row r="254" spans="1:20" s="349" customFormat="1" x14ac:dyDescent="0.3">
      <c r="A254" s="365"/>
      <c r="B254" s="403"/>
      <c r="C254" s="429"/>
      <c r="D254" s="429"/>
      <c r="E254" s="429"/>
      <c r="F254" s="429"/>
      <c r="G254" s="429"/>
      <c r="H254" s="429"/>
      <c r="I254" s="429"/>
      <c r="J254" s="429"/>
      <c r="K254" s="429"/>
      <c r="L254" s="429"/>
      <c r="M254" s="429"/>
      <c r="N254" s="403"/>
      <c r="O254" s="430"/>
      <c r="P254" s="404"/>
      <c r="Q254" s="430"/>
      <c r="R254" s="424"/>
      <c r="S254" s="427"/>
      <c r="T254" s="348"/>
    </row>
    <row r="255" spans="1:20" s="349" customFormat="1" x14ac:dyDescent="0.3">
      <c r="A255" s="365"/>
      <c r="B255" s="358" t="s">
        <v>94</v>
      </c>
      <c r="C255" s="358"/>
      <c r="D255" s="431"/>
      <c r="E255" s="431"/>
      <c r="F255" s="431"/>
      <c r="G255" s="431"/>
      <c r="H255" s="431"/>
      <c r="I255" s="431"/>
      <c r="J255" s="431"/>
      <c r="K255" s="431"/>
      <c r="L255" s="431"/>
      <c r="M255" s="431"/>
      <c r="N255" s="403">
        <f>SUM(N246:N254)</f>
        <v>410</v>
      </c>
      <c r="O255" s="430">
        <f>SUM(O246:O254)</f>
        <v>1</v>
      </c>
      <c r="P255" s="404">
        <f>SUM(P246:P254)</f>
        <v>65972</v>
      </c>
      <c r="Q255" s="430">
        <f>SUM(Q246:Q254)</f>
        <v>1</v>
      </c>
      <c r="R255" s="358"/>
      <c r="S255" s="361"/>
      <c r="T255" s="348"/>
    </row>
    <row r="256" spans="1:20" x14ac:dyDescent="0.3">
      <c r="A256" s="249"/>
      <c r="B256" s="316"/>
      <c r="C256" s="333"/>
      <c r="D256" s="277"/>
      <c r="E256" s="277"/>
      <c r="F256" s="277"/>
      <c r="G256" s="277"/>
      <c r="H256" s="277"/>
      <c r="I256" s="277"/>
      <c r="J256" s="277"/>
      <c r="K256" s="277"/>
      <c r="L256" s="277"/>
      <c r="M256" s="277"/>
      <c r="N256" s="277"/>
      <c r="O256" s="277"/>
      <c r="P256" s="335"/>
      <c r="Q256" s="277"/>
      <c r="R256" s="277"/>
      <c r="S256" s="252"/>
      <c r="T256" s="247"/>
    </row>
    <row r="257" spans="1:21" x14ac:dyDescent="0.3">
      <c r="A257" s="443"/>
      <c r="B257" s="452" t="s">
        <v>124</v>
      </c>
      <c r="C257" s="453"/>
      <c r="D257" s="453"/>
      <c r="E257" s="453"/>
      <c r="F257" s="453"/>
      <c r="G257" s="453"/>
      <c r="H257" s="453"/>
      <c r="I257" s="453"/>
      <c r="J257" s="453"/>
      <c r="K257" s="453"/>
      <c r="L257" s="453"/>
      <c r="M257" s="453"/>
      <c r="N257" s="469" t="s">
        <v>83</v>
      </c>
      <c r="O257" s="453" t="s">
        <v>84</v>
      </c>
      <c r="P257" s="469" t="s">
        <v>89</v>
      </c>
      <c r="Q257" s="453" t="s">
        <v>84</v>
      </c>
      <c r="R257" s="447"/>
      <c r="S257" s="470"/>
      <c r="T257" s="247"/>
    </row>
    <row r="258" spans="1:21" s="349" customFormat="1" x14ac:dyDescent="0.3">
      <c r="A258" s="344"/>
      <c r="B258" s="408" t="s">
        <v>72</v>
      </c>
      <c r="C258" s="471"/>
      <c r="D258" s="471"/>
      <c r="E258" s="471"/>
      <c r="F258" s="471"/>
      <c r="G258" s="471"/>
      <c r="H258" s="471"/>
      <c r="I258" s="471"/>
      <c r="J258" s="471"/>
      <c r="K258" s="471"/>
      <c r="L258" s="471"/>
      <c r="M258" s="471"/>
      <c r="N258" s="408">
        <v>409</v>
      </c>
      <c r="O258" s="472">
        <f>N258/$N$267</f>
        <v>0.9975609756097561</v>
      </c>
      <c r="P258" s="411">
        <v>65588</v>
      </c>
      <c r="Q258" s="472">
        <f>P258/$P$267</f>
        <v>0.99417934881464864</v>
      </c>
      <c r="R258" s="467"/>
      <c r="S258" s="473"/>
      <c r="T258" s="348"/>
    </row>
    <row r="259" spans="1:21" s="349" customFormat="1" x14ac:dyDescent="0.3">
      <c r="A259" s="365"/>
      <c r="B259" s="403" t="s">
        <v>73</v>
      </c>
      <c r="C259" s="429"/>
      <c r="D259" s="429"/>
      <c r="E259" s="429"/>
      <c r="F259" s="429"/>
      <c r="G259" s="429"/>
      <c r="H259" s="429"/>
      <c r="I259" s="429"/>
      <c r="J259" s="429"/>
      <c r="K259" s="429"/>
      <c r="L259" s="429"/>
      <c r="M259" s="429"/>
      <c r="N259" s="403">
        <v>0</v>
      </c>
      <c r="O259" s="430">
        <f t="shared" ref="O259:O265" si="9">N259/$N$267</f>
        <v>0</v>
      </c>
      <c r="P259" s="404">
        <v>0</v>
      </c>
      <c r="Q259" s="430">
        <f t="shared" ref="Q259:Q265" si="10">P259/$P$267</f>
        <v>0</v>
      </c>
      <c r="R259" s="424"/>
      <c r="S259" s="427"/>
      <c r="T259" s="348"/>
      <c r="U259" s="407"/>
    </row>
    <row r="260" spans="1:21" s="349" customFormat="1" x14ac:dyDescent="0.3">
      <c r="A260" s="365"/>
      <c r="B260" s="403" t="s">
        <v>74</v>
      </c>
      <c r="C260" s="429"/>
      <c r="D260" s="429"/>
      <c r="E260" s="429"/>
      <c r="F260" s="429"/>
      <c r="G260" s="429"/>
      <c r="H260" s="429"/>
      <c r="I260" s="429"/>
      <c r="J260" s="429"/>
      <c r="K260" s="429"/>
      <c r="L260" s="429"/>
      <c r="M260" s="429"/>
      <c r="N260" s="403">
        <v>0</v>
      </c>
      <c r="O260" s="430">
        <f t="shared" si="9"/>
        <v>0</v>
      </c>
      <c r="P260" s="404">
        <v>0</v>
      </c>
      <c r="Q260" s="430">
        <f t="shared" si="10"/>
        <v>0</v>
      </c>
      <c r="R260" s="424"/>
      <c r="S260" s="427"/>
      <c r="T260" s="348"/>
    </row>
    <row r="261" spans="1:21" s="349" customFormat="1" x14ac:dyDescent="0.3">
      <c r="A261" s="365"/>
      <c r="B261" s="403" t="s">
        <v>119</v>
      </c>
      <c r="C261" s="429"/>
      <c r="D261" s="429"/>
      <c r="E261" s="429"/>
      <c r="F261" s="429"/>
      <c r="G261" s="429"/>
      <c r="H261" s="429"/>
      <c r="I261" s="429"/>
      <c r="J261" s="429"/>
      <c r="K261" s="429"/>
      <c r="L261" s="429"/>
      <c r="M261" s="429"/>
      <c r="N261" s="403">
        <v>0</v>
      </c>
      <c r="O261" s="430">
        <f t="shared" si="9"/>
        <v>0</v>
      </c>
      <c r="P261" s="404">
        <v>0</v>
      </c>
      <c r="Q261" s="430">
        <f t="shared" si="10"/>
        <v>0</v>
      </c>
      <c r="R261" s="424"/>
      <c r="S261" s="427"/>
      <c r="T261" s="348"/>
      <c r="U261" s="407"/>
    </row>
    <row r="262" spans="1:21" s="349" customFormat="1" x14ac:dyDescent="0.3">
      <c r="A262" s="365"/>
      <c r="B262" s="403" t="s">
        <v>120</v>
      </c>
      <c r="C262" s="429"/>
      <c r="D262" s="429"/>
      <c r="E262" s="429"/>
      <c r="F262" s="429"/>
      <c r="G262" s="429"/>
      <c r="H262" s="429"/>
      <c r="I262" s="429"/>
      <c r="J262" s="429"/>
      <c r="K262" s="429"/>
      <c r="L262" s="429"/>
      <c r="M262" s="429"/>
      <c r="N262" s="403">
        <v>0</v>
      </c>
      <c r="O262" s="430">
        <f t="shared" si="9"/>
        <v>0</v>
      </c>
      <c r="P262" s="404">
        <v>0</v>
      </c>
      <c r="Q262" s="430">
        <f t="shared" si="10"/>
        <v>0</v>
      </c>
      <c r="R262" s="424"/>
      <c r="S262" s="427"/>
      <c r="T262" s="348"/>
    </row>
    <row r="263" spans="1:21" s="349" customFormat="1" x14ac:dyDescent="0.3">
      <c r="A263" s="365"/>
      <c r="B263" s="403" t="s">
        <v>121</v>
      </c>
      <c r="C263" s="429"/>
      <c r="D263" s="429"/>
      <c r="E263" s="429"/>
      <c r="F263" s="429"/>
      <c r="G263" s="429"/>
      <c r="H263" s="429"/>
      <c r="I263" s="429"/>
      <c r="J263" s="429"/>
      <c r="K263" s="429"/>
      <c r="L263" s="429"/>
      <c r="M263" s="429"/>
      <c r="N263" s="403">
        <v>0</v>
      </c>
      <c r="O263" s="430">
        <f t="shared" si="9"/>
        <v>0</v>
      </c>
      <c r="P263" s="404">
        <v>0</v>
      </c>
      <c r="Q263" s="430">
        <f t="shared" si="10"/>
        <v>0</v>
      </c>
      <c r="R263" s="424"/>
      <c r="S263" s="427"/>
      <c r="T263" s="348"/>
      <c r="U263" s="407"/>
    </row>
    <row r="264" spans="1:21" s="349" customFormat="1" x14ac:dyDescent="0.3">
      <c r="A264" s="365"/>
      <c r="B264" s="403" t="s">
        <v>122</v>
      </c>
      <c r="C264" s="429"/>
      <c r="D264" s="429"/>
      <c r="E264" s="429"/>
      <c r="F264" s="429"/>
      <c r="G264" s="429"/>
      <c r="H264" s="429"/>
      <c r="I264" s="429"/>
      <c r="J264" s="429"/>
      <c r="K264" s="429"/>
      <c r="L264" s="429"/>
      <c r="M264" s="429"/>
      <c r="N264" s="403">
        <v>1</v>
      </c>
      <c r="O264" s="430">
        <f t="shared" si="9"/>
        <v>2.4390243902439024E-3</v>
      </c>
      <c r="P264" s="404">
        <v>384</v>
      </c>
      <c r="Q264" s="430">
        <f t="shared" si="10"/>
        <v>5.8206511853513615E-3</v>
      </c>
      <c r="R264" s="424"/>
      <c r="S264" s="427"/>
      <c r="T264" s="348"/>
    </row>
    <row r="265" spans="1:21" s="349" customFormat="1" x14ac:dyDescent="0.3">
      <c r="A265" s="365"/>
      <c r="B265" s="403" t="s">
        <v>123</v>
      </c>
      <c r="C265" s="429"/>
      <c r="D265" s="429"/>
      <c r="E265" s="429"/>
      <c r="F265" s="429"/>
      <c r="G265" s="429"/>
      <c r="H265" s="429"/>
      <c r="I265" s="429"/>
      <c r="J265" s="429"/>
      <c r="K265" s="429"/>
      <c r="L265" s="429"/>
      <c r="M265" s="429"/>
      <c r="N265" s="403">
        <v>0</v>
      </c>
      <c r="O265" s="430">
        <f t="shared" si="9"/>
        <v>0</v>
      </c>
      <c r="P265" s="404">
        <v>0</v>
      </c>
      <c r="Q265" s="430">
        <f t="shared" si="10"/>
        <v>0</v>
      </c>
      <c r="R265" s="424"/>
      <c r="S265" s="427"/>
      <c r="T265" s="348"/>
      <c r="U265" s="407"/>
    </row>
    <row r="266" spans="1:21" s="349" customFormat="1" x14ac:dyDescent="0.3">
      <c r="A266" s="365"/>
      <c r="B266" s="403"/>
      <c r="C266" s="429"/>
      <c r="D266" s="429"/>
      <c r="E266" s="429"/>
      <c r="F266" s="429"/>
      <c r="G266" s="429"/>
      <c r="H266" s="429"/>
      <c r="I266" s="429"/>
      <c r="J266" s="429"/>
      <c r="K266" s="429"/>
      <c r="L266" s="429"/>
      <c r="M266" s="429"/>
      <c r="N266" s="403"/>
      <c r="O266" s="430"/>
      <c r="P266" s="404"/>
      <c r="Q266" s="430"/>
      <c r="R266" s="424"/>
      <c r="S266" s="427"/>
      <c r="T266" s="348"/>
    </row>
    <row r="267" spans="1:21" s="349" customFormat="1" x14ac:dyDescent="0.3">
      <c r="A267" s="365"/>
      <c r="B267" s="358" t="s">
        <v>94</v>
      </c>
      <c r="C267" s="358"/>
      <c r="D267" s="431"/>
      <c r="E267" s="431"/>
      <c r="F267" s="431"/>
      <c r="G267" s="431"/>
      <c r="H267" s="431"/>
      <c r="I267" s="431"/>
      <c r="J267" s="431"/>
      <c r="K267" s="431"/>
      <c r="L267" s="431"/>
      <c r="M267" s="431"/>
      <c r="N267" s="403">
        <f>SUM(N258:N266)</f>
        <v>410</v>
      </c>
      <c r="O267" s="430">
        <f>SUM(O258:O266)</f>
        <v>1</v>
      </c>
      <c r="P267" s="404">
        <f>SUM(P258:P266)</f>
        <v>65972</v>
      </c>
      <c r="Q267" s="430">
        <f>SUM(Q258:Q266)</f>
        <v>1</v>
      </c>
      <c r="R267" s="358"/>
      <c r="S267" s="361"/>
      <c r="T267" s="348"/>
    </row>
    <row r="268" spans="1:21" x14ac:dyDescent="0.3">
      <c r="A268" s="249"/>
      <c r="B268" s="277"/>
      <c r="C268" s="277"/>
      <c r="D268" s="337"/>
      <c r="E268" s="337"/>
      <c r="F268" s="337"/>
      <c r="G268" s="337"/>
      <c r="H268" s="337"/>
      <c r="I268" s="337"/>
      <c r="J268" s="337"/>
      <c r="K268" s="337"/>
      <c r="L268" s="337"/>
      <c r="M268" s="337"/>
      <c r="N268" s="287"/>
      <c r="O268" s="338"/>
      <c r="P268" s="339"/>
      <c r="Q268" s="338"/>
      <c r="R268" s="277"/>
      <c r="S268" s="252"/>
      <c r="T268" s="247"/>
    </row>
    <row r="269" spans="1:21" x14ac:dyDescent="0.3">
      <c r="A269" s="443"/>
      <c r="B269" s="452" t="s">
        <v>146</v>
      </c>
      <c r="C269" s="453"/>
      <c r="D269" s="453"/>
      <c r="E269" s="453"/>
      <c r="F269" s="453"/>
      <c r="G269" s="453"/>
      <c r="H269" s="453"/>
      <c r="I269" s="453"/>
      <c r="J269" s="453"/>
      <c r="K269" s="453"/>
      <c r="L269" s="453"/>
      <c r="M269" s="453"/>
      <c r="N269" s="469" t="s">
        <v>83</v>
      </c>
      <c r="O269" s="453" t="s">
        <v>84</v>
      </c>
      <c r="P269" s="469" t="s">
        <v>89</v>
      </c>
      <c r="Q269" s="453" t="s">
        <v>84</v>
      </c>
      <c r="R269" s="447"/>
      <c r="S269" s="445"/>
      <c r="T269" s="247"/>
    </row>
    <row r="270" spans="1:21" s="349" customFormat="1" x14ac:dyDescent="0.3">
      <c r="A270" s="344"/>
      <c r="B270" s="408" t="s">
        <v>72</v>
      </c>
      <c r="C270" s="471"/>
      <c r="D270" s="471"/>
      <c r="E270" s="471"/>
      <c r="F270" s="471"/>
      <c r="G270" s="471"/>
      <c r="H270" s="471"/>
      <c r="I270" s="471"/>
      <c r="J270" s="471"/>
      <c r="K270" s="471"/>
      <c r="L270" s="471"/>
      <c r="M270" s="471"/>
      <c r="N270" s="408">
        <v>0</v>
      </c>
      <c r="O270" s="472">
        <v>0</v>
      </c>
      <c r="P270" s="411">
        <v>0</v>
      </c>
      <c r="Q270" s="472">
        <v>0</v>
      </c>
      <c r="R270" s="393"/>
      <c r="S270" s="347"/>
      <c r="T270" s="348"/>
    </row>
    <row r="271" spans="1:21" s="349" customFormat="1" x14ac:dyDescent="0.3">
      <c r="A271" s="365"/>
      <c r="B271" s="403" t="s">
        <v>73</v>
      </c>
      <c r="C271" s="429"/>
      <c r="D271" s="429"/>
      <c r="E271" s="429"/>
      <c r="F271" s="429"/>
      <c r="G271" s="429"/>
      <c r="H271" s="429"/>
      <c r="I271" s="429"/>
      <c r="J271" s="429"/>
      <c r="K271" s="429"/>
      <c r="L271" s="429"/>
      <c r="M271" s="429"/>
      <c r="N271" s="403">
        <v>0</v>
      </c>
      <c r="O271" s="430">
        <v>0</v>
      </c>
      <c r="P271" s="404">
        <v>0</v>
      </c>
      <c r="Q271" s="430">
        <v>0</v>
      </c>
      <c r="R271" s="358"/>
      <c r="S271" s="361"/>
      <c r="T271" s="348"/>
    </row>
    <row r="272" spans="1:21" s="349" customFormat="1" x14ac:dyDescent="0.3">
      <c r="A272" s="365"/>
      <c r="B272" s="403" t="s">
        <v>74</v>
      </c>
      <c r="C272" s="429"/>
      <c r="D272" s="429"/>
      <c r="E272" s="429"/>
      <c r="F272" s="429"/>
      <c r="G272" s="429"/>
      <c r="H272" s="429"/>
      <c r="I272" s="429"/>
      <c r="J272" s="429"/>
      <c r="K272" s="429"/>
      <c r="L272" s="429"/>
      <c r="M272" s="429"/>
      <c r="N272" s="403">
        <v>0</v>
      </c>
      <c r="O272" s="430">
        <v>0</v>
      </c>
      <c r="P272" s="404">
        <v>0</v>
      </c>
      <c r="Q272" s="430">
        <v>0</v>
      </c>
      <c r="R272" s="358"/>
      <c r="S272" s="361"/>
      <c r="T272" s="348"/>
    </row>
    <row r="273" spans="1:20" s="349" customFormat="1" x14ac:dyDescent="0.3">
      <c r="A273" s="365"/>
      <c r="B273" s="403" t="s">
        <v>119</v>
      </c>
      <c r="C273" s="429"/>
      <c r="D273" s="429"/>
      <c r="E273" s="429"/>
      <c r="F273" s="429"/>
      <c r="G273" s="429"/>
      <c r="H273" s="429"/>
      <c r="I273" s="429"/>
      <c r="J273" s="429"/>
      <c r="K273" s="429"/>
      <c r="L273" s="429"/>
      <c r="M273" s="429"/>
      <c r="N273" s="403">
        <v>0</v>
      </c>
      <c r="O273" s="430">
        <v>0</v>
      </c>
      <c r="P273" s="404">
        <v>0</v>
      </c>
      <c r="Q273" s="430">
        <v>0</v>
      </c>
      <c r="R273" s="358"/>
      <c r="S273" s="361"/>
      <c r="T273" s="348"/>
    </row>
    <row r="274" spans="1:20" s="349" customFormat="1" x14ac:dyDescent="0.3">
      <c r="A274" s="365"/>
      <c r="B274" s="403" t="s">
        <v>120</v>
      </c>
      <c r="C274" s="429"/>
      <c r="D274" s="429"/>
      <c r="E274" s="429"/>
      <c r="F274" s="429"/>
      <c r="G274" s="429"/>
      <c r="H274" s="429"/>
      <c r="I274" s="429"/>
      <c r="J274" s="429"/>
      <c r="K274" s="429"/>
      <c r="L274" s="429"/>
      <c r="M274" s="429"/>
      <c r="N274" s="403">
        <v>0</v>
      </c>
      <c r="O274" s="430">
        <v>0</v>
      </c>
      <c r="P274" s="404">
        <v>0</v>
      </c>
      <c r="Q274" s="430">
        <v>0</v>
      </c>
      <c r="R274" s="358"/>
      <c r="S274" s="361"/>
      <c r="T274" s="348"/>
    </row>
    <row r="275" spans="1:20" s="349" customFormat="1" x14ac:dyDescent="0.3">
      <c r="A275" s="365"/>
      <c r="B275" s="403" t="s">
        <v>121</v>
      </c>
      <c r="C275" s="429"/>
      <c r="D275" s="429"/>
      <c r="E275" s="429"/>
      <c r="F275" s="429"/>
      <c r="G275" s="429"/>
      <c r="H275" s="429"/>
      <c r="I275" s="429"/>
      <c r="J275" s="429"/>
      <c r="K275" s="429"/>
      <c r="L275" s="429"/>
      <c r="M275" s="429"/>
      <c r="N275" s="403">
        <v>0</v>
      </c>
      <c r="O275" s="430">
        <v>0</v>
      </c>
      <c r="P275" s="404">
        <v>0</v>
      </c>
      <c r="Q275" s="430">
        <v>0</v>
      </c>
      <c r="R275" s="358"/>
      <c r="S275" s="361"/>
      <c r="T275" s="348"/>
    </row>
    <row r="276" spans="1:20" s="349" customFormat="1" x14ac:dyDescent="0.3">
      <c r="A276" s="365"/>
      <c r="B276" s="403" t="s">
        <v>122</v>
      </c>
      <c r="C276" s="429"/>
      <c r="D276" s="429"/>
      <c r="E276" s="429"/>
      <c r="F276" s="429"/>
      <c r="G276" s="429"/>
      <c r="H276" s="429"/>
      <c r="I276" s="429"/>
      <c r="J276" s="429"/>
      <c r="K276" s="429"/>
      <c r="L276" s="429"/>
      <c r="M276" s="429"/>
      <c r="N276" s="403">
        <v>0</v>
      </c>
      <c r="O276" s="430">
        <v>0</v>
      </c>
      <c r="P276" s="404">
        <v>0</v>
      </c>
      <c r="Q276" s="430">
        <v>0</v>
      </c>
      <c r="R276" s="358"/>
      <c r="S276" s="361"/>
      <c r="T276" s="348"/>
    </row>
    <row r="277" spans="1:20" s="349" customFormat="1" x14ac:dyDescent="0.3">
      <c r="A277" s="365"/>
      <c r="B277" s="403" t="s">
        <v>123</v>
      </c>
      <c r="C277" s="429"/>
      <c r="D277" s="429"/>
      <c r="E277" s="429"/>
      <c r="F277" s="429"/>
      <c r="G277" s="429"/>
      <c r="H277" s="429"/>
      <c r="I277" s="429"/>
      <c r="J277" s="429"/>
      <c r="K277" s="429"/>
      <c r="L277" s="429"/>
      <c r="M277" s="429"/>
      <c r="N277" s="403">
        <v>0</v>
      </c>
      <c r="O277" s="430">
        <v>0</v>
      </c>
      <c r="P277" s="404">
        <v>0</v>
      </c>
      <c r="Q277" s="430">
        <v>0</v>
      </c>
      <c r="R277" s="358"/>
      <c r="S277" s="361"/>
      <c r="T277" s="348"/>
    </row>
    <row r="278" spans="1:20" s="349" customFormat="1" x14ac:dyDescent="0.3">
      <c r="A278" s="365"/>
      <c r="B278" s="403"/>
      <c r="C278" s="429"/>
      <c r="D278" s="429"/>
      <c r="E278" s="429"/>
      <c r="F278" s="429"/>
      <c r="G278" s="429"/>
      <c r="H278" s="429"/>
      <c r="I278" s="429"/>
      <c r="J278" s="429"/>
      <c r="K278" s="429"/>
      <c r="L278" s="429"/>
      <c r="M278" s="429"/>
      <c r="N278" s="403"/>
      <c r="O278" s="430"/>
      <c r="P278" s="404"/>
      <c r="Q278" s="430"/>
      <c r="R278" s="358"/>
      <c r="S278" s="361"/>
      <c r="T278" s="348"/>
    </row>
    <row r="279" spans="1:20" s="349" customFormat="1" x14ac:dyDescent="0.3">
      <c r="A279" s="365"/>
      <c r="B279" s="358" t="s">
        <v>94</v>
      </c>
      <c r="C279" s="358"/>
      <c r="D279" s="431"/>
      <c r="E279" s="431"/>
      <c r="F279" s="431"/>
      <c r="G279" s="431"/>
      <c r="H279" s="431"/>
      <c r="I279" s="431"/>
      <c r="J279" s="431"/>
      <c r="K279" s="431"/>
      <c r="L279" s="431"/>
      <c r="M279" s="431"/>
      <c r="N279" s="403">
        <f>SUM(N270:N278)</f>
        <v>0</v>
      </c>
      <c r="O279" s="430">
        <f>SUM(O270:O278)</f>
        <v>0</v>
      </c>
      <c r="P279" s="404">
        <f>SUM(P270:P278)</f>
        <v>0</v>
      </c>
      <c r="Q279" s="430">
        <f>SUM(Q270:Q278)</f>
        <v>0</v>
      </c>
      <c r="R279" s="358"/>
      <c r="S279" s="361"/>
      <c r="T279" s="348"/>
    </row>
    <row r="280" spans="1:20" x14ac:dyDescent="0.3">
      <c r="A280" s="249"/>
      <c r="B280" s="277"/>
      <c r="C280" s="277"/>
      <c r="D280" s="337"/>
      <c r="E280" s="337"/>
      <c r="F280" s="337"/>
      <c r="G280" s="337"/>
      <c r="H280" s="337"/>
      <c r="I280" s="337"/>
      <c r="J280" s="337"/>
      <c r="K280" s="337"/>
      <c r="L280" s="337"/>
      <c r="M280" s="337"/>
      <c r="N280" s="287"/>
      <c r="O280" s="338"/>
      <c r="P280" s="339"/>
      <c r="Q280" s="338"/>
      <c r="R280" s="277"/>
      <c r="S280" s="252"/>
      <c r="T280" s="247"/>
    </row>
    <row r="281" spans="1:20" x14ac:dyDescent="0.3">
      <c r="A281" s="443"/>
      <c r="B281" s="452" t="s">
        <v>125</v>
      </c>
      <c r="C281" s="447"/>
      <c r="D281" s="475"/>
      <c r="E281" s="475"/>
      <c r="F281" s="475"/>
      <c r="G281" s="475"/>
      <c r="H281" s="475"/>
      <c r="I281" s="475"/>
      <c r="J281" s="475"/>
      <c r="K281" s="475"/>
      <c r="L281" s="475"/>
      <c r="M281" s="475"/>
      <c r="N281" s="469" t="s">
        <v>83</v>
      </c>
      <c r="O281" s="453" t="s">
        <v>84</v>
      </c>
      <c r="P281" s="469" t="s">
        <v>89</v>
      </c>
      <c r="Q281" s="453" t="s">
        <v>84</v>
      </c>
      <c r="R281" s="447"/>
      <c r="S281" s="445"/>
      <c r="T281" s="247"/>
    </row>
    <row r="282" spans="1:20" s="349" customFormat="1" x14ac:dyDescent="0.3">
      <c r="A282" s="344"/>
      <c r="B282" s="408" t="s">
        <v>72</v>
      </c>
      <c r="C282" s="393"/>
      <c r="D282" s="474"/>
      <c r="E282" s="474"/>
      <c r="F282" s="474"/>
      <c r="G282" s="474"/>
      <c r="H282" s="474"/>
      <c r="I282" s="474"/>
      <c r="J282" s="474"/>
      <c r="K282" s="474"/>
      <c r="L282" s="474"/>
      <c r="M282" s="474"/>
      <c r="N282" s="408">
        <v>0</v>
      </c>
      <c r="O282" s="472">
        <v>0</v>
      </c>
      <c r="P282" s="411">
        <v>0</v>
      </c>
      <c r="Q282" s="472">
        <v>0</v>
      </c>
      <c r="R282" s="393"/>
      <c r="S282" s="347"/>
      <c r="T282" s="348"/>
    </row>
    <row r="283" spans="1:20" s="349" customFormat="1" x14ac:dyDescent="0.3">
      <c r="A283" s="365"/>
      <c r="B283" s="403" t="s">
        <v>73</v>
      </c>
      <c r="C283" s="358"/>
      <c r="D283" s="431"/>
      <c r="E283" s="431"/>
      <c r="F283" s="431"/>
      <c r="G283" s="431"/>
      <c r="H283" s="431"/>
      <c r="I283" s="431"/>
      <c r="J283" s="431"/>
      <c r="K283" s="431"/>
      <c r="L283" s="431"/>
      <c r="M283" s="431"/>
      <c r="N283" s="403">
        <v>0</v>
      </c>
      <c r="O283" s="430">
        <v>0</v>
      </c>
      <c r="P283" s="404">
        <v>0</v>
      </c>
      <c r="Q283" s="430">
        <v>0</v>
      </c>
      <c r="R283" s="358"/>
      <c r="S283" s="361"/>
      <c r="T283" s="348"/>
    </row>
    <row r="284" spans="1:20" s="349" customFormat="1" x14ac:dyDescent="0.3">
      <c r="A284" s="365"/>
      <c r="B284" s="403" t="s">
        <v>74</v>
      </c>
      <c r="C284" s="358"/>
      <c r="D284" s="431"/>
      <c r="E284" s="431"/>
      <c r="F284" s="431"/>
      <c r="G284" s="431"/>
      <c r="H284" s="431"/>
      <c r="I284" s="431"/>
      <c r="J284" s="431"/>
      <c r="K284" s="431"/>
      <c r="L284" s="431"/>
      <c r="M284" s="431"/>
      <c r="N284" s="403">
        <v>0</v>
      </c>
      <c r="O284" s="430">
        <v>0</v>
      </c>
      <c r="P284" s="404">
        <v>0</v>
      </c>
      <c r="Q284" s="430">
        <v>0</v>
      </c>
      <c r="R284" s="358"/>
      <c r="S284" s="361"/>
      <c r="T284" s="348"/>
    </row>
    <row r="285" spans="1:20" s="349" customFormat="1" x14ac:dyDescent="0.3">
      <c r="A285" s="365"/>
      <c r="B285" s="403" t="s">
        <v>119</v>
      </c>
      <c r="C285" s="358"/>
      <c r="D285" s="431"/>
      <c r="E285" s="431"/>
      <c r="F285" s="431"/>
      <c r="G285" s="431"/>
      <c r="H285" s="431"/>
      <c r="I285" s="431"/>
      <c r="J285" s="431"/>
      <c r="K285" s="431"/>
      <c r="L285" s="431"/>
      <c r="M285" s="431"/>
      <c r="N285" s="403">
        <v>0</v>
      </c>
      <c r="O285" s="430">
        <v>0</v>
      </c>
      <c r="P285" s="404">
        <v>0</v>
      </c>
      <c r="Q285" s="430">
        <v>0</v>
      </c>
      <c r="R285" s="358"/>
      <c r="S285" s="361"/>
      <c r="T285" s="348"/>
    </row>
    <row r="286" spans="1:20" s="349" customFormat="1" x14ac:dyDescent="0.3">
      <c r="A286" s="365"/>
      <c r="B286" s="403" t="s">
        <v>120</v>
      </c>
      <c r="C286" s="358"/>
      <c r="D286" s="431"/>
      <c r="E286" s="431"/>
      <c r="F286" s="431"/>
      <c r="G286" s="431"/>
      <c r="H286" s="431"/>
      <c r="I286" s="431"/>
      <c r="J286" s="431"/>
      <c r="K286" s="431"/>
      <c r="L286" s="431"/>
      <c r="M286" s="431"/>
      <c r="N286" s="403">
        <v>0</v>
      </c>
      <c r="O286" s="430">
        <v>0</v>
      </c>
      <c r="P286" s="404">
        <v>0</v>
      </c>
      <c r="Q286" s="430">
        <v>0</v>
      </c>
      <c r="R286" s="358"/>
      <c r="S286" s="361"/>
      <c r="T286" s="348"/>
    </row>
    <row r="287" spans="1:20" s="349" customFormat="1" x14ac:dyDescent="0.3">
      <c r="A287" s="365"/>
      <c r="B287" s="403" t="s">
        <v>121</v>
      </c>
      <c r="C287" s="358"/>
      <c r="D287" s="431"/>
      <c r="E287" s="431"/>
      <c r="F287" s="431"/>
      <c r="G287" s="431"/>
      <c r="H287" s="431"/>
      <c r="I287" s="431"/>
      <c r="J287" s="431"/>
      <c r="K287" s="431"/>
      <c r="L287" s="431"/>
      <c r="M287" s="431"/>
      <c r="N287" s="403">
        <v>0</v>
      </c>
      <c r="O287" s="430">
        <v>0</v>
      </c>
      <c r="P287" s="404">
        <v>0</v>
      </c>
      <c r="Q287" s="430">
        <v>0</v>
      </c>
      <c r="R287" s="358"/>
      <c r="S287" s="361"/>
      <c r="T287" s="348"/>
    </row>
    <row r="288" spans="1:20" s="349" customFormat="1" x14ac:dyDescent="0.3">
      <c r="A288" s="365"/>
      <c r="B288" s="403" t="s">
        <v>122</v>
      </c>
      <c r="C288" s="358"/>
      <c r="D288" s="431"/>
      <c r="E288" s="431"/>
      <c r="F288" s="431"/>
      <c r="G288" s="431"/>
      <c r="H288" s="431"/>
      <c r="I288" s="431"/>
      <c r="J288" s="431"/>
      <c r="K288" s="431"/>
      <c r="L288" s="431"/>
      <c r="M288" s="431"/>
      <c r="N288" s="403">
        <v>0</v>
      </c>
      <c r="O288" s="430">
        <v>0</v>
      </c>
      <c r="P288" s="404">
        <v>0</v>
      </c>
      <c r="Q288" s="430">
        <v>0</v>
      </c>
      <c r="R288" s="358"/>
      <c r="S288" s="361"/>
      <c r="T288" s="348"/>
    </row>
    <row r="289" spans="1:20" s="349" customFormat="1" x14ac:dyDescent="0.3">
      <c r="A289" s="365"/>
      <c r="B289" s="403" t="s">
        <v>123</v>
      </c>
      <c r="C289" s="358"/>
      <c r="D289" s="431"/>
      <c r="E289" s="431"/>
      <c r="F289" s="431"/>
      <c r="G289" s="431"/>
      <c r="H289" s="431"/>
      <c r="I289" s="431"/>
      <c r="J289" s="431"/>
      <c r="K289" s="431"/>
      <c r="L289" s="431"/>
      <c r="M289" s="431"/>
      <c r="N289" s="403">
        <v>0</v>
      </c>
      <c r="O289" s="430">
        <v>0</v>
      </c>
      <c r="P289" s="404">
        <v>0</v>
      </c>
      <c r="Q289" s="430">
        <v>0</v>
      </c>
      <c r="R289" s="358"/>
      <c r="S289" s="361"/>
      <c r="T289" s="348"/>
    </row>
    <row r="290" spans="1:20" s="349" customFormat="1" x14ac:dyDescent="0.3">
      <c r="A290" s="365"/>
      <c r="B290" s="403"/>
      <c r="C290" s="358"/>
      <c r="D290" s="431"/>
      <c r="E290" s="431"/>
      <c r="F290" s="431"/>
      <c r="G290" s="431"/>
      <c r="H290" s="431"/>
      <c r="I290" s="431"/>
      <c r="J290" s="431"/>
      <c r="K290" s="431"/>
      <c r="L290" s="431"/>
      <c r="M290" s="431"/>
      <c r="N290" s="403"/>
      <c r="O290" s="430"/>
      <c r="P290" s="404"/>
      <c r="Q290" s="430"/>
      <c r="R290" s="358"/>
      <c r="S290" s="361"/>
      <c r="T290" s="348"/>
    </row>
    <row r="291" spans="1:20" s="349" customFormat="1" x14ac:dyDescent="0.3">
      <c r="A291" s="365"/>
      <c r="B291" s="358" t="s">
        <v>94</v>
      </c>
      <c r="C291" s="358"/>
      <c r="D291" s="431"/>
      <c r="E291" s="431"/>
      <c r="F291" s="431"/>
      <c r="G291" s="431"/>
      <c r="H291" s="431"/>
      <c r="I291" s="431"/>
      <c r="J291" s="431"/>
      <c r="K291" s="431"/>
      <c r="L291" s="431"/>
      <c r="M291" s="431"/>
      <c r="N291" s="403">
        <f>SUM(N282:N289)</f>
        <v>0</v>
      </c>
      <c r="O291" s="430">
        <f>SUM(O282:O289)</f>
        <v>0</v>
      </c>
      <c r="P291" s="404">
        <f>SUM(P282:P289)</f>
        <v>0</v>
      </c>
      <c r="Q291" s="430">
        <f>SUM(Q282:Q289)</f>
        <v>0</v>
      </c>
      <c r="R291" s="358"/>
      <c r="S291" s="361"/>
      <c r="T291" s="348"/>
    </row>
    <row r="292" spans="1:20" s="349" customFormat="1" x14ac:dyDescent="0.3">
      <c r="A292" s="365"/>
      <c r="B292" s="358"/>
      <c r="C292" s="358"/>
      <c r="D292" s="431"/>
      <c r="E292" s="431"/>
      <c r="F292" s="431"/>
      <c r="G292" s="431"/>
      <c r="H292" s="431"/>
      <c r="I292" s="431"/>
      <c r="J292" s="431"/>
      <c r="K292" s="431"/>
      <c r="L292" s="431"/>
      <c r="M292" s="431"/>
      <c r="N292" s="403"/>
      <c r="O292" s="430"/>
      <c r="P292" s="404"/>
      <c r="Q292" s="430"/>
      <c r="R292" s="358"/>
      <c r="S292" s="361"/>
      <c r="T292" s="348"/>
    </row>
    <row r="293" spans="1:20" s="349" customFormat="1" x14ac:dyDescent="0.3">
      <c r="A293" s="365"/>
      <c r="B293" s="362" t="s">
        <v>177</v>
      </c>
      <c r="C293" s="358"/>
      <c r="D293" s="431"/>
      <c r="E293" s="431"/>
      <c r="F293" s="431"/>
      <c r="G293" s="431"/>
      <c r="H293" s="431"/>
      <c r="I293" s="431"/>
      <c r="J293" s="431"/>
      <c r="K293" s="431"/>
      <c r="L293" s="431"/>
      <c r="M293" s="431"/>
      <c r="N293" s="432">
        <f>N291+N279+N267</f>
        <v>410</v>
      </c>
      <c r="O293" s="430"/>
      <c r="P293" s="433">
        <f>+P291+P279+P267</f>
        <v>65972</v>
      </c>
      <c r="Q293" s="430"/>
      <c r="R293" s="358"/>
      <c r="S293" s="361"/>
      <c r="T293" s="348"/>
    </row>
    <row r="294" spans="1:20" s="349" customFormat="1" x14ac:dyDescent="0.3">
      <c r="A294" s="365"/>
      <c r="B294" s="362" t="s">
        <v>217</v>
      </c>
      <c r="C294" s="362"/>
      <c r="D294" s="434"/>
      <c r="E294" s="434"/>
      <c r="F294" s="434"/>
      <c r="G294" s="434"/>
      <c r="H294" s="434"/>
      <c r="I294" s="434"/>
      <c r="J294" s="434"/>
      <c r="K294" s="434"/>
      <c r="L294" s="434"/>
      <c r="M294" s="434"/>
      <c r="N294" s="432"/>
      <c r="O294" s="435"/>
      <c r="P294" s="433">
        <f>+R180</f>
        <v>0</v>
      </c>
      <c r="Q294" s="430"/>
      <c r="R294" s="358"/>
      <c r="S294" s="361"/>
      <c r="T294" s="348"/>
    </row>
    <row r="295" spans="1:20" s="349" customFormat="1" x14ac:dyDescent="0.3">
      <c r="A295" s="365"/>
      <c r="B295" s="362" t="s">
        <v>126</v>
      </c>
      <c r="C295" s="362"/>
      <c r="D295" s="434"/>
      <c r="E295" s="434"/>
      <c r="F295" s="434"/>
      <c r="G295" s="434"/>
      <c r="H295" s="434"/>
      <c r="I295" s="434"/>
      <c r="J295" s="434"/>
      <c r="K295" s="434"/>
      <c r="L295" s="434"/>
      <c r="M295" s="434"/>
      <c r="N295" s="432"/>
      <c r="O295" s="435"/>
      <c r="P295" s="433">
        <f>+P293+P294</f>
        <v>65972</v>
      </c>
      <c r="Q295" s="430"/>
      <c r="R295" s="358"/>
      <c r="S295" s="361"/>
      <c r="T295" s="348"/>
    </row>
    <row r="296" spans="1:20" s="349" customFormat="1" x14ac:dyDescent="0.3">
      <c r="A296" s="365"/>
      <c r="B296" s="362" t="s">
        <v>176</v>
      </c>
      <c r="C296" s="358"/>
      <c r="D296" s="431"/>
      <c r="E296" s="431"/>
      <c r="F296" s="431"/>
      <c r="G296" s="431"/>
      <c r="H296" s="431"/>
      <c r="I296" s="431"/>
      <c r="J296" s="431"/>
      <c r="K296" s="431"/>
      <c r="L296" s="431"/>
      <c r="M296" s="431"/>
      <c r="N296" s="432"/>
      <c r="O296" s="430"/>
      <c r="P296" s="433">
        <f>+R80</f>
        <v>65972</v>
      </c>
      <c r="Q296" s="430"/>
      <c r="R296" s="358"/>
      <c r="S296" s="361"/>
      <c r="T296" s="348"/>
    </row>
    <row r="297" spans="1:20" s="349" customFormat="1" x14ac:dyDescent="0.3">
      <c r="A297" s="365"/>
      <c r="B297" s="362"/>
      <c r="C297" s="358"/>
      <c r="D297" s="431"/>
      <c r="E297" s="431"/>
      <c r="F297" s="431"/>
      <c r="G297" s="431"/>
      <c r="H297" s="431"/>
      <c r="I297" s="431"/>
      <c r="J297" s="431"/>
      <c r="K297" s="431"/>
      <c r="L297" s="431"/>
      <c r="M297" s="431"/>
      <c r="N297" s="432"/>
      <c r="O297" s="430"/>
      <c r="P297" s="433"/>
      <c r="Q297" s="430"/>
      <c r="R297" s="358"/>
      <c r="S297" s="361"/>
      <c r="T297" s="348"/>
    </row>
    <row r="298" spans="1:20" s="349" customFormat="1" x14ac:dyDescent="0.3">
      <c r="A298" s="365"/>
      <c r="B298" s="362" t="s">
        <v>202</v>
      </c>
      <c r="C298" s="358"/>
      <c r="D298" s="431"/>
      <c r="E298" s="431"/>
      <c r="F298" s="431"/>
      <c r="G298" s="431"/>
      <c r="H298" s="431"/>
      <c r="I298" s="431"/>
      <c r="J298" s="431"/>
      <c r="K298" s="431"/>
      <c r="L298" s="431"/>
      <c r="M298" s="431"/>
      <c r="N298" s="432"/>
      <c r="O298" s="430"/>
      <c r="P298" s="436">
        <f>(L33+R147)/R33</f>
        <v>0.22739805319160239</v>
      </c>
      <c r="Q298" s="430"/>
      <c r="R298" s="358"/>
      <c r="S298" s="361"/>
      <c r="T298" s="348"/>
    </row>
    <row r="299" spans="1:20" s="349" customFormat="1" x14ac:dyDescent="0.3">
      <c r="A299" s="344"/>
      <c r="B299" s="346"/>
      <c r="C299" s="346"/>
      <c r="D299" s="437"/>
      <c r="E299" s="437"/>
      <c r="F299" s="437"/>
      <c r="G299" s="437"/>
      <c r="H299" s="437"/>
      <c r="I299" s="437"/>
      <c r="J299" s="437"/>
      <c r="K299" s="437"/>
      <c r="L299" s="437"/>
      <c r="M299" s="437"/>
      <c r="N299" s="437"/>
      <c r="O299" s="437"/>
      <c r="P299" s="438"/>
      <c r="Q299" s="437"/>
      <c r="R299" s="346"/>
      <c r="S299" s="347"/>
      <c r="T299" s="348"/>
    </row>
    <row r="300" spans="1:20" s="349" customFormat="1" x14ac:dyDescent="0.3">
      <c r="A300" s="344"/>
      <c r="B300" s="350" t="s">
        <v>75</v>
      </c>
      <c r="C300" s="346"/>
      <c r="D300" s="439" t="s">
        <v>79</v>
      </c>
      <c r="E300" s="350"/>
      <c r="F300" s="350" t="s">
        <v>80</v>
      </c>
      <c r="G300" s="346"/>
      <c r="H300" s="350"/>
      <c r="I300" s="346"/>
      <c r="J300" s="346"/>
      <c r="K300" s="346"/>
      <c r="L300" s="346"/>
      <c r="M300" s="346"/>
      <c r="N300" s="346"/>
      <c r="O300" s="346"/>
      <c r="P300" s="346"/>
      <c r="Q300" s="346"/>
      <c r="R300" s="346"/>
      <c r="S300" s="347"/>
      <c r="T300" s="348"/>
    </row>
    <row r="301" spans="1:20" s="349" customFormat="1" x14ac:dyDescent="0.3">
      <c r="A301" s="344"/>
      <c r="B301" s="346"/>
      <c r="C301" s="346"/>
      <c r="D301" s="346"/>
      <c r="E301" s="346"/>
      <c r="F301" s="346"/>
      <c r="G301" s="346"/>
      <c r="H301" s="346"/>
      <c r="I301" s="346"/>
      <c r="J301" s="346"/>
      <c r="K301" s="346"/>
      <c r="L301" s="346"/>
      <c r="M301" s="346"/>
      <c r="N301" s="346"/>
      <c r="O301" s="346"/>
      <c r="P301" s="346"/>
      <c r="Q301" s="346"/>
      <c r="R301" s="346"/>
      <c r="S301" s="347"/>
      <c r="T301" s="348"/>
    </row>
    <row r="302" spans="1:20" s="349" customFormat="1" x14ac:dyDescent="0.3">
      <c r="A302" s="344"/>
      <c r="B302" s="350" t="s">
        <v>193</v>
      </c>
      <c r="C302" s="350"/>
      <c r="D302" s="440" t="s">
        <v>147</v>
      </c>
      <c r="E302" s="350"/>
      <c r="F302" s="441" t="s">
        <v>292</v>
      </c>
      <c r="G302" s="350"/>
      <c r="H302" s="350"/>
      <c r="I302" s="346"/>
      <c r="J302" s="346"/>
      <c r="K302" s="346"/>
      <c r="L302" s="346"/>
      <c r="M302" s="346"/>
      <c r="N302" s="346"/>
      <c r="O302" s="346"/>
      <c r="P302" s="346"/>
      <c r="Q302" s="346"/>
      <c r="R302" s="346"/>
      <c r="S302" s="347"/>
      <c r="T302" s="348"/>
    </row>
    <row r="303" spans="1:20" s="349" customFormat="1" x14ac:dyDescent="0.3">
      <c r="A303" s="344"/>
      <c r="B303" s="350" t="s">
        <v>194</v>
      </c>
      <c r="C303" s="350"/>
      <c r="D303" s="440" t="s">
        <v>114</v>
      </c>
      <c r="E303" s="350"/>
      <c r="F303" s="441" t="s">
        <v>293</v>
      </c>
      <c r="G303" s="350"/>
      <c r="H303" s="350"/>
      <c r="I303" s="346"/>
      <c r="J303" s="346"/>
      <c r="K303" s="346"/>
      <c r="L303" s="346"/>
      <c r="M303" s="346"/>
      <c r="N303" s="346"/>
      <c r="O303" s="346"/>
      <c r="P303" s="346"/>
      <c r="Q303" s="346"/>
      <c r="R303" s="346"/>
      <c r="S303" s="347"/>
      <c r="T303" s="348"/>
    </row>
    <row r="304" spans="1:20" x14ac:dyDescent="0.3">
      <c r="A304" s="340"/>
      <c r="B304" s="259"/>
      <c r="C304" s="259"/>
      <c r="D304" s="260"/>
      <c r="E304" s="260"/>
      <c r="F304" s="260"/>
      <c r="G304" s="260"/>
      <c r="H304" s="260"/>
      <c r="I304" s="260"/>
      <c r="J304" s="260"/>
      <c r="K304" s="260"/>
      <c r="L304" s="260"/>
      <c r="M304" s="260"/>
      <c r="N304" s="260"/>
      <c r="O304" s="260"/>
      <c r="P304" s="260"/>
      <c r="Q304" s="260"/>
      <c r="R304" s="260"/>
      <c r="S304" s="261"/>
      <c r="T304" s="247"/>
    </row>
    <row r="305" spans="1:20" x14ac:dyDescent="0.3">
      <c r="A305" s="340"/>
      <c r="B305" s="259"/>
      <c r="C305" s="259"/>
      <c r="D305" s="260"/>
      <c r="E305" s="260"/>
      <c r="F305" s="260"/>
      <c r="G305" s="260"/>
      <c r="H305" s="260"/>
      <c r="I305" s="260"/>
      <c r="J305" s="260"/>
      <c r="K305" s="260"/>
      <c r="L305" s="260"/>
      <c r="M305" s="260"/>
      <c r="N305" s="260"/>
      <c r="O305" s="260"/>
      <c r="P305" s="260"/>
      <c r="Q305" s="260"/>
      <c r="R305" s="260"/>
      <c r="S305" s="261"/>
      <c r="T305" s="247"/>
    </row>
    <row r="306" spans="1:20" ht="18.600000000000001" thickBot="1" x14ac:dyDescent="0.4">
      <c r="A306" s="340"/>
      <c r="B306" s="442" t="str">
        <f>B205</f>
        <v>PM22 INVESTOR REPORT QUARTER ENDING NOVEMBER 2018</v>
      </c>
      <c r="C306" s="259"/>
      <c r="D306" s="260"/>
      <c r="E306" s="260"/>
      <c r="F306" s="260"/>
      <c r="G306" s="260"/>
      <c r="H306" s="260"/>
      <c r="I306" s="260"/>
      <c r="J306" s="260"/>
      <c r="K306" s="260"/>
      <c r="L306" s="260"/>
      <c r="M306" s="260"/>
      <c r="N306" s="260"/>
      <c r="O306" s="260"/>
      <c r="P306" s="260"/>
      <c r="Q306" s="260"/>
      <c r="R306" s="260"/>
      <c r="S306" s="311"/>
      <c r="T306" s="247"/>
    </row>
    <row r="307" spans="1:20" x14ac:dyDescent="0.3">
      <c r="A307" s="341"/>
      <c r="B307" s="341"/>
      <c r="C307" s="341"/>
      <c r="D307" s="341"/>
      <c r="E307" s="341"/>
      <c r="F307" s="341"/>
      <c r="G307" s="341"/>
      <c r="H307" s="341"/>
      <c r="I307" s="341"/>
      <c r="J307" s="341"/>
      <c r="K307" s="341"/>
      <c r="L307" s="341"/>
      <c r="M307" s="341"/>
      <c r="N307" s="341"/>
      <c r="O307" s="341"/>
      <c r="P307" s="341"/>
      <c r="Q307" s="341"/>
      <c r="R307" s="341"/>
      <c r="S307" s="341"/>
    </row>
  </sheetData>
  <hyperlinks>
    <hyperlink ref="K9" r:id="rId1"/>
    <hyperlink ref="N243"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R307"/>
  <sheetViews>
    <sheetView showGridLines="0" showOutlineSymbols="0" zoomScale="70" zoomScaleNormal="70" workbookViewId="0"/>
  </sheetViews>
  <sheetFormatPr defaultColWidth="9.6328125" defaultRowHeight="15.6" x14ac:dyDescent="0.3"/>
  <cols>
    <col min="1" max="1" width="4" style="248" customWidth="1"/>
    <col min="2" max="2" width="71.1796875" style="248" customWidth="1"/>
    <col min="3" max="3" width="2.1796875" style="248" customWidth="1"/>
    <col min="4" max="4" width="16.1796875" style="248" customWidth="1"/>
    <col min="5" max="5" width="2.90625" style="248" customWidth="1"/>
    <col min="6" max="6" width="16.1796875" style="248" customWidth="1"/>
    <col min="7" max="7" width="2.1796875" style="248" customWidth="1"/>
    <col min="8" max="8" width="17.90625" style="248" customWidth="1"/>
    <col min="9" max="9" width="2.36328125" style="248" customWidth="1"/>
    <col min="10" max="10" width="14.90625" style="248" customWidth="1"/>
    <col min="11" max="11" width="2.36328125" style="248" customWidth="1"/>
    <col min="12" max="12" width="15.54296875" style="248" customWidth="1"/>
    <col min="13" max="13" width="2.1796875" style="248" customWidth="1"/>
    <col min="14" max="14" width="15.54296875" style="248" customWidth="1"/>
    <col min="15" max="16" width="12.6328125" style="248" customWidth="1"/>
    <col min="17" max="17" width="7.81640625" style="248" customWidth="1"/>
    <col min="18" max="18" width="14.6328125" style="248" customWidth="1"/>
    <col min="19" max="19" width="11.81640625" style="248" customWidth="1"/>
    <col min="20" max="16384" width="9.6328125" style="248"/>
  </cols>
  <sheetData>
    <row r="1" spans="1:20" ht="21" x14ac:dyDescent="0.4">
      <c r="A1" s="244"/>
      <c r="B1" s="343" t="s">
        <v>221</v>
      </c>
      <c r="C1" s="245"/>
      <c r="D1" s="245"/>
      <c r="E1" s="245"/>
      <c r="F1" s="245"/>
      <c r="G1" s="245"/>
      <c r="H1" s="245"/>
      <c r="I1" s="245"/>
      <c r="J1" s="245"/>
      <c r="K1" s="245"/>
      <c r="L1" s="245"/>
      <c r="M1" s="245"/>
      <c r="N1" s="245"/>
      <c r="O1" s="245"/>
      <c r="P1" s="245"/>
      <c r="Q1" s="245"/>
      <c r="R1" s="245"/>
      <c r="S1" s="246"/>
      <c r="T1" s="247"/>
    </row>
    <row r="2" spans="1:20" x14ac:dyDescent="0.3">
      <c r="A2" s="249"/>
      <c r="B2" s="250"/>
      <c r="C2" s="251"/>
      <c r="D2" s="251"/>
      <c r="E2" s="251"/>
      <c r="F2" s="251"/>
      <c r="G2" s="251"/>
      <c r="H2" s="251"/>
      <c r="I2" s="251"/>
      <c r="J2" s="251"/>
      <c r="K2" s="251"/>
      <c r="L2" s="251"/>
      <c r="M2" s="251"/>
      <c r="N2" s="251"/>
      <c r="O2" s="251"/>
      <c r="P2" s="251"/>
      <c r="Q2" s="251"/>
      <c r="R2" s="251"/>
      <c r="S2" s="252"/>
      <c r="T2" s="247"/>
    </row>
    <row r="3" spans="1:20" x14ac:dyDescent="0.3">
      <c r="A3" s="253"/>
      <c r="B3" s="254" t="s">
        <v>222</v>
      </c>
      <c r="C3" s="251"/>
      <c r="D3" s="251"/>
      <c r="E3" s="251"/>
      <c r="F3" s="251"/>
      <c r="G3" s="251"/>
      <c r="H3" s="251"/>
      <c r="I3" s="251"/>
      <c r="J3" s="251"/>
      <c r="K3" s="251"/>
      <c r="L3" s="251"/>
      <c r="M3" s="251"/>
      <c r="N3" s="251"/>
      <c r="O3" s="251"/>
      <c r="P3" s="251"/>
      <c r="Q3" s="251"/>
      <c r="R3" s="251"/>
      <c r="S3" s="252"/>
      <c r="T3" s="247"/>
    </row>
    <row r="4" spans="1:20" x14ac:dyDescent="0.3">
      <c r="A4" s="249"/>
      <c r="B4" s="250"/>
      <c r="C4" s="251"/>
      <c r="D4" s="251"/>
      <c r="E4" s="251"/>
      <c r="F4" s="251"/>
      <c r="G4" s="251"/>
      <c r="H4" s="251"/>
      <c r="I4" s="251"/>
      <c r="J4" s="251"/>
      <c r="K4" s="251"/>
      <c r="L4" s="251"/>
      <c r="M4" s="251"/>
      <c r="N4" s="251"/>
      <c r="O4" s="251"/>
      <c r="P4" s="251"/>
      <c r="Q4" s="251"/>
      <c r="R4" s="251"/>
      <c r="S4" s="252"/>
      <c r="T4" s="247"/>
    </row>
    <row r="5" spans="1:20" s="349" customFormat="1" x14ac:dyDescent="0.3">
      <c r="A5" s="344"/>
      <c r="B5" s="345" t="s">
        <v>109</v>
      </c>
      <c r="C5" s="346"/>
      <c r="D5" s="346"/>
      <c r="E5" s="346"/>
      <c r="F5" s="346"/>
      <c r="G5" s="346"/>
      <c r="H5" s="346"/>
      <c r="I5" s="346"/>
      <c r="J5" s="346"/>
      <c r="K5" s="346"/>
      <c r="L5" s="346"/>
      <c r="M5" s="346"/>
      <c r="N5" s="346"/>
      <c r="O5" s="346"/>
      <c r="P5" s="346"/>
      <c r="Q5" s="346"/>
      <c r="R5" s="346"/>
      <c r="S5" s="347"/>
      <c r="T5" s="348"/>
    </row>
    <row r="6" spans="1:20" s="349" customFormat="1" x14ac:dyDescent="0.3">
      <c r="A6" s="344"/>
      <c r="B6" s="345" t="s">
        <v>111</v>
      </c>
      <c r="C6" s="346"/>
      <c r="D6" s="346"/>
      <c r="E6" s="346"/>
      <c r="F6" s="346"/>
      <c r="G6" s="346"/>
      <c r="H6" s="346"/>
      <c r="I6" s="346"/>
      <c r="J6" s="346"/>
      <c r="K6" s="346"/>
      <c r="L6" s="346"/>
      <c r="M6" s="346"/>
      <c r="N6" s="346"/>
      <c r="O6" s="346"/>
      <c r="P6" s="346"/>
      <c r="Q6" s="346"/>
      <c r="R6" s="346"/>
      <c r="S6" s="347"/>
      <c r="T6" s="348"/>
    </row>
    <row r="7" spans="1:20" s="349" customFormat="1" x14ac:dyDescent="0.3">
      <c r="A7" s="344"/>
      <c r="B7" s="345" t="s">
        <v>110</v>
      </c>
      <c r="C7" s="346"/>
      <c r="D7" s="346"/>
      <c r="E7" s="346"/>
      <c r="F7" s="346"/>
      <c r="G7" s="346"/>
      <c r="H7" s="346"/>
      <c r="I7" s="346"/>
      <c r="J7" s="346"/>
      <c r="K7" s="346"/>
      <c r="L7" s="346"/>
      <c r="M7" s="346"/>
      <c r="N7" s="346"/>
      <c r="O7" s="346"/>
      <c r="P7" s="346"/>
      <c r="Q7" s="346"/>
      <c r="R7" s="346"/>
      <c r="S7" s="347"/>
      <c r="T7" s="348"/>
    </row>
    <row r="8" spans="1:20" x14ac:dyDescent="0.3">
      <c r="A8" s="249"/>
      <c r="B8" s="255"/>
      <c r="C8" s="251"/>
      <c r="D8" s="251"/>
      <c r="E8" s="251"/>
      <c r="F8" s="251"/>
      <c r="G8" s="251"/>
      <c r="H8" s="251"/>
      <c r="I8" s="251"/>
      <c r="J8" s="251"/>
      <c r="K8" s="251"/>
      <c r="L8" s="251"/>
      <c r="M8" s="251"/>
      <c r="N8" s="251"/>
      <c r="O8" s="251"/>
      <c r="P8" s="251"/>
      <c r="Q8" s="251"/>
      <c r="R8" s="251"/>
      <c r="S8" s="252"/>
      <c r="T8" s="247"/>
    </row>
    <row r="9" spans="1:20" ht="18" x14ac:dyDescent="0.35">
      <c r="A9" s="249"/>
      <c r="B9" s="256" t="s">
        <v>127</v>
      </c>
      <c r="C9" s="251"/>
      <c r="D9" s="251"/>
      <c r="E9" s="257"/>
      <c r="F9" s="251"/>
      <c r="G9" s="251"/>
      <c r="H9" s="257"/>
      <c r="I9" s="251"/>
      <c r="J9" s="257"/>
      <c r="K9" s="243" t="s">
        <v>291</v>
      </c>
      <c r="L9" s="257"/>
      <c r="M9" s="251"/>
      <c r="N9" s="251"/>
      <c r="O9" s="251"/>
      <c r="P9" s="251"/>
      <c r="Q9" s="251"/>
      <c r="R9" s="251"/>
      <c r="S9" s="252"/>
      <c r="T9" s="247"/>
    </row>
    <row r="10" spans="1:20" x14ac:dyDescent="0.3">
      <c r="A10" s="249"/>
      <c r="B10" s="255"/>
      <c r="C10" s="258"/>
      <c r="D10" s="251"/>
      <c r="E10" s="251"/>
      <c r="F10" s="251"/>
      <c r="G10" s="251"/>
      <c r="H10" s="251"/>
      <c r="I10" s="251"/>
      <c r="J10" s="251"/>
      <c r="K10" s="251"/>
      <c r="L10" s="251"/>
      <c r="M10" s="251"/>
      <c r="N10" s="251"/>
      <c r="O10" s="251"/>
      <c r="P10" s="251"/>
      <c r="Q10" s="251"/>
      <c r="R10" s="251"/>
      <c r="S10" s="252"/>
      <c r="T10" s="247"/>
    </row>
    <row r="11" spans="1:20" s="349" customFormat="1" x14ac:dyDescent="0.3">
      <c r="A11" s="344"/>
      <c r="B11" s="350" t="s">
        <v>0</v>
      </c>
      <c r="C11" s="346"/>
      <c r="D11" s="346"/>
      <c r="E11" s="346"/>
      <c r="F11" s="346"/>
      <c r="G11" s="346"/>
      <c r="H11" s="346"/>
      <c r="I11" s="346"/>
      <c r="J11" s="346"/>
      <c r="K11" s="346"/>
      <c r="L11" s="346"/>
      <c r="M11" s="346"/>
      <c r="N11" s="346"/>
      <c r="O11" s="346"/>
      <c r="P11" s="346"/>
      <c r="Q11" s="346"/>
      <c r="R11" s="346"/>
      <c r="S11" s="347"/>
      <c r="T11" s="348"/>
    </row>
    <row r="12" spans="1:20" ht="16.2" thickBot="1" x14ac:dyDescent="0.35">
      <c r="A12" s="249"/>
      <c r="B12" s="258"/>
      <c r="C12" s="251"/>
      <c r="D12" s="251"/>
      <c r="E12" s="251"/>
      <c r="F12" s="251"/>
      <c r="G12" s="251"/>
      <c r="H12" s="251"/>
      <c r="I12" s="251"/>
      <c r="J12" s="251"/>
      <c r="K12" s="251"/>
      <c r="L12" s="251"/>
      <c r="M12" s="251"/>
      <c r="N12" s="251"/>
      <c r="O12" s="251"/>
      <c r="P12" s="251"/>
      <c r="Q12" s="251"/>
      <c r="R12" s="251"/>
      <c r="S12" s="252"/>
      <c r="T12" s="247"/>
    </row>
    <row r="13" spans="1:20" x14ac:dyDescent="0.3">
      <c r="A13" s="244"/>
      <c r="B13" s="245"/>
      <c r="C13" s="245"/>
      <c r="D13" s="245"/>
      <c r="E13" s="245"/>
      <c r="F13" s="245"/>
      <c r="G13" s="245"/>
      <c r="H13" s="245"/>
      <c r="I13" s="245"/>
      <c r="J13" s="245"/>
      <c r="K13" s="245"/>
      <c r="L13" s="245"/>
      <c r="M13" s="245"/>
      <c r="N13" s="245"/>
      <c r="O13" s="245"/>
      <c r="P13" s="245"/>
      <c r="Q13" s="245"/>
      <c r="R13" s="245"/>
      <c r="S13" s="246"/>
      <c r="T13" s="247"/>
    </row>
    <row r="14" spans="1:20" s="349" customFormat="1" x14ac:dyDescent="0.3">
      <c r="A14" s="344"/>
      <c r="B14" s="350" t="s">
        <v>1</v>
      </c>
      <c r="C14" s="346"/>
      <c r="D14" s="346"/>
      <c r="E14" s="346"/>
      <c r="F14" s="346"/>
      <c r="G14" s="346"/>
      <c r="H14" s="346"/>
      <c r="I14" s="346"/>
      <c r="J14" s="346"/>
      <c r="K14" s="346"/>
      <c r="L14" s="346"/>
      <c r="M14" s="346"/>
      <c r="N14" s="346"/>
      <c r="O14" s="346"/>
      <c r="P14" s="346"/>
      <c r="Q14" s="346"/>
      <c r="R14" s="351" t="s">
        <v>223</v>
      </c>
      <c r="S14" s="347"/>
      <c r="T14" s="348"/>
    </row>
    <row r="15" spans="1:20" s="349" customFormat="1" x14ac:dyDescent="0.3">
      <c r="A15" s="344"/>
      <c r="B15" s="350" t="s">
        <v>2</v>
      </c>
      <c r="C15" s="346"/>
      <c r="D15" s="352"/>
      <c r="E15" s="352"/>
      <c r="F15" s="352"/>
      <c r="G15" s="352"/>
      <c r="H15" s="352"/>
      <c r="I15" s="352"/>
      <c r="J15" s="352"/>
      <c r="K15" s="352"/>
      <c r="L15" s="352"/>
      <c r="M15" s="352"/>
      <c r="N15" s="353"/>
      <c r="O15" s="353"/>
      <c r="P15" s="353" t="s">
        <v>154</v>
      </c>
      <c r="Q15" s="353">
        <v>1</v>
      </c>
      <c r="R15" s="351"/>
      <c r="S15" s="347"/>
      <c r="T15" s="348"/>
    </row>
    <row r="16" spans="1:20" s="349" customFormat="1" x14ac:dyDescent="0.3">
      <c r="A16" s="344"/>
      <c r="B16" s="350" t="s">
        <v>3</v>
      </c>
      <c r="C16" s="346"/>
      <c r="D16" s="352"/>
      <c r="E16" s="352"/>
      <c r="F16" s="352"/>
      <c r="G16" s="352"/>
      <c r="H16" s="352"/>
      <c r="I16" s="352"/>
      <c r="J16" s="352"/>
      <c r="K16" s="352"/>
      <c r="L16" s="352"/>
      <c r="M16" s="352"/>
      <c r="N16" s="353"/>
      <c r="O16" s="353"/>
      <c r="P16" s="353" t="s">
        <v>154</v>
      </c>
      <c r="Q16" s="353">
        <v>1</v>
      </c>
      <c r="R16" s="351"/>
      <c r="S16" s="347"/>
      <c r="T16" s="348"/>
    </row>
    <row r="17" spans="1:23" s="349" customFormat="1" x14ac:dyDescent="0.3">
      <c r="A17" s="344"/>
      <c r="B17" s="350" t="s">
        <v>4</v>
      </c>
      <c r="C17" s="346"/>
      <c r="D17" s="346"/>
      <c r="E17" s="346"/>
      <c r="F17" s="346"/>
      <c r="G17" s="346"/>
      <c r="H17" s="346"/>
      <c r="I17" s="346"/>
      <c r="J17" s="346"/>
      <c r="K17" s="346"/>
      <c r="L17" s="346"/>
      <c r="M17" s="346"/>
      <c r="N17" s="346"/>
      <c r="O17" s="346"/>
      <c r="P17" s="346"/>
      <c r="Q17" s="346"/>
      <c r="R17" s="354">
        <v>42088</v>
      </c>
      <c r="S17" s="347"/>
      <c r="T17" s="348"/>
    </row>
    <row r="18" spans="1:23" s="349" customFormat="1" x14ac:dyDescent="0.3">
      <c r="A18" s="344"/>
      <c r="B18" s="350" t="s">
        <v>5</v>
      </c>
      <c r="C18" s="346"/>
      <c r="D18" s="346"/>
      <c r="E18" s="346"/>
      <c r="F18" s="346"/>
      <c r="G18" s="346"/>
      <c r="H18" s="346"/>
      <c r="I18" s="346"/>
      <c r="J18" s="346"/>
      <c r="K18" s="346"/>
      <c r="L18" s="346"/>
      <c r="M18" s="346"/>
      <c r="N18" s="346"/>
      <c r="O18" s="346"/>
      <c r="P18" s="346"/>
      <c r="Q18" s="346"/>
      <c r="R18" s="354">
        <v>43542</v>
      </c>
      <c r="S18" s="347"/>
      <c r="T18" s="348"/>
    </row>
    <row r="19" spans="1:23" s="349" customFormat="1" x14ac:dyDescent="0.3">
      <c r="A19" s="344"/>
      <c r="B19" s="346"/>
      <c r="C19" s="346"/>
      <c r="D19" s="346"/>
      <c r="E19" s="346"/>
      <c r="F19" s="346"/>
      <c r="G19" s="346"/>
      <c r="H19" s="346"/>
      <c r="I19" s="346"/>
      <c r="J19" s="346"/>
      <c r="K19" s="346"/>
      <c r="L19" s="346"/>
      <c r="M19" s="346"/>
      <c r="N19" s="346"/>
      <c r="O19" s="346"/>
      <c r="P19" s="346"/>
      <c r="Q19" s="346"/>
      <c r="R19" s="355"/>
      <c r="S19" s="347"/>
      <c r="T19" s="348"/>
    </row>
    <row r="20" spans="1:23" s="349" customFormat="1" x14ac:dyDescent="0.3">
      <c r="A20" s="344"/>
      <c r="B20" s="356" t="s">
        <v>6</v>
      </c>
      <c r="C20" s="346"/>
      <c r="D20" s="346"/>
      <c r="E20" s="346"/>
      <c r="F20" s="346"/>
      <c r="G20" s="346"/>
      <c r="H20" s="346"/>
      <c r="I20" s="346"/>
      <c r="J20" s="346"/>
      <c r="K20" s="346"/>
      <c r="L20" s="346"/>
      <c r="M20" s="346"/>
      <c r="N20" s="346"/>
      <c r="O20" s="346"/>
      <c r="P20" s="355" t="s">
        <v>85</v>
      </c>
      <c r="Q20" s="346"/>
      <c r="R20" s="346"/>
      <c r="S20" s="347"/>
      <c r="T20" s="348"/>
    </row>
    <row r="21" spans="1:23" x14ac:dyDescent="0.3">
      <c r="A21" s="249"/>
      <c r="B21" s="251"/>
      <c r="C21" s="251"/>
      <c r="D21" s="251"/>
      <c r="E21" s="251"/>
      <c r="F21" s="251"/>
      <c r="G21" s="251"/>
      <c r="H21" s="251"/>
      <c r="I21" s="251"/>
      <c r="J21" s="251"/>
      <c r="K21" s="251"/>
      <c r="L21" s="251"/>
      <c r="M21" s="251"/>
      <c r="N21" s="251"/>
      <c r="O21" s="251"/>
      <c r="P21" s="251"/>
      <c r="Q21" s="251"/>
      <c r="R21" s="262"/>
      <c r="S21" s="252"/>
      <c r="T21" s="247"/>
    </row>
    <row r="22" spans="1:23" x14ac:dyDescent="0.3">
      <c r="A22" s="443"/>
      <c r="B22" s="447"/>
      <c r="C22" s="448"/>
      <c r="D22" s="448" t="s">
        <v>232</v>
      </c>
      <c r="E22" s="448"/>
      <c r="F22" s="448" t="s">
        <v>233</v>
      </c>
      <c r="G22" s="448"/>
      <c r="H22" s="448" t="s">
        <v>179</v>
      </c>
      <c r="I22" s="448"/>
      <c r="J22" s="448" t="s">
        <v>180</v>
      </c>
      <c r="K22" s="448"/>
      <c r="L22" s="448" t="s">
        <v>234</v>
      </c>
      <c r="M22" s="448"/>
      <c r="N22" s="448"/>
      <c r="O22" s="449"/>
      <c r="P22" s="449"/>
      <c r="Q22" s="447"/>
      <c r="R22" s="447"/>
      <c r="S22" s="445"/>
      <c r="T22" s="247"/>
    </row>
    <row r="23" spans="1:23" s="349" customFormat="1" x14ac:dyDescent="0.3">
      <c r="A23" s="344"/>
      <c r="B23" s="393" t="s">
        <v>226</v>
      </c>
      <c r="C23" s="446"/>
      <c r="D23" s="446" t="s">
        <v>112</v>
      </c>
      <c r="E23" s="446"/>
      <c r="F23" s="446" t="s">
        <v>112</v>
      </c>
      <c r="G23" s="446"/>
      <c r="H23" s="446" t="s">
        <v>178</v>
      </c>
      <c r="I23" s="446"/>
      <c r="J23" s="446" t="s">
        <v>249</v>
      </c>
      <c r="K23" s="446"/>
      <c r="L23" s="446" t="s">
        <v>153</v>
      </c>
      <c r="M23" s="446"/>
      <c r="N23" s="446"/>
      <c r="O23" s="446"/>
      <c r="P23" s="446"/>
      <c r="Q23" s="393"/>
      <c r="R23" s="393"/>
      <c r="S23" s="347"/>
      <c r="T23" s="348"/>
    </row>
    <row r="24" spans="1:23" s="349" customFormat="1" x14ac:dyDescent="0.3">
      <c r="A24" s="357"/>
      <c r="B24" s="358" t="s">
        <v>197</v>
      </c>
      <c r="C24" s="359"/>
      <c r="D24" s="360" t="s">
        <v>199</v>
      </c>
      <c r="E24" s="360"/>
      <c r="F24" s="360" t="s">
        <v>199</v>
      </c>
      <c r="G24" s="360"/>
      <c r="H24" s="360" t="s">
        <v>200</v>
      </c>
      <c r="I24" s="360"/>
      <c r="J24" s="360" t="s">
        <v>201</v>
      </c>
      <c r="K24" s="360"/>
      <c r="L24" s="360" t="s">
        <v>153</v>
      </c>
      <c r="M24" s="360"/>
      <c r="N24" s="360"/>
      <c r="O24" s="359"/>
      <c r="P24" s="360"/>
      <c r="Q24" s="358"/>
      <c r="R24" s="358"/>
      <c r="S24" s="361"/>
      <c r="T24" s="348"/>
    </row>
    <row r="25" spans="1:23" s="349" customFormat="1" x14ac:dyDescent="0.3">
      <c r="A25" s="357"/>
      <c r="B25" s="362" t="s">
        <v>227</v>
      </c>
      <c r="C25" s="359"/>
      <c r="D25" s="359" t="s">
        <v>112</v>
      </c>
      <c r="E25" s="359"/>
      <c r="F25" s="359" t="s">
        <v>112</v>
      </c>
      <c r="G25" s="359"/>
      <c r="H25" s="359" t="s">
        <v>112</v>
      </c>
      <c r="I25" s="359"/>
      <c r="J25" s="359" t="s">
        <v>112</v>
      </c>
      <c r="K25" s="359"/>
      <c r="L25" s="359" t="s">
        <v>153</v>
      </c>
      <c r="M25" s="359"/>
      <c r="N25" s="359"/>
      <c r="O25" s="359"/>
      <c r="P25" s="360"/>
      <c r="Q25" s="358"/>
      <c r="R25" s="358"/>
      <c r="S25" s="361"/>
      <c r="T25" s="348"/>
      <c r="U25" s="363"/>
      <c r="W25" s="364"/>
    </row>
    <row r="26" spans="1:23" s="349" customFormat="1" x14ac:dyDescent="0.3">
      <c r="A26" s="365"/>
      <c r="B26" s="362" t="s">
        <v>198</v>
      </c>
      <c r="C26" s="360"/>
      <c r="D26" s="359" t="s">
        <v>199</v>
      </c>
      <c r="E26" s="359"/>
      <c r="F26" s="359" t="s">
        <v>199</v>
      </c>
      <c r="G26" s="359"/>
      <c r="H26" s="359" t="s">
        <v>199</v>
      </c>
      <c r="I26" s="359"/>
      <c r="J26" s="359" t="s">
        <v>199</v>
      </c>
      <c r="K26" s="359"/>
      <c r="L26" s="359" t="s">
        <v>153</v>
      </c>
      <c r="M26" s="359"/>
      <c r="N26" s="359"/>
      <c r="O26" s="360"/>
      <c r="P26" s="366"/>
      <c r="Q26" s="358"/>
      <c r="R26" s="358"/>
      <c r="S26" s="361"/>
      <c r="T26" s="348"/>
      <c r="U26" s="363"/>
      <c r="W26" s="364"/>
    </row>
    <row r="27" spans="1:23" s="349" customFormat="1" x14ac:dyDescent="0.3">
      <c r="A27" s="365"/>
      <c r="B27" s="358" t="s">
        <v>7</v>
      </c>
      <c r="C27" s="367"/>
      <c r="D27" s="360" t="s">
        <v>228</v>
      </c>
      <c r="E27" s="360"/>
      <c r="F27" s="360" t="s">
        <v>242</v>
      </c>
      <c r="G27" s="360"/>
      <c r="H27" s="360" t="s">
        <v>243</v>
      </c>
      <c r="I27" s="360"/>
      <c r="J27" s="360" t="s">
        <v>244</v>
      </c>
      <c r="K27" s="360"/>
      <c r="L27" s="360" t="s">
        <v>245</v>
      </c>
      <c r="M27" s="360"/>
      <c r="N27" s="360"/>
      <c r="O27" s="368"/>
      <c r="P27" s="368"/>
      <c r="Q27" s="367"/>
      <c r="R27" s="368"/>
      <c r="S27" s="369"/>
      <c r="T27" s="348"/>
      <c r="U27" s="363"/>
      <c r="W27" s="364"/>
    </row>
    <row r="28" spans="1:23" s="349" customFormat="1" x14ac:dyDescent="0.3">
      <c r="A28" s="357"/>
      <c r="B28" s="358" t="s">
        <v>106</v>
      </c>
      <c r="C28" s="370"/>
      <c r="D28" s="371">
        <v>164000</v>
      </c>
      <c r="E28" s="372"/>
      <c r="F28" s="373">
        <v>151700</v>
      </c>
      <c r="G28" s="374"/>
      <c r="H28" s="373">
        <v>12000</v>
      </c>
      <c r="I28" s="374"/>
      <c r="J28" s="373">
        <v>12000</v>
      </c>
      <c r="K28" s="368"/>
      <c r="L28" s="373">
        <v>7500</v>
      </c>
      <c r="M28" s="368"/>
      <c r="N28" s="372"/>
      <c r="O28" s="375"/>
      <c r="P28" s="375"/>
      <c r="Q28" s="370"/>
      <c r="R28" s="368"/>
      <c r="S28" s="369"/>
      <c r="T28" s="348"/>
    </row>
    <row r="29" spans="1:23" s="349" customFormat="1" x14ac:dyDescent="0.3">
      <c r="A29" s="365"/>
      <c r="B29" s="358" t="s">
        <v>105</v>
      </c>
      <c r="C29" s="367"/>
      <c r="D29" s="371">
        <f>D28*D35</f>
        <v>21055.074399999998</v>
      </c>
      <c r="E29" s="372"/>
      <c r="F29" s="373">
        <f>F28*F35</f>
        <v>19475.943819999997</v>
      </c>
      <c r="G29" s="373"/>
      <c r="H29" s="373">
        <f>H28</f>
        <v>12000</v>
      </c>
      <c r="I29" s="373"/>
      <c r="J29" s="373">
        <f>J28</f>
        <v>12000</v>
      </c>
      <c r="K29" s="368"/>
      <c r="L29" s="373">
        <f>L28</f>
        <v>7500</v>
      </c>
      <c r="M29" s="368"/>
      <c r="N29" s="372"/>
      <c r="O29" s="368"/>
      <c r="P29" s="368"/>
      <c r="Q29" s="367"/>
      <c r="R29" s="368"/>
      <c r="S29" s="369"/>
      <c r="T29" s="348"/>
    </row>
    <row r="30" spans="1:23" s="349" customFormat="1" x14ac:dyDescent="0.3">
      <c r="A30" s="365"/>
      <c r="B30" s="362" t="s">
        <v>107</v>
      </c>
      <c r="C30" s="367"/>
      <c r="D30" s="376">
        <f>D28*D34</f>
        <v>15844.105599999999</v>
      </c>
      <c r="E30" s="377"/>
      <c r="F30" s="377">
        <f t="shared" ref="F30" si="0">F28*F34</f>
        <v>14655.79768</v>
      </c>
      <c r="G30" s="377"/>
      <c r="H30" s="377">
        <f t="shared" ref="H30" si="1">H28*H34</f>
        <v>12000</v>
      </c>
      <c r="I30" s="377"/>
      <c r="J30" s="377">
        <f t="shared" ref="J30" si="2">J28*J34</f>
        <v>12000</v>
      </c>
      <c r="K30" s="377"/>
      <c r="L30" s="377">
        <f t="shared" ref="L30" si="3">L28*L34</f>
        <v>7500</v>
      </c>
      <c r="M30" s="375"/>
      <c r="N30" s="378"/>
      <c r="O30" s="368"/>
      <c r="P30" s="368"/>
      <c r="Q30" s="367"/>
      <c r="R30" s="375"/>
      <c r="S30" s="369"/>
      <c r="T30" s="348"/>
    </row>
    <row r="31" spans="1:23" s="349" customFormat="1" x14ac:dyDescent="0.3">
      <c r="A31" s="365"/>
      <c r="B31" s="358" t="s">
        <v>229</v>
      </c>
      <c r="C31" s="367"/>
      <c r="D31" s="373">
        <v>116809</v>
      </c>
      <c r="E31" s="373"/>
      <c r="F31" s="373">
        <v>151700</v>
      </c>
      <c r="G31" s="373"/>
      <c r="H31" s="373">
        <v>12000</v>
      </c>
      <c r="I31" s="373"/>
      <c r="J31" s="373">
        <v>12000</v>
      </c>
      <c r="K31" s="373"/>
      <c r="L31" s="373">
        <v>7500</v>
      </c>
      <c r="M31" s="368"/>
      <c r="N31" s="378"/>
      <c r="O31" s="368"/>
      <c r="P31" s="368"/>
      <c r="Q31" s="367"/>
      <c r="R31" s="368">
        <f>SUM(D31:L31)</f>
        <v>300009</v>
      </c>
      <c r="S31" s="369"/>
      <c r="T31" s="348"/>
    </row>
    <row r="32" spans="1:23" s="349" customFormat="1" x14ac:dyDescent="0.3">
      <c r="A32" s="365"/>
      <c r="B32" s="358" t="s">
        <v>230</v>
      </c>
      <c r="C32" s="367"/>
      <c r="D32" s="373">
        <f>D31*D35</f>
        <v>14996.476741399998</v>
      </c>
      <c r="E32" s="373"/>
      <c r="F32" s="373">
        <f>F31*F35</f>
        <v>19475.943819999997</v>
      </c>
      <c r="G32" s="373"/>
      <c r="H32" s="373">
        <f>H31</f>
        <v>12000</v>
      </c>
      <c r="I32" s="373"/>
      <c r="J32" s="373">
        <f>+J31</f>
        <v>12000</v>
      </c>
      <c r="K32" s="373"/>
      <c r="L32" s="373">
        <f>L31</f>
        <v>7500</v>
      </c>
      <c r="M32" s="368"/>
      <c r="N32" s="378"/>
      <c r="O32" s="368"/>
      <c r="P32" s="368"/>
      <c r="Q32" s="367"/>
      <c r="R32" s="368">
        <f>SUM(D32:L32)</f>
        <v>65972.420561399995</v>
      </c>
      <c r="S32" s="369"/>
      <c r="T32" s="348"/>
    </row>
    <row r="33" spans="1:20" s="349" customFormat="1" x14ac:dyDescent="0.3">
      <c r="A33" s="365"/>
      <c r="B33" s="362" t="s">
        <v>231</v>
      </c>
      <c r="C33" s="367"/>
      <c r="D33" s="377">
        <f>D31*D34</f>
        <v>11284.9642136</v>
      </c>
      <c r="E33" s="377"/>
      <c r="F33" s="377">
        <f>F31*F34</f>
        <v>14655.79768</v>
      </c>
      <c r="G33" s="377"/>
      <c r="H33" s="377">
        <f t="shared" ref="H33:L33" si="4">H31*H34</f>
        <v>12000</v>
      </c>
      <c r="I33" s="377"/>
      <c r="J33" s="377">
        <f t="shared" si="4"/>
        <v>12000</v>
      </c>
      <c r="K33" s="377"/>
      <c r="L33" s="377">
        <f t="shared" si="4"/>
        <v>7500</v>
      </c>
      <c r="M33" s="375"/>
      <c r="N33" s="378"/>
      <c r="O33" s="368"/>
      <c r="P33" s="368"/>
      <c r="Q33" s="367"/>
      <c r="R33" s="375">
        <f>SUM(D33:L33)</f>
        <v>57440.7618936</v>
      </c>
      <c r="S33" s="369"/>
      <c r="T33" s="348"/>
    </row>
    <row r="34" spans="1:20" s="273" customFormat="1" x14ac:dyDescent="0.3">
      <c r="A34" s="265"/>
      <c r="B34" s="266" t="s">
        <v>103</v>
      </c>
      <c r="C34" s="267"/>
      <c r="D34" s="268">
        <v>9.6610399999999999E-2</v>
      </c>
      <c r="E34" s="268"/>
      <c r="F34" s="268">
        <v>9.6610399999999999E-2</v>
      </c>
      <c r="G34" s="268"/>
      <c r="H34" s="268">
        <v>1</v>
      </c>
      <c r="I34" s="268"/>
      <c r="J34" s="268">
        <v>1</v>
      </c>
      <c r="K34" s="268"/>
      <c r="L34" s="268">
        <v>1</v>
      </c>
      <c r="M34" s="268"/>
      <c r="N34" s="268"/>
      <c r="O34" s="269"/>
      <c r="P34" s="269"/>
      <c r="Q34" s="267"/>
      <c r="R34" s="270"/>
      <c r="S34" s="271"/>
      <c r="T34" s="272"/>
    </row>
    <row r="35" spans="1:20" s="273" customFormat="1" x14ac:dyDescent="0.3">
      <c r="A35" s="265"/>
      <c r="B35" s="266" t="s">
        <v>104</v>
      </c>
      <c r="C35" s="267"/>
      <c r="D35" s="268">
        <v>0.12838459999999999</v>
      </c>
      <c r="E35" s="268"/>
      <c r="F35" s="268">
        <v>0.12838459999999999</v>
      </c>
      <c r="G35" s="268"/>
      <c r="H35" s="268">
        <v>1</v>
      </c>
      <c r="I35" s="268"/>
      <c r="J35" s="268">
        <v>1</v>
      </c>
      <c r="K35" s="268"/>
      <c r="L35" s="268">
        <v>1</v>
      </c>
      <c r="M35" s="268"/>
      <c r="N35" s="268"/>
      <c r="O35" s="274"/>
      <c r="P35" s="275"/>
      <c r="Q35" s="267"/>
      <c r="R35" s="274"/>
      <c r="S35" s="271"/>
      <c r="T35" s="272"/>
    </row>
    <row r="36" spans="1:20" s="349" customFormat="1" x14ac:dyDescent="0.3">
      <c r="A36" s="365"/>
      <c r="B36" s="358" t="s">
        <v>8</v>
      </c>
      <c r="C36" s="358"/>
      <c r="D36" s="366" t="s">
        <v>240</v>
      </c>
      <c r="E36" s="366"/>
      <c r="F36" s="366" t="s">
        <v>220</v>
      </c>
      <c r="G36" s="366"/>
      <c r="H36" s="366" t="s">
        <v>247</v>
      </c>
      <c r="I36" s="366"/>
      <c r="J36" s="366" t="s">
        <v>250</v>
      </c>
      <c r="K36" s="366"/>
      <c r="L36" s="366" t="s">
        <v>252</v>
      </c>
      <c r="M36" s="366"/>
      <c r="N36" s="366"/>
      <c r="O36" s="379"/>
      <c r="P36" s="380"/>
      <c r="Q36" s="358"/>
      <c r="R36" s="358"/>
      <c r="S36" s="361"/>
      <c r="T36" s="348"/>
    </row>
    <row r="37" spans="1:20" s="349" customFormat="1" x14ac:dyDescent="0.3">
      <c r="A37" s="365"/>
      <c r="B37" s="358" t="s">
        <v>9</v>
      </c>
      <c r="C37" s="381"/>
      <c r="D37" s="380">
        <v>1.89E-3</v>
      </c>
      <c r="E37" s="380"/>
      <c r="F37" s="380">
        <v>1.70638E-2</v>
      </c>
      <c r="G37" s="380"/>
      <c r="H37" s="380">
        <v>2.2563799999999998E-2</v>
      </c>
      <c r="I37" s="380"/>
      <c r="J37" s="380">
        <v>2.5563800000000001E-2</v>
      </c>
      <c r="K37" s="380"/>
      <c r="L37" s="380">
        <v>2.9063800000000001E-2</v>
      </c>
      <c r="M37" s="379"/>
      <c r="N37" s="380"/>
      <c r="O37" s="366"/>
      <c r="P37" s="366"/>
      <c r="Q37" s="358"/>
      <c r="R37" s="379"/>
      <c r="S37" s="361"/>
      <c r="T37" s="348"/>
    </row>
    <row r="38" spans="1:20" s="349" customFormat="1" x14ac:dyDescent="0.3">
      <c r="A38" s="365"/>
      <c r="B38" s="358" t="s">
        <v>10</v>
      </c>
      <c r="C38" s="381"/>
      <c r="D38" s="380">
        <v>1.81E-3</v>
      </c>
      <c r="E38" s="380"/>
      <c r="F38" s="380">
        <v>1.59731E-2</v>
      </c>
      <c r="G38" s="380"/>
      <c r="H38" s="380">
        <v>2.1473099999999998E-2</v>
      </c>
      <c r="I38" s="380"/>
      <c r="J38" s="380">
        <v>2.4473100000000001E-2</v>
      </c>
      <c r="K38" s="380"/>
      <c r="L38" s="380">
        <v>2.7973100000000001E-2</v>
      </c>
      <c r="M38" s="379"/>
      <c r="N38" s="380"/>
      <c r="O38" s="366"/>
      <c r="P38" s="366"/>
      <c r="Q38" s="358"/>
      <c r="R38" s="358"/>
      <c r="S38" s="361"/>
      <c r="T38" s="348"/>
    </row>
    <row r="39" spans="1:20" s="349" customFormat="1" x14ac:dyDescent="0.3">
      <c r="A39" s="365"/>
      <c r="B39" s="358" t="s">
        <v>235</v>
      </c>
      <c r="C39" s="381"/>
      <c r="D39" s="382" t="s">
        <v>260</v>
      </c>
      <c r="E39" s="380"/>
      <c r="F39" s="380" t="s">
        <v>220</v>
      </c>
      <c r="G39" s="380"/>
      <c r="H39" s="380" t="s">
        <v>247</v>
      </c>
      <c r="I39" s="380"/>
      <c r="J39" s="366" t="s">
        <v>250</v>
      </c>
      <c r="K39" s="380"/>
      <c r="L39" s="380" t="s">
        <v>252</v>
      </c>
      <c r="M39" s="379"/>
      <c r="N39" s="380"/>
      <c r="O39" s="366"/>
      <c r="P39" s="366"/>
      <c r="Q39" s="358"/>
      <c r="R39" s="358"/>
      <c r="S39" s="361"/>
      <c r="T39" s="348"/>
    </row>
    <row r="40" spans="1:20" s="349" customFormat="1" x14ac:dyDescent="0.3">
      <c r="A40" s="365"/>
      <c r="B40" s="358" t="s">
        <v>236</v>
      </c>
      <c r="C40" s="381"/>
      <c r="D40" s="380">
        <v>1.94638E-2</v>
      </c>
      <c r="E40" s="380"/>
      <c r="F40" s="380">
        <f>+F37</f>
        <v>1.70638E-2</v>
      </c>
      <c r="G40" s="380"/>
      <c r="H40" s="380">
        <f>+H37</f>
        <v>2.2563799999999998E-2</v>
      </c>
      <c r="I40" s="380"/>
      <c r="J40" s="380">
        <f>+J37</f>
        <v>2.5563800000000001E-2</v>
      </c>
      <c r="K40" s="380"/>
      <c r="L40" s="380">
        <f>+L37</f>
        <v>2.9063800000000001E-2</v>
      </c>
      <c r="M40" s="379"/>
      <c r="N40" s="380"/>
      <c r="O40" s="366"/>
      <c r="P40" s="366"/>
      <c r="Q40" s="358"/>
      <c r="R40" s="379">
        <f>SUMPRODUCT(D40:L40,D32:L32)/R32</f>
        <v>2.1520079482814251E-2</v>
      </c>
      <c r="S40" s="361"/>
      <c r="T40" s="348"/>
    </row>
    <row r="41" spans="1:20" s="349" customFormat="1" x14ac:dyDescent="0.3">
      <c r="A41" s="365"/>
      <c r="B41" s="358" t="s">
        <v>237</v>
      </c>
      <c r="C41" s="381"/>
      <c r="D41" s="380">
        <v>1.83731E-2</v>
      </c>
      <c r="E41" s="380"/>
      <c r="F41" s="380">
        <f>+F38</f>
        <v>1.59731E-2</v>
      </c>
      <c r="G41" s="380"/>
      <c r="H41" s="380">
        <f>+H38</f>
        <v>2.1473099999999998E-2</v>
      </c>
      <c r="I41" s="380"/>
      <c r="J41" s="380">
        <f>+J38</f>
        <v>2.4473100000000001E-2</v>
      </c>
      <c r="K41" s="380"/>
      <c r="L41" s="380">
        <f>+L38</f>
        <v>2.7973100000000001E-2</v>
      </c>
      <c r="M41" s="379"/>
      <c r="N41" s="380"/>
      <c r="O41" s="366"/>
      <c r="P41" s="366"/>
      <c r="Q41" s="358"/>
      <c r="R41" s="358"/>
      <c r="S41" s="361"/>
      <c r="T41" s="348"/>
    </row>
    <row r="42" spans="1:20" s="349" customFormat="1" x14ac:dyDescent="0.3">
      <c r="A42" s="365"/>
      <c r="B42" s="358" t="s">
        <v>238</v>
      </c>
      <c r="C42" s="358"/>
      <c r="D42" s="381">
        <v>43631</v>
      </c>
      <c r="E42" s="381"/>
      <c r="F42" s="381">
        <v>43631</v>
      </c>
      <c r="G42" s="381"/>
      <c r="H42" s="381">
        <v>43631</v>
      </c>
      <c r="I42" s="381"/>
      <c r="J42" s="381">
        <v>43631</v>
      </c>
      <c r="K42" s="381"/>
      <c r="L42" s="381">
        <v>43631</v>
      </c>
      <c r="M42" s="381"/>
      <c r="N42" s="381"/>
      <c r="O42" s="366"/>
      <c r="P42" s="366"/>
      <c r="Q42" s="358"/>
      <c r="R42" s="358"/>
      <c r="S42" s="361"/>
      <c r="T42" s="348"/>
    </row>
    <row r="43" spans="1:20" s="349" customFormat="1" x14ac:dyDescent="0.3">
      <c r="A43" s="365"/>
      <c r="B43" s="358" t="s">
        <v>11</v>
      </c>
      <c r="C43" s="358"/>
      <c r="D43" s="381">
        <v>43631</v>
      </c>
      <c r="E43" s="381"/>
      <c r="F43" s="381">
        <v>43631</v>
      </c>
      <c r="G43" s="366"/>
      <c r="H43" s="381">
        <v>43631</v>
      </c>
      <c r="I43" s="366"/>
      <c r="J43" s="381">
        <v>43631</v>
      </c>
      <c r="K43" s="366"/>
      <c r="L43" s="381" t="s">
        <v>97</v>
      </c>
      <c r="M43" s="366"/>
      <c r="N43" s="381"/>
      <c r="O43" s="366"/>
      <c r="P43" s="366"/>
      <c r="Q43" s="358"/>
      <c r="R43" s="358"/>
      <c r="S43" s="361"/>
      <c r="T43" s="348"/>
    </row>
    <row r="44" spans="1:20" s="349" customFormat="1" x14ac:dyDescent="0.3">
      <c r="A44" s="365"/>
      <c r="B44" s="358" t="s">
        <v>98</v>
      </c>
      <c r="C44" s="358"/>
      <c r="D44" s="366" t="s">
        <v>241</v>
      </c>
      <c r="E44" s="366"/>
      <c r="F44" s="366" t="s">
        <v>246</v>
      </c>
      <c r="G44" s="366"/>
      <c r="H44" s="366" t="s">
        <v>248</v>
      </c>
      <c r="I44" s="366"/>
      <c r="J44" s="366" t="s">
        <v>251</v>
      </c>
      <c r="K44" s="366"/>
      <c r="L44" s="366" t="s">
        <v>97</v>
      </c>
      <c r="M44" s="366"/>
      <c r="N44" s="366"/>
      <c r="O44" s="383"/>
      <c r="P44" s="383"/>
      <c r="Q44" s="383"/>
      <c r="R44" s="383"/>
      <c r="S44" s="361"/>
      <c r="T44" s="348"/>
    </row>
    <row r="45" spans="1:20" s="349" customFormat="1" x14ac:dyDescent="0.3">
      <c r="A45" s="365"/>
      <c r="B45" s="358" t="s">
        <v>239</v>
      </c>
      <c r="C45" s="358"/>
      <c r="D45" s="366" t="s">
        <v>273</v>
      </c>
      <c r="E45" s="366"/>
      <c r="F45" s="366" t="s">
        <v>246</v>
      </c>
      <c r="G45" s="366"/>
      <c r="H45" s="366" t="s">
        <v>248</v>
      </c>
      <c r="I45" s="366"/>
      <c r="J45" s="366" t="s">
        <v>251</v>
      </c>
      <c r="K45" s="366"/>
      <c r="L45" s="366" t="s">
        <v>97</v>
      </c>
      <c r="M45" s="366"/>
      <c r="N45" s="366"/>
      <c r="O45" s="383"/>
      <c r="P45" s="383"/>
      <c r="Q45" s="383"/>
      <c r="R45" s="383"/>
      <c r="S45" s="361"/>
      <c r="T45" s="348"/>
    </row>
    <row r="46" spans="1:20" s="349" customFormat="1" x14ac:dyDescent="0.3">
      <c r="A46" s="365"/>
      <c r="B46" s="358"/>
      <c r="C46" s="358"/>
      <c r="D46" s="366"/>
      <c r="E46" s="366"/>
      <c r="F46" s="366"/>
      <c r="G46" s="366"/>
      <c r="H46" s="366"/>
      <c r="I46" s="366"/>
      <c r="J46" s="366"/>
      <c r="K46" s="366"/>
      <c r="L46" s="366"/>
      <c r="M46" s="366"/>
      <c r="N46" s="366"/>
      <c r="O46" s="358"/>
      <c r="P46" s="358"/>
      <c r="Q46" s="358"/>
      <c r="R46" s="379" t="s">
        <v>130</v>
      </c>
      <c r="S46" s="361"/>
      <c r="T46" s="348"/>
    </row>
    <row r="47" spans="1:20" s="349" customFormat="1" x14ac:dyDescent="0.3">
      <c r="A47" s="365"/>
      <c r="B47" s="358" t="s">
        <v>253</v>
      </c>
      <c r="C47" s="358"/>
      <c r="D47" s="366"/>
      <c r="E47" s="366"/>
      <c r="F47" s="366"/>
      <c r="G47" s="366"/>
      <c r="H47" s="366"/>
      <c r="I47" s="366"/>
      <c r="J47" s="366"/>
      <c r="K47" s="366"/>
      <c r="L47" s="366"/>
      <c r="M47" s="366"/>
      <c r="N47" s="366"/>
      <c r="O47" s="358"/>
      <c r="P47" s="358"/>
      <c r="Q47" s="358"/>
      <c r="R47" s="384">
        <f>SUM(H31:L31)/(D31+F31)</f>
        <v>0.11731450342446621</v>
      </c>
      <c r="S47" s="361"/>
      <c r="T47" s="348"/>
    </row>
    <row r="48" spans="1:20" s="349" customFormat="1" x14ac:dyDescent="0.3">
      <c r="A48" s="365"/>
      <c r="B48" s="358" t="s">
        <v>254</v>
      </c>
      <c r="C48" s="358"/>
      <c r="D48" s="358"/>
      <c r="E48" s="358"/>
      <c r="F48" s="358"/>
      <c r="G48" s="358"/>
      <c r="H48" s="358"/>
      <c r="I48" s="358"/>
      <c r="J48" s="358"/>
      <c r="K48" s="358"/>
      <c r="L48" s="358"/>
      <c r="M48" s="358"/>
      <c r="N48" s="358"/>
      <c r="O48" s="358"/>
      <c r="P48" s="358"/>
      <c r="Q48" s="358"/>
      <c r="R48" s="384">
        <f>SUM(H33:L33)/(D33+F33)</f>
        <v>1.2143051206129591</v>
      </c>
      <c r="S48" s="361"/>
      <c r="T48" s="348"/>
    </row>
    <row r="49" spans="1:21" s="349" customFormat="1" x14ac:dyDescent="0.3">
      <c r="A49" s="365"/>
      <c r="B49" s="358" t="s">
        <v>255</v>
      </c>
      <c r="C49" s="358"/>
      <c r="D49" s="358"/>
      <c r="E49" s="358"/>
      <c r="F49" s="358"/>
      <c r="G49" s="358"/>
      <c r="H49" s="358"/>
      <c r="I49" s="358"/>
      <c r="J49" s="358"/>
      <c r="K49" s="358"/>
      <c r="L49" s="358"/>
      <c r="M49" s="358"/>
      <c r="N49" s="358"/>
      <c r="O49" s="358"/>
      <c r="P49" s="366"/>
      <c r="Q49" s="366"/>
      <c r="R49" s="368" t="s">
        <v>149</v>
      </c>
      <c r="S49" s="361"/>
      <c r="T49" s="348"/>
    </row>
    <row r="50" spans="1:21" s="349" customFormat="1" x14ac:dyDescent="0.3">
      <c r="A50" s="365"/>
      <c r="B50" s="358"/>
      <c r="C50" s="358"/>
      <c r="D50" s="358"/>
      <c r="E50" s="358"/>
      <c r="F50" s="358"/>
      <c r="G50" s="358"/>
      <c r="H50" s="358"/>
      <c r="I50" s="358"/>
      <c r="J50" s="358"/>
      <c r="K50" s="358"/>
      <c r="L50" s="358"/>
      <c r="M50" s="358"/>
      <c r="N50" s="358"/>
      <c r="O50" s="358"/>
      <c r="P50" s="358"/>
      <c r="Q50" s="358"/>
      <c r="R50" s="385"/>
      <c r="S50" s="361"/>
      <c r="T50" s="348"/>
    </row>
    <row r="51" spans="1:21" s="349" customFormat="1" x14ac:dyDescent="0.3">
      <c r="A51" s="365"/>
      <c r="B51" s="358" t="s">
        <v>225</v>
      </c>
      <c r="C51" s="358"/>
      <c r="D51" s="358"/>
      <c r="E51" s="358"/>
      <c r="F51" s="358"/>
      <c r="G51" s="358"/>
      <c r="H51" s="358"/>
      <c r="I51" s="358"/>
      <c r="J51" s="358"/>
      <c r="K51" s="358"/>
      <c r="L51" s="358"/>
      <c r="M51" s="358"/>
      <c r="N51" s="358"/>
      <c r="O51" s="358"/>
      <c r="P51" s="358"/>
      <c r="Q51" s="358"/>
      <c r="R51" s="386" t="s">
        <v>91</v>
      </c>
      <c r="S51" s="361"/>
      <c r="T51" s="348"/>
    </row>
    <row r="52" spans="1:21" s="349" customFormat="1" x14ac:dyDescent="0.3">
      <c r="A52" s="365"/>
      <c r="B52" s="362" t="s">
        <v>131</v>
      </c>
      <c r="C52" s="362"/>
      <c r="D52" s="362"/>
      <c r="E52" s="362"/>
      <c r="F52" s="362"/>
      <c r="G52" s="362"/>
      <c r="H52" s="362"/>
      <c r="I52" s="362"/>
      <c r="J52" s="362"/>
      <c r="K52" s="362"/>
      <c r="L52" s="362"/>
      <c r="M52" s="362"/>
      <c r="N52" s="362"/>
      <c r="O52" s="362"/>
      <c r="P52" s="387"/>
      <c r="Q52" s="387"/>
      <c r="R52" s="388">
        <v>43539</v>
      </c>
      <c r="S52" s="361"/>
      <c r="T52" s="348"/>
    </row>
    <row r="53" spans="1:21" s="349" customFormat="1" x14ac:dyDescent="0.3">
      <c r="A53" s="365"/>
      <c r="B53" s="358" t="s">
        <v>99</v>
      </c>
      <c r="C53" s="358"/>
      <c r="D53" s="389"/>
      <c r="E53" s="389"/>
      <c r="F53" s="389"/>
      <c r="G53" s="389"/>
      <c r="H53" s="389"/>
      <c r="I53" s="389"/>
      <c r="J53" s="389"/>
      <c r="K53" s="389"/>
      <c r="L53" s="389"/>
      <c r="M53" s="389"/>
      <c r="N53" s="358">
        <f>+R53-P53+1</f>
        <v>91</v>
      </c>
      <c r="O53" s="358"/>
      <c r="P53" s="390">
        <v>43360</v>
      </c>
      <c r="Q53" s="391"/>
      <c r="R53" s="390">
        <v>43450</v>
      </c>
      <c r="S53" s="361"/>
      <c r="T53" s="348"/>
    </row>
    <row r="54" spans="1:21" s="349" customFormat="1" x14ac:dyDescent="0.3">
      <c r="A54" s="365"/>
      <c r="B54" s="358" t="s">
        <v>100</v>
      </c>
      <c r="C54" s="358"/>
      <c r="D54" s="358"/>
      <c r="E54" s="358"/>
      <c r="F54" s="358"/>
      <c r="G54" s="358"/>
      <c r="H54" s="358"/>
      <c r="I54" s="358"/>
      <c r="J54" s="358"/>
      <c r="K54" s="358"/>
      <c r="L54" s="358"/>
      <c r="M54" s="358"/>
      <c r="N54" s="358">
        <f>+R54-P54+1</f>
        <v>88</v>
      </c>
      <c r="O54" s="358"/>
      <c r="P54" s="390">
        <v>43451</v>
      </c>
      <c r="Q54" s="391"/>
      <c r="R54" s="390">
        <v>43538</v>
      </c>
      <c r="S54" s="361"/>
      <c r="T54" s="348"/>
    </row>
    <row r="55" spans="1:21" s="349" customFormat="1" x14ac:dyDescent="0.3">
      <c r="A55" s="365"/>
      <c r="B55" s="358" t="s">
        <v>261</v>
      </c>
      <c r="C55" s="358"/>
      <c r="D55" s="358"/>
      <c r="E55" s="358"/>
      <c r="F55" s="358"/>
      <c r="G55" s="358"/>
      <c r="H55" s="358"/>
      <c r="I55" s="358"/>
      <c r="J55" s="358"/>
      <c r="K55" s="358"/>
      <c r="L55" s="358"/>
      <c r="M55" s="358"/>
      <c r="N55" s="358"/>
      <c r="O55" s="358"/>
      <c r="P55" s="390"/>
      <c r="Q55" s="391"/>
      <c r="R55" s="390" t="s">
        <v>263</v>
      </c>
      <c r="S55" s="361"/>
      <c r="T55" s="348"/>
    </row>
    <row r="56" spans="1:21" s="349" customFormat="1" x14ac:dyDescent="0.3">
      <c r="A56" s="365"/>
      <c r="B56" s="358" t="s">
        <v>262</v>
      </c>
      <c r="C56" s="358"/>
      <c r="D56" s="358"/>
      <c r="E56" s="358"/>
      <c r="F56" s="358"/>
      <c r="G56" s="358"/>
      <c r="H56" s="358"/>
      <c r="I56" s="358"/>
      <c r="J56" s="358"/>
      <c r="K56" s="358"/>
      <c r="L56" s="358"/>
      <c r="M56" s="358"/>
      <c r="N56" s="358"/>
      <c r="O56" s="358"/>
      <c r="P56" s="390"/>
      <c r="Q56" s="391"/>
      <c r="R56" s="390" t="s">
        <v>118</v>
      </c>
      <c r="S56" s="361"/>
      <c r="T56" s="348"/>
      <c r="U56" s="392"/>
    </row>
    <row r="57" spans="1:21" s="349" customFormat="1" x14ac:dyDescent="0.3">
      <c r="A57" s="365"/>
      <c r="B57" s="358" t="s">
        <v>12</v>
      </c>
      <c r="C57" s="358"/>
      <c r="D57" s="358"/>
      <c r="E57" s="358"/>
      <c r="F57" s="358"/>
      <c r="G57" s="358"/>
      <c r="H57" s="358"/>
      <c r="I57" s="358"/>
      <c r="J57" s="358"/>
      <c r="K57" s="358"/>
      <c r="L57" s="358"/>
      <c r="M57" s="358"/>
      <c r="N57" s="358"/>
      <c r="O57" s="358"/>
      <c r="P57" s="390"/>
      <c r="Q57" s="391"/>
      <c r="R57" s="390">
        <v>43525</v>
      </c>
      <c r="S57" s="361"/>
      <c r="T57" s="348"/>
    </row>
    <row r="58" spans="1:21" s="349" customFormat="1" x14ac:dyDescent="0.3">
      <c r="A58" s="344"/>
      <c r="B58" s="393"/>
      <c r="C58" s="393"/>
      <c r="D58" s="393"/>
      <c r="E58" s="393"/>
      <c r="F58" s="393"/>
      <c r="G58" s="393"/>
      <c r="H58" s="393"/>
      <c r="I58" s="393"/>
      <c r="J58" s="393"/>
      <c r="K58" s="393"/>
      <c r="L58" s="393"/>
      <c r="M58" s="393"/>
      <c r="N58" s="393"/>
      <c r="O58" s="393"/>
      <c r="P58" s="394"/>
      <c r="Q58" s="395"/>
      <c r="R58" s="394"/>
      <c r="S58" s="347"/>
      <c r="T58" s="348"/>
    </row>
    <row r="59" spans="1:21" s="349" customFormat="1" x14ac:dyDescent="0.3">
      <c r="A59" s="344"/>
      <c r="B59" s="346"/>
      <c r="C59" s="346"/>
      <c r="D59" s="346"/>
      <c r="E59" s="346"/>
      <c r="F59" s="346"/>
      <c r="G59" s="346"/>
      <c r="H59" s="346"/>
      <c r="I59" s="346"/>
      <c r="J59" s="346"/>
      <c r="K59" s="346"/>
      <c r="L59" s="346"/>
      <c r="M59" s="346"/>
      <c r="N59" s="346"/>
      <c r="O59" s="346"/>
      <c r="P59" s="396"/>
      <c r="Q59" s="397"/>
      <c r="R59" s="396"/>
      <c r="S59" s="347"/>
      <c r="T59" s="348"/>
    </row>
    <row r="60" spans="1:21" s="349" customFormat="1" ht="18.600000000000001" thickBot="1" x14ac:dyDescent="0.4">
      <c r="A60" s="398"/>
      <c r="B60" s="399" t="s">
        <v>300</v>
      </c>
      <c r="C60" s="400"/>
      <c r="D60" s="400"/>
      <c r="E60" s="400"/>
      <c r="F60" s="400"/>
      <c r="G60" s="400"/>
      <c r="H60" s="400"/>
      <c r="I60" s="400"/>
      <c r="J60" s="400"/>
      <c r="K60" s="400"/>
      <c r="L60" s="400"/>
      <c r="M60" s="400"/>
      <c r="N60" s="400"/>
      <c r="O60" s="400"/>
      <c r="P60" s="400"/>
      <c r="Q60" s="400"/>
      <c r="R60" s="401"/>
      <c r="S60" s="402"/>
      <c r="T60" s="348"/>
    </row>
    <row r="61" spans="1:21" x14ac:dyDescent="0.3">
      <c r="A61" s="443"/>
      <c r="B61" s="450" t="s">
        <v>13</v>
      </c>
      <c r="C61" s="444"/>
      <c r="D61" s="444"/>
      <c r="E61" s="444"/>
      <c r="F61" s="444"/>
      <c r="G61" s="444"/>
      <c r="H61" s="444"/>
      <c r="I61" s="444"/>
      <c r="J61" s="444"/>
      <c r="K61" s="444"/>
      <c r="L61" s="444"/>
      <c r="M61" s="444"/>
      <c r="N61" s="444"/>
      <c r="O61" s="444"/>
      <c r="P61" s="444"/>
      <c r="Q61" s="444"/>
      <c r="R61" s="451"/>
      <c r="S61" s="444"/>
      <c r="T61" s="247"/>
    </row>
    <row r="62" spans="1:21" x14ac:dyDescent="0.3">
      <c r="A62" s="249"/>
      <c r="B62" s="258"/>
      <c r="C62" s="251"/>
      <c r="D62" s="251"/>
      <c r="E62" s="251"/>
      <c r="F62" s="251"/>
      <c r="G62" s="251"/>
      <c r="H62" s="251"/>
      <c r="I62" s="251"/>
      <c r="J62" s="251"/>
      <c r="K62" s="251"/>
      <c r="L62" s="251"/>
      <c r="M62" s="251"/>
      <c r="N62" s="251"/>
      <c r="O62" s="251"/>
      <c r="P62" s="251"/>
      <c r="Q62" s="251"/>
      <c r="R62" s="279"/>
      <c r="S62" s="252"/>
      <c r="T62" s="247"/>
    </row>
    <row r="63" spans="1:21" s="273" customFormat="1" ht="46.8" x14ac:dyDescent="0.3">
      <c r="A63" s="280"/>
      <c r="B63" s="281" t="s">
        <v>14</v>
      </c>
      <c r="C63" s="282"/>
      <c r="D63" s="282"/>
      <c r="E63" s="282"/>
      <c r="F63" s="282" t="s">
        <v>76</v>
      </c>
      <c r="G63" s="282"/>
      <c r="H63" s="282" t="s">
        <v>78</v>
      </c>
      <c r="I63" s="282"/>
      <c r="J63" s="282" t="s">
        <v>162</v>
      </c>
      <c r="K63" s="282"/>
      <c r="L63" s="282" t="s">
        <v>163</v>
      </c>
      <c r="M63" s="282"/>
      <c r="N63" s="282" t="s">
        <v>81</v>
      </c>
      <c r="O63" s="282"/>
      <c r="P63" s="282" t="s">
        <v>86</v>
      </c>
      <c r="Q63" s="282"/>
      <c r="R63" s="283" t="s">
        <v>92</v>
      </c>
      <c r="S63" s="284"/>
      <c r="T63" s="272"/>
    </row>
    <row r="64" spans="1:21" s="349" customFormat="1" x14ac:dyDescent="0.3">
      <c r="A64" s="365"/>
      <c r="B64" s="358" t="s">
        <v>15</v>
      </c>
      <c r="C64" s="403"/>
      <c r="D64" s="403"/>
      <c r="E64" s="403"/>
      <c r="F64" s="403">
        <v>244234</v>
      </c>
      <c r="G64" s="403"/>
      <c r="H64" s="404">
        <v>65972</v>
      </c>
      <c r="I64" s="403"/>
      <c r="J64" s="404">
        <v>70</v>
      </c>
      <c r="K64" s="403"/>
      <c r="L64" s="403">
        <v>3640</v>
      </c>
      <c r="M64" s="403"/>
      <c r="N64" s="403">
        <v>0</v>
      </c>
      <c r="O64" s="403"/>
      <c r="P64" s="403">
        <f>847+2753+1221</f>
        <v>4821</v>
      </c>
      <c r="Q64" s="403"/>
      <c r="R64" s="404">
        <f>H64-J64-L64+N64-P64</f>
        <v>57441</v>
      </c>
      <c r="S64" s="361"/>
      <c r="T64" s="348"/>
    </row>
    <row r="65" spans="1:20" s="349" customFormat="1" x14ac:dyDescent="0.3">
      <c r="A65" s="365"/>
      <c r="B65" s="358" t="s">
        <v>16</v>
      </c>
      <c r="C65" s="403"/>
      <c r="D65" s="403"/>
      <c r="E65" s="403"/>
      <c r="F65" s="403">
        <v>0</v>
      </c>
      <c r="G65" s="403"/>
      <c r="H65" s="404">
        <v>0</v>
      </c>
      <c r="I65" s="403"/>
      <c r="J65" s="404">
        <v>0</v>
      </c>
      <c r="K65" s="403"/>
      <c r="L65" s="403">
        <v>0</v>
      </c>
      <c r="M65" s="403"/>
      <c r="N65" s="403">
        <v>0</v>
      </c>
      <c r="O65" s="403"/>
      <c r="P65" s="403">
        <v>0</v>
      </c>
      <c r="Q65" s="403"/>
      <c r="R65" s="404">
        <f>F65-J65-L65</f>
        <v>0</v>
      </c>
      <c r="S65" s="361"/>
      <c r="T65" s="348"/>
    </row>
    <row r="66" spans="1:20" s="349" customFormat="1" x14ac:dyDescent="0.3">
      <c r="A66" s="365"/>
      <c r="B66" s="358"/>
      <c r="C66" s="403"/>
      <c r="D66" s="403"/>
      <c r="E66" s="403"/>
      <c r="F66" s="403"/>
      <c r="G66" s="403"/>
      <c r="H66" s="404"/>
      <c r="I66" s="403"/>
      <c r="J66" s="404"/>
      <c r="K66" s="403"/>
      <c r="L66" s="403"/>
      <c r="M66" s="403"/>
      <c r="N66" s="403"/>
      <c r="O66" s="403"/>
      <c r="P66" s="403"/>
      <c r="Q66" s="403"/>
      <c r="R66" s="404"/>
      <c r="S66" s="361"/>
      <c r="T66" s="348"/>
    </row>
    <row r="67" spans="1:20" s="349" customFormat="1" x14ac:dyDescent="0.3">
      <c r="A67" s="365"/>
      <c r="B67" s="358" t="s">
        <v>17</v>
      </c>
      <c r="C67" s="403"/>
      <c r="D67" s="403"/>
      <c r="E67" s="403"/>
      <c r="F67" s="403">
        <f>SUM(F64:F66)</f>
        <v>244234</v>
      </c>
      <c r="G67" s="403"/>
      <c r="H67" s="403">
        <f>H64+H65</f>
        <v>65972</v>
      </c>
      <c r="I67" s="403"/>
      <c r="J67" s="403">
        <f>J64+J65</f>
        <v>70</v>
      </c>
      <c r="K67" s="403"/>
      <c r="L67" s="403">
        <f>SUM(L64:L66)</f>
        <v>3640</v>
      </c>
      <c r="M67" s="403"/>
      <c r="N67" s="403">
        <f>SUM(N64:N66)</f>
        <v>0</v>
      </c>
      <c r="O67" s="403"/>
      <c r="P67" s="403">
        <f>SUM(P64:P66)</f>
        <v>4821</v>
      </c>
      <c r="Q67" s="403"/>
      <c r="R67" s="403">
        <f>SUM(R64:R66)</f>
        <v>57441</v>
      </c>
      <c r="S67" s="361"/>
      <c r="T67" s="348"/>
    </row>
    <row r="68" spans="1:20" x14ac:dyDescent="0.3">
      <c r="A68" s="249"/>
      <c r="B68" s="277"/>
      <c r="C68" s="287"/>
      <c r="D68" s="287"/>
      <c r="E68" s="287"/>
      <c r="F68" s="287"/>
      <c r="G68" s="287"/>
      <c r="H68" s="287"/>
      <c r="I68" s="287"/>
      <c r="J68" s="287"/>
      <c r="K68" s="287"/>
      <c r="L68" s="287"/>
      <c r="M68" s="287"/>
      <c r="N68" s="287"/>
      <c r="O68" s="287"/>
      <c r="P68" s="287"/>
      <c r="Q68" s="287"/>
      <c r="R68" s="288"/>
      <c r="S68" s="252"/>
      <c r="T68" s="247"/>
    </row>
    <row r="69" spans="1:20" x14ac:dyDescent="0.3">
      <c r="A69" s="249"/>
      <c r="B69" s="254" t="s">
        <v>18</v>
      </c>
      <c r="C69" s="289"/>
      <c r="D69" s="289"/>
      <c r="E69" s="289"/>
      <c r="F69" s="289"/>
      <c r="G69" s="289"/>
      <c r="H69" s="289"/>
      <c r="I69" s="289"/>
      <c r="J69" s="289"/>
      <c r="K69" s="289"/>
      <c r="L69" s="289"/>
      <c r="M69" s="289"/>
      <c r="N69" s="289"/>
      <c r="O69" s="289"/>
      <c r="P69" s="289"/>
      <c r="Q69" s="289"/>
      <c r="R69" s="290"/>
      <c r="S69" s="252"/>
      <c r="T69" s="247"/>
    </row>
    <row r="70" spans="1:20" x14ac:dyDescent="0.3">
      <c r="A70" s="249"/>
      <c r="B70" s="251"/>
      <c r="C70" s="289"/>
      <c r="D70" s="289"/>
      <c r="E70" s="289"/>
      <c r="F70" s="289"/>
      <c r="G70" s="289"/>
      <c r="H70" s="289"/>
      <c r="I70" s="289"/>
      <c r="J70" s="289"/>
      <c r="K70" s="289"/>
      <c r="L70" s="289"/>
      <c r="M70" s="289"/>
      <c r="N70" s="289"/>
      <c r="O70" s="289"/>
      <c r="P70" s="289"/>
      <c r="Q70" s="289"/>
      <c r="R70" s="290"/>
      <c r="S70" s="252"/>
      <c r="T70" s="247"/>
    </row>
    <row r="71" spans="1:20" s="349" customFormat="1" x14ac:dyDescent="0.3">
      <c r="A71" s="365"/>
      <c r="B71" s="358" t="s">
        <v>15</v>
      </c>
      <c r="C71" s="403"/>
      <c r="D71" s="403"/>
      <c r="E71" s="403"/>
      <c r="F71" s="403"/>
      <c r="G71" s="403"/>
      <c r="H71" s="403"/>
      <c r="I71" s="403"/>
      <c r="J71" s="403"/>
      <c r="K71" s="403"/>
      <c r="L71" s="403"/>
      <c r="M71" s="403"/>
      <c r="N71" s="403"/>
      <c r="O71" s="403"/>
      <c r="P71" s="403"/>
      <c r="Q71" s="403"/>
      <c r="R71" s="403"/>
      <c r="S71" s="361"/>
      <c r="T71" s="348"/>
    </row>
    <row r="72" spans="1:20" s="349" customFormat="1" x14ac:dyDescent="0.3">
      <c r="A72" s="365"/>
      <c r="B72" s="358" t="s">
        <v>16</v>
      </c>
      <c r="C72" s="403"/>
      <c r="D72" s="403"/>
      <c r="E72" s="403"/>
      <c r="F72" s="403"/>
      <c r="G72" s="403"/>
      <c r="H72" s="403"/>
      <c r="I72" s="403"/>
      <c r="J72" s="403"/>
      <c r="K72" s="403"/>
      <c r="L72" s="403"/>
      <c r="M72" s="403"/>
      <c r="N72" s="403"/>
      <c r="O72" s="403"/>
      <c r="P72" s="403"/>
      <c r="Q72" s="403"/>
      <c r="R72" s="403"/>
      <c r="S72" s="361"/>
      <c r="T72" s="348"/>
    </row>
    <row r="73" spans="1:20" s="349" customFormat="1" x14ac:dyDescent="0.3">
      <c r="A73" s="365"/>
      <c r="B73" s="358"/>
      <c r="C73" s="403"/>
      <c r="D73" s="403"/>
      <c r="E73" s="403"/>
      <c r="F73" s="403"/>
      <c r="G73" s="403"/>
      <c r="H73" s="403"/>
      <c r="I73" s="403"/>
      <c r="J73" s="403"/>
      <c r="K73" s="403"/>
      <c r="L73" s="403"/>
      <c r="M73" s="403"/>
      <c r="N73" s="403"/>
      <c r="O73" s="403"/>
      <c r="P73" s="403"/>
      <c r="Q73" s="403"/>
      <c r="R73" s="403"/>
      <c r="S73" s="361"/>
      <c r="T73" s="348"/>
    </row>
    <row r="74" spans="1:20" s="349" customFormat="1" x14ac:dyDescent="0.3">
      <c r="A74" s="365"/>
      <c r="B74" s="358" t="s">
        <v>17</v>
      </c>
      <c r="C74" s="403"/>
      <c r="D74" s="403"/>
      <c r="E74" s="403"/>
      <c r="F74" s="403"/>
      <c r="G74" s="403"/>
      <c r="H74" s="403"/>
      <c r="I74" s="403"/>
      <c r="J74" s="403"/>
      <c r="K74" s="403"/>
      <c r="L74" s="403"/>
      <c r="M74" s="403"/>
      <c r="N74" s="403"/>
      <c r="O74" s="403"/>
      <c r="P74" s="403"/>
      <c r="Q74" s="403"/>
      <c r="R74" s="403"/>
      <c r="S74" s="361"/>
      <c r="T74" s="348"/>
    </row>
    <row r="75" spans="1:20" s="349" customFormat="1" x14ac:dyDescent="0.3">
      <c r="A75" s="365"/>
      <c r="B75" s="358"/>
      <c r="C75" s="403"/>
      <c r="D75" s="403"/>
      <c r="E75" s="403"/>
      <c r="F75" s="403"/>
      <c r="G75" s="403"/>
      <c r="H75" s="403"/>
      <c r="I75" s="403"/>
      <c r="J75" s="403"/>
      <c r="K75" s="403"/>
      <c r="L75" s="403"/>
      <c r="M75" s="403"/>
      <c r="N75" s="403"/>
      <c r="O75" s="403"/>
      <c r="P75" s="403"/>
      <c r="Q75" s="403"/>
      <c r="R75" s="403"/>
      <c r="S75" s="361"/>
      <c r="T75" s="348"/>
    </row>
    <row r="76" spans="1:20" s="349" customFormat="1" x14ac:dyDescent="0.3">
      <c r="A76" s="365"/>
      <c r="B76" s="358" t="s">
        <v>19</v>
      </c>
      <c r="C76" s="403"/>
      <c r="D76" s="403"/>
      <c r="E76" s="403"/>
      <c r="F76" s="403">
        <v>0</v>
      </c>
      <c r="G76" s="403"/>
      <c r="H76" s="403">
        <v>0</v>
      </c>
      <c r="I76" s="403"/>
      <c r="J76" s="403"/>
      <c r="K76" s="403"/>
      <c r="L76" s="403"/>
      <c r="M76" s="403"/>
      <c r="N76" s="403"/>
      <c r="O76" s="403"/>
      <c r="P76" s="403"/>
      <c r="Q76" s="403"/>
      <c r="R76" s="404">
        <v>0</v>
      </c>
      <c r="S76" s="361"/>
      <c r="T76" s="348"/>
    </row>
    <row r="77" spans="1:20" s="349" customFormat="1" x14ac:dyDescent="0.3">
      <c r="A77" s="365"/>
      <c r="B77" s="358" t="s">
        <v>196</v>
      </c>
      <c r="C77" s="403"/>
      <c r="D77" s="403"/>
      <c r="E77" s="403"/>
      <c r="F77" s="403">
        <v>53165</v>
      </c>
      <c r="G77" s="403"/>
      <c r="H77" s="403">
        <v>0</v>
      </c>
      <c r="I77" s="403"/>
      <c r="J77" s="403">
        <v>0</v>
      </c>
      <c r="K77" s="403"/>
      <c r="L77" s="403">
        <v>0</v>
      </c>
      <c r="M77" s="403"/>
      <c r="N77" s="403"/>
      <c r="O77" s="403"/>
      <c r="P77" s="403"/>
      <c r="Q77" s="403"/>
      <c r="R77" s="403">
        <v>0</v>
      </c>
      <c r="S77" s="361"/>
      <c r="T77" s="348"/>
    </row>
    <row r="78" spans="1:20" s="349" customFormat="1" x14ac:dyDescent="0.3">
      <c r="A78" s="365"/>
      <c r="B78" s="358" t="s">
        <v>206</v>
      </c>
      <c r="C78" s="403"/>
      <c r="D78" s="403"/>
      <c r="E78" s="403"/>
      <c r="F78" s="403">
        <v>2610</v>
      </c>
      <c r="G78" s="403"/>
      <c r="H78" s="403">
        <v>0</v>
      </c>
      <c r="I78" s="403"/>
      <c r="J78" s="403"/>
      <c r="K78" s="403"/>
      <c r="L78" s="403"/>
      <c r="M78" s="403"/>
      <c r="N78" s="403">
        <v>0</v>
      </c>
      <c r="O78" s="403"/>
      <c r="P78" s="403"/>
      <c r="Q78" s="403"/>
      <c r="R78" s="403">
        <f>H78+N78</f>
        <v>0</v>
      </c>
      <c r="S78" s="361"/>
      <c r="T78" s="348"/>
    </row>
    <row r="79" spans="1:20" s="349" customFormat="1" x14ac:dyDescent="0.3">
      <c r="A79" s="365"/>
      <c r="B79" s="358" t="s">
        <v>20</v>
      </c>
      <c r="C79" s="403"/>
      <c r="D79" s="403"/>
      <c r="E79" s="403"/>
      <c r="F79" s="403">
        <v>0</v>
      </c>
      <c r="G79" s="403"/>
      <c r="H79" s="403">
        <v>0</v>
      </c>
      <c r="I79" s="403"/>
      <c r="J79" s="403"/>
      <c r="K79" s="403"/>
      <c r="L79" s="403"/>
      <c r="M79" s="403"/>
      <c r="N79" s="403"/>
      <c r="O79" s="403"/>
      <c r="P79" s="403"/>
      <c r="Q79" s="403"/>
      <c r="R79" s="403">
        <v>0</v>
      </c>
      <c r="S79" s="361"/>
      <c r="T79" s="348"/>
    </row>
    <row r="80" spans="1:20" s="349" customFormat="1" x14ac:dyDescent="0.3">
      <c r="A80" s="365"/>
      <c r="B80" s="358" t="s">
        <v>21</v>
      </c>
      <c r="C80" s="403"/>
      <c r="D80" s="403"/>
      <c r="E80" s="403"/>
      <c r="F80" s="403">
        <f>SUM(F67:F79)</f>
        <v>300009</v>
      </c>
      <c r="G80" s="403"/>
      <c r="H80" s="403">
        <f>SUM(H67:H79)</f>
        <v>65972</v>
      </c>
      <c r="I80" s="403"/>
      <c r="J80" s="403"/>
      <c r="K80" s="403"/>
      <c r="L80" s="403"/>
      <c r="M80" s="403"/>
      <c r="N80" s="403"/>
      <c r="O80" s="403"/>
      <c r="P80" s="403"/>
      <c r="Q80" s="403"/>
      <c r="R80" s="403">
        <f>SUM(R67:R79)</f>
        <v>57441</v>
      </c>
      <c r="S80" s="361"/>
      <c r="T80" s="348"/>
    </row>
    <row r="81" spans="1:20" x14ac:dyDescent="0.3">
      <c r="A81" s="249"/>
      <c r="B81" s="277"/>
      <c r="C81" s="287"/>
      <c r="D81" s="287"/>
      <c r="E81" s="287"/>
      <c r="F81" s="287"/>
      <c r="G81" s="287"/>
      <c r="H81" s="287"/>
      <c r="I81" s="287"/>
      <c r="J81" s="287"/>
      <c r="K81" s="287"/>
      <c r="L81" s="287"/>
      <c r="M81" s="287"/>
      <c r="N81" s="287"/>
      <c r="O81" s="287"/>
      <c r="P81" s="287"/>
      <c r="Q81" s="287"/>
      <c r="R81" s="288"/>
      <c r="S81" s="252"/>
      <c r="T81" s="247"/>
    </row>
    <row r="82" spans="1:20" x14ac:dyDescent="0.3">
      <c r="A82" s="249"/>
      <c r="B82" s="251"/>
      <c r="C82" s="251"/>
      <c r="D82" s="251"/>
      <c r="E82" s="251"/>
      <c r="F82" s="251"/>
      <c r="G82" s="251"/>
      <c r="H82" s="251"/>
      <c r="I82" s="251"/>
      <c r="J82" s="251"/>
      <c r="K82" s="251"/>
      <c r="L82" s="251"/>
      <c r="M82" s="251"/>
      <c r="N82" s="251"/>
      <c r="O82" s="251"/>
      <c r="P82" s="251"/>
      <c r="Q82" s="251"/>
      <c r="R82" s="251"/>
      <c r="S82" s="252"/>
      <c r="T82" s="247"/>
    </row>
    <row r="83" spans="1:20" x14ac:dyDescent="0.3">
      <c r="A83" s="443"/>
      <c r="B83" s="452" t="s">
        <v>22</v>
      </c>
      <c r="C83" s="452"/>
      <c r="D83" s="453"/>
      <c r="E83" s="453"/>
      <c r="F83" s="453"/>
      <c r="G83" s="453"/>
      <c r="H83" s="454" t="s">
        <v>77</v>
      </c>
      <c r="I83" s="453"/>
      <c r="J83" s="455">
        <f>+P206</f>
        <v>43524</v>
      </c>
      <c r="K83" s="453"/>
      <c r="L83" s="453"/>
      <c r="M83" s="453"/>
      <c r="N83" s="453"/>
      <c r="O83" s="453"/>
      <c r="P83" s="453" t="s">
        <v>87</v>
      </c>
      <c r="Q83" s="453"/>
      <c r="R83" s="453" t="s">
        <v>93</v>
      </c>
      <c r="S83" s="445"/>
      <c r="T83" s="247"/>
    </row>
    <row r="84" spans="1:20" s="349" customFormat="1" x14ac:dyDescent="0.3">
      <c r="A84" s="344"/>
      <c r="B84" s="393" t="s">
        <v>23</v>
      </c>
      <c r="C84" s="393"/>
      <c r="D84" s="393"/>
      <c r="E84" s="393"/>
      <c r="F84" s="393"/>
      <c r="G84" s="393"/>
      <c r="H84" s="393"/>
      <c r="I84" s="393"/>
      <c r="J84" s="393"/>
      <c r="K84" s="393"/>
      <c r="L84" s="393"/>
      <c r="M84" s="393"/>
      <c r="N84" s="393"/>
      <c r="O84" s="393"/>
      <c r="P84" s="408">
        <v>0</v>
      </c>
      <c r="Q84" s="393"/>
      <c r="R84" s="411">
        <v>0</v>
      </c>
      <c r="S84" s="347"/>
      <c r="T84" s="348"/>
    </row>
    <row r="85" spans="1:20" s="349" customFormat="1" x14ac:dyDescent="0.3">
      <c r="A85" s="365"/>
      <c r="B85" s="358" t="s">
        <v>218</v>
      </c>
      <c r="C85" s="358"/>
      <c r="D85" s="383"/>
      <c r="E85" s="383"/>
      <c r="F85" s="383"/>
      <c r="G85" s="405"/>
      <c r="H85" s="383"/>
      <c r="I85" s="358"/>
      <c r="J85" s="406"/>
      <c r="K85" s="358"/>
      <c r="L85" s="358"/>
      <c r="M85" s="358"/>
      <c r="N85" s="358"/>
      <c r="O85" s="358"/>
      <c r="P85" s="403">
        <f>-N78</f>
        <v>0</v>
      </c>
      <c r="Q85" s="358"/>
      <c r="R85" s="404"/>
      <c r="S85" s="361"/>
      <c r="T85" s="348"/>
    </row>
    <row r="86" spans="1:20" s="349" customFormat="1" x14ac:dyDescent="0.3">
      <c r="A86" s="365"/>
      <c r="B86" s="358" t="s">
        <v>219</v>
      </c>
      <c r="C86" s="358"/>
      <c r="D86" s="383"/>
      <c r="E86" s="383"/>
      <c r="F86" s="383"/>
      <c r="G86" s="405"/>
      <c r="H86" s="383"/>
      <c r="I86" s="358"/>
      <c r="J86" s="406"/>
      <c r="K86" s="358"/>
      <c r="L86" s="358"/>
      <c r="M86" s="358"/>
      <c r="N86" s="358"/>
      <c r="O86" s="358"/>
      <c r="P86" s="403">
        <v>0</v>
      </c>
      <c r="Q86" s="358"/>
      <c r="R86" s="404"/>
      <c r="S86" s="361"/>
      <c r="T86" s="348"/>
    </row>
    <row r="87" spans="1:20" s="349" customFormat="1" x14ac:dyDescent="0.3">
      <c r="A87" s="365"/>
      <c r="B87" s="358" t="s">
        <v>24</v>
      </c>
      <c r="C87" s="358"/>
      <c r="D87" s="383"/>
      <c r="E87" s="383"/>
      <c r="F87" s="383"/>
      <c r="G87" s="405"/>
      <c r="H87" s="383"/>
      <c r="I87" s="358"/>
      <c r="J87" s="406"/>
      <c r="K87" s="358"/>
      <c r="L87" s="358"/>
      <c r="M87" s="358"/>
      <c r="N87" s="358"/>
      <c r="O87" s="358"/>
      <c r="P87" s="403">
        <f>+J64+L64+P64</f>
        <v>8531</v>
      </c>
      <c r="Q87" s="358"/>
      <c r="R87" s="404"/>
      <c r="S87" s="361"/>
      <c r="T87" s="348"/>
    </row>
    <row r="88" spans="1:20" s="349" customFormat="1" x14ac:dyDescent="0.3">
      <c r="A88" s="365"/>
      <c r="B88" s="358" t="s">
        <v>135</v>
      </c>
      <c r="C88" s="358"/>
      <c r="D88" s="383"/>
      <c r="E88" s="383"/>
      <c r="F88" s="383"/>
      <c r="G88" s="405"/>
      <c r="H88" s="383"/>
      <c r="I88" s="358"/>
      <c r="J88" s="406"/>
      <c r="K88" s="358"/>
      <c r="L88" s="358"/>
      <c r="M88" s="358"/>
      <c r="N88" s="358"/>
      <c r="O88" s="358"/>
      <c r="P88" s="403"/>
      <c r="Q88" s="358"/>
      <c r="R88" s="404">
        <f>907-149</f>
        <v>758</v>
      </c>
      <c r="S88" s="361"/>
      <c r="T88" s="348"/>
    </row>
    <row r="89" spans="1:20" s="349" customFormat="1" x14ac:dyDescent="0.3">
      <c r="A89" s="365"/>
      <c r="B89" s="358" t="s">
        <v>133</v>
      </c>
      <c r="C89" s="358"/>
      <c r="D89" s="383"/>
      <c r="E89" s="383"/>
      <c r="F89" s="383"/>
      <c r="G89" s="405"/>
      <c r="H89" s="383"/>
      <c r="I89" s="358"/>
      <c r="J89" s="406"/>
      <c r="K89" s="358"/>
      <c r="L89" s="358"/>
      <c r="M89" s="358"/>
      <c r="N89" s="358"/>
      <c r="O89" s="358"/>
      <c r="P89" s="403"/>
      <c r="Q89" s="358"/>
      <c r="R89" s="404">
        <v>178</v>
      </c>
      <c r="S89" s="361"/>
      <c r="T89" s="348"/>
    </row>
    <row r="90" spans="1:20" s="349" customFormat="1" x14ac:dyDescent="0.3">
      <c r="A90" s="365"/>
      <c r="B90" s="358" t="s">
        <v>134</v>
      </c>
      <c r="C90" s="358"/>
      <c r="D90" s="383"/>
      <c r="E90" s="383"/>
      <c r="F90" s="383"/>
      <c r="G90" s="405"/>
      <c r="H90" s="383"/>
      <c r="I90" s="358"/>
      <c r="J90" s="406"/>
      <c r="K90" s="358"/>
      <c r="L90" s="358"/>
      <c r="M90" s="358"/>
      <c r="N90" s="358"/>
      <c r="O90" s="358"/>
      <c r="P90" s="403"/>
      <c r="Q90" s="358"/>
      <c r="R90" s="404">
        <v>27</v>
      </c>
      <c r="S90" s="361"/>
      <c r="T90" s="348"/>
    </row>
    <row r="91" spans="1:20" s="349" customFormat="1" x14ac:dyDescent="0.3">
      <c r="A91" s="365"/>
      <c r="B91" s="358" t="s">
        <v>143</v>
      </c>
      <c r="C91" s="358"/>
      <c r="D91" s="383"/>
      <c r="E91" s="383"/>
      <c r="F91" s="383"/>
      <c r="G91" s="405"/>
      <c r="H91" s="383"/>
      <c r="I91" s="358"/>
      <c r="J91" s="406"/>
      <c r="K91" s="358"/>
      <c r="L91" s="358"/>
      <c r="M91" s="358"/>
      <c r="N91" s="358"/>
      <c r="O91" s="358"/>
      <c r="P91" s="403"/>
      <c r="Q91" s="358"/>
      <c r="R91" s="404">
        <v>0</v>
      </c>
      <c r="S91" s="361"/>
      <c r="T91" s="348"/>
    </row>
    <row r="92" spans="1:20" s="349" customFormat="1" x14ac:dyDescent="0.3">
      <c r="A92" s="365"/>
      <c r="B92" s="358" t="s">
        <v>145</v>
      </c>
      <c r="C92" s="358"/>
      <c r="D92" s="383"/>
      <c r="E92" s="383"/>
      <c r="F92" s="383"/>
      <c r="G92" s="405"/>
      <c r="H92" s="383"/>
      <c r="I92" s="358"/>
      <c r="J92" s="406"/>
      <c r="K92" s="358"/>
      <c r="L92" s="358"/>
      <c r="M92" s="358"/>
      <c r="N92" s="358"/>
      <c r="O92" s="358"/>
      <c r="P92" s="403"/>
      <c r="Q92" s="358"/>
      <c r="R92" s="404">
        <v>111</v>
      </c>
      <c r="S92" s="361"/>
      <c r="T92" s="348"/>
    </row>
    <row r="93" spans="1:20" s="349" customFormat="1" x14ac:dyDescent="0.3">
      <c r="A93" s="365"/>
      <c r="B93" s="358" t="s">
        <v>164</v>
      </c>
      <c r="C93" s="358"/>
      <c r="D93" s="383"/>
      <c r="E93" s="383"/>
      <c r="F93" s="383"/>
      <c r="G93" s="405"/>
      <c r="H93" s="383"/>
      <c r="I93" s="358"/>
      <c r="J93" s="406"/>
      <c r="K93" s="358"/>
      <c r="L93" s="358"/>
      <c r="M93" s="358"/>
      <c r="N93" s="358"/>
      <c r="O93" s="358"/>
      <c r="P93" s="403"/>
      <c r="Q93" s="358"/>
      <c r="R93" s="404">
        <v>0</v>
      </c>
      <c r="S93" s="361"/>
      <c r="T93" s="348"/>
    </row>
    <row r="94" spans="1:20" s="349" customFormat="1" x14ac:dyDescent="0.3">
      <c r="A94" s="365"/>
      <c r="B94" s="358" t="s">
        <v>165</v>
      </c>
      <c r="C94" s="358"/>
      <c r="D94" s="383"/>
      <c r="E94" s="383"/>
      <c r="F94" s="383"/>
      <c r="G94" s="405"/>
      <c r="H94" s="383"/>
      <c r="I94" s="358"/>
      <c r="J94" s="406"/>
      <c r="K94" s="358"/>
      <c r="L94" s="358"/>
      <c r="M94" s="358"/>
      <c r="N94" s="358"/>
      <c r="O94" s="358"/>
      <c r="P94" s="403"/>
      <c r="Q94" s="358"/>
      <c r="R94" s="404">
        <v>0</v>
      </c>
      <c r="S94" s="361"/>
      <c r="T94" s="348"/>
    </row>
    <row r="95" spans="1:20" s="349" customFormat="1" x14ac:dyDescent="0.3">
      <c r="A95" s="365"/>
      <c r="B95" s="358" t="s">
        <v>166</v>
      </c>
      <c r="C95" s="358"/>
      <c r="D95" s="358"/>
      <c r="E95" s="358"/>
      <c r="F95" s="358"/>
      <c r="G95" s="358"/>
      <c r="H95" s="358"/>
      <c r="I95" s="358"/>
      <c r="J95" s="358"/>
      <c r="K95" s="358"/>
      <c r="L95" s="358"/>
      <c r="M95" s="358"/>
      <c r="N95" s="358"/>
      <c r="O95" s="358"/>
      <c r="P95" s="403"/>
      <c r="Q95" s="358"/>
      <c r="R95" s="404">
        <v>0</v>
      </c>
      <c r="S95" s="361"/>
      <c r="T95" s="348"/>
    </row>
    <row r="96" spans="1:20" s="349" customFormat="1" x14ac:dyDescent="0.3">
      <c r="A96" s="365"/>
      <c r="B96" s="358" t="s">
        <v>264</v>
      </c>
      <c r="C96" s="358"/>
      <c r="D96" s="358"/>
      <c r="E96" s="358"/>
      <c r="F96" s="358"/>
      <c r="G96" s="358"/>
      <c r="H96" s="358"/>
      <c r="I96" s="358"/>
      <c r="J96" s="358"/>
      <c r="K96" s="358"/>
      <c r="L96" s="358"/>
      <c r="M96" s="358"/>
      <c r="N96" s="358"/>
      <c r="O96" s="358"/>
      <c r="P96" s="403"/>
      <c r="Q96" s="358"/>
      <c r="R96" s="404">
        <v>0</v>
      </c>
      <c r="S96" s="361"/>
      <c r="T96" s="348"/>
    </row>
    <row r="97" spans="1:21" s="349" customFormat="1" x14ac:dyDescent="0.3">
      <c r="A97" s="365"/>
      <c r="B97" s="358" t="s">
        <v>25</v>
      </c>
      <c r="C97" s="358"/>
      <c r="D97" s="358"/>
      <c r="E97" s="358"/>
      <c r="F97" s="358"/>
      <c r="G97" s="358"/>
      <c r="H97" s="358"/>
      <c r="I97" s="358"/>
      <c r="J97" s="358"/>
      <c r="K97" s="358"/>
      <c r="L97" s="358"/>
      <c r="M97" s="358"/>
      <c r="N97" s="358"/>
      <c r="O97" s="358"/>
      <c r="P97" s="403">
        <f>SUM(P84:P96)</f>
        <v>8531</v>
      </c>
      <c r="Q97" s="358"/>
      <c r="R97" s="403">
        <f>SUM(R84:R96)</f>
        <v>1074</v>
      </c>
      <c r="S97" s="361"/>
      <c r="T97" s="348"/>
    </row>
    <row r="98" spans="1:21" s="349" customFormat="1" x14ac:dyDescent="0.3">
      <c r="A98" s="365"/>
      <c r="B98" s="358" t="s">
        <v>26</v>
      </c>
      <c r="C98" s="358"/>
      <c r="D98" s="358"/>
      <c r="E98" s="358"/>
      <c r="F98" s="358"/>
      <c r="G98" s="358"/>
      <c r="H98" s="358"/>
      <c r="I98" s="358"/>
      <c r="J98" s="358"/>
      <c r="K98" s="358"/>
      <c r="L98" s="358"/>
      <c r="M98" s="358"/>
      <c r="N98" s="358"/>
      <c r="O98" s="358"/>
      <c r="P98" s="403">
        <f>-R98</f>
        <v>0</v>
      </c>
      <c r="Q98" s="358"/>
      <c r="R98" s="404">
        <v>0</v>
      </c>
      <c r="S98" s="361"/>
      <c r="T98" s="348"/>
    </row>
    <row r="99" spans="1:21" s="349" customFormat="1" x14ac:dyDescent="0.3">
      <c r="A99" s="365"/>
      <c r="B99" s="358" t="s">
        <v>150</v>
      </c>
      <c r="C99" s="358"/>
      <c r="D99" s="358"/>
      <c r="E99" s="358"/>
      <c r="F99" s="358"/>
      <c r="G99" s="358"/>
      <c r="H99" s="358"/>
      <c r="I99" s="358"/>
      <c r="J99" s="358"/>
      <c r="K99" s="358"/>
      <c r="L99" s="358"/>
      <c r="M99" s="358"/>
      <c r="N99" s="358"/>
      <c r="O99" s="358"/>
      <c r="P99" s="403"/>
      <c r="Q99" s="358"/>
      <c r="R99" s="404">
        <v>0</v>
      </c>
      <c r="S99" s="361"/>
      <c r="T99" s="348"/>
    </row>
    <row r="100" spans="1:21" s="349" customFormat="1" x14ac:dyDescent="0.3">
      <c r="A100" s="365"/>
      <c r="B100" s="358" t="s">
        <v>27</v>
      </c>
      <c r="C100" s="358"/>
      <c r="D100" s="358"/>
      <c r="E100" s="358"/>
      <c r="F100" s="358"/>
      <c r="G100" s="358"/>
      <c r="H100" s="358"/>
      <c r="I100" s="358"/>
      <c r="J100" s="358"/>
      <c r="K100" s="358"/>
      <c r="L100" s="358"/>
      <c r="M100" s="358"/>
      <c r="N100" s="358"/>
      <c r="O100" s="358"/>
      <c r="P100" s="403">
        <f>P97+P98</f>
        <v>8531</v>
      </c>
      <c r="Q100" s="358"/>
      <c r="R100" s="403">
        <f>R97+R98+R99</f>
        <v>1074</v>
      </c>
      <c r="S100" s="361"/>
      <c r="T100" s="348"/>
    </row>
    <row r="101" spans="1:21" x14ac:dyDescent="0.3">
      <c r="A101" s="276"/>
      <c r="B101" s="293" t="s">
        <v>28</v>
      </c>
      <c r="C101" s="291"/>
      <c r="D101" s="291"/>
      <c r="E101" s="291"/>
      <c r="F101" s="291"/>
      <c r="G101" s="291"/>
      <c r="H101" s="291"/>
      <c r="I101" s="291"/>
      <c r="J101" s="291"/>
      <c r="K101" s="291"/>
      <c r="L101" s="291"/>
      <c r="M101" s="291"/>
      <c r="N101" s="291"/>
      <c r="O101" s="291"/>
      <c r="P101" s="285"/>
      <c r="Q101" s="263"/>
      <c r="R101" s="286"/>
      <c r="S101" s="292"/>
      <c r="T101" s="247"/>
    </row>
    <row r="102" spans="1:21" s="349" customFormat="1" x14ac:dyDescent="0.3">
      <c r="A102" s="365">
        <v>1</v>
      </c>
      <c r="B102" s="358" t="s">
        <v>175</v>
      </c>
      <c r="C102" s="358"/>
      <c r="D102" s="358"/>
      <c r="E102" s="358"/>
      <c r="F102" s="358"/>
      <c r="G102" s="358"/>
      <c r="H102" s="358"/>
      <c r="I102" s="358"/>
      <c r="J102" s="358"/>
      <c r="K102" s="358"/>
      <c r="L102" s="358"/>
      <c r="M102" s="358"/>
      <c r="N102" s="358"/>
      <c r="O102" s="358"/>
      <c r="P102" s="403"/>
      <c r="Q102" s="358"/>
      <c r="R102" s="404">
        <v>0</v>
      </c>
      <c r="S102" s="361"/>
      <c r="T102" s="348"/>
    </row>
    <row r="103" spans="1:21" s="349" customFormat="1" x14ac:dyDescent="0.3">
      <c r="A103" s="365">
        <v>2</v>
      </c>
      <c r="B103" s="358" t="s">
        <v>195</v>
      </c>
      <c r="C103" s="358"/>
      <c r="D103" s="358"/>
      <c r="E103" s="358"/>
      <c r="F103" s="358"/>
      <c r="G103" s="358"/>
      <c r="H103" s="358"/>
      <c r="I103" s="358"/>
      <c r="J103" s="358"/>
      <c r="K103" s="358"/>
      <c r="L103" s="358"/>
      <c r="M103" s="358"/>
      <c r="N103" s="358"/>
      <c r="O103" s="358"/>
      <c r="P103" s="358"/>
      <c r="Q103" s="358"/>
      <c r="R103" s="404">
        <v>-3</v>
      </c>
      <c r="S103" s="361"/>
      <c r="T103" s="348"/>
    </row>
    <row r="104" spans="1:21" s="349" customFormat="1" x14ac:dyDescent="0.3">
      <c r="A104" s="365">
        <v>3</v>
      </c>
      <c r="B104" s="358" t="s">
        <v>287</v>
      </c>
      <c r="C104" s="358"/>
      <c r="D104" s="358"/>
      <c r="E104" s="358"/>
      <c r="F104" s="358"/>
      <c r="G104" s="358"/>
      <c r="H104" s="358"/>
      <c r="I104" s="358"/>
      <c r="J104" s="358"/>
      <c r="K104" s="358"/>
      <c r="L104" s="358"/>
      <c r="M104" s="358"/>
      <c r="N104" s="358"/>
      <c r="O104" s="358"/>
      <c r="P104" s="358"/>
      <c r="Q104" s="358"/>
      <c r="R104" s="404">
        <f>-25-2-3</f>
        <v>-30</v>
      </c>
      <c r="S104" s="361"/>
      <c r="T104" s="348"/>
    </row>
    <row r="105" spans="1:21" s="349" customFormat="1" x14ac:dyDescent="0.3">
      <c r="A105" s="365">
        <v>4</v>
      </c>
      <c r="B105" s="358" t="s">
        <v>96</v>
      </c>
      <c r="C105" s="358"/>
      <c r="D105" s="358"/>
      <c r="E105" s="358"/>
      <c r="F105" s="358"/>
      <c r="G105" s="358"/>
      <c r="H105" s="358"/>
      <c r="I105" s="358"/>
      <c r="J105" s="358"/>
      <c r="K105" s="358"/>
      <c r="L105" s="358"/>
      <c r="M105" s="358"/>
      <c r="N105" s="358"/>
      <c r="O105" s="358"/>
      <c r="P105" s="358"/>
      <c r="Q105" s="358"/>
      <c r="R105" s="404">
        <v>-4</v>
      </c>
      <c r="S105" s="361"/>
      <c r="T105" s="348"/>
    </row>
    <row r="106" spans="1:21" s="349" customFormat="1" x14ac:dyDescent="0.3">
      <c r="A106" s="365" t="s">
        <v>274</v>
      </c>
      <c r="B106" s="358" t="s">
        <v>272</v>
      </c>
      <c r="C106" s="358"/>
      <c r="D106" s="358"/>
      <c r="E106" s="358"/>
      <c r="F106" s="358"/>
      <c r="G106" s="358"/>
      <c r="H106" s="358"/>
      <c r="I106" s="358"/>
      <c r="J106" s="358"/>
      <c r="K106" s="358"/>
      <c r="L106" s="358"/>
      <c r="M106" s="358"/>
      <c r="N106" s="358"/>
      <c r="O106" s="358"/>
      <c r="P106" s="358"/>
      <c r="Q106" s="358"/>
      <c r="R106" s="404">
        <v>-70</v>
      </c>
      <c r="S106" s="361"/>
      <c r="T106" s="348"/>
      <c r="U106" s="407"/>
    </row>
    <row r="107" spans="1:21" s="349" customFormat="1" x14ac:dyDescent="0.3">
      <c r="A107" s="365" t="s">
        <v>275</v>
      </c>
      <c r="B107" s="358" t="s">
        <v>266</v>
      </c>
      <c r="C107" s="358"/>
      <c r="D107" s="358"/>
      <c r="E107" s="358"/>
      <c r="F107" s="358"/>
      <c r="G107" s="358"/>
      <c r="H107" s="358"/>
      <c r="I107" s="358"/>
      <c r="J107" s="358"/>
      <c r="K107" s="358"/>
      <c r="L107" s="358"/>
      <c r="M107" s="358"/>
      <c r="N107" s="358"/>
      <c r="O107" s="358"/>
      <c r="P107" s="358"/>
      <c r="Q107" s="358"/>
      <c r="R107" s="404">
        <v>-80</v>
      </c>
      <c r="S107" s="361"/>
      <c r="T107" s="348"/>
      <c r="U107" s="407"/>
    </row>
    <row r="108" spans="1:21" s="349" customFormat="1" x14ac:dyDescent="0.3">
      <c r="A108" s="365">
        <v>6</v>
      </c>
      <c r="B108" s="358" t="s">
        <v>189</v>
      </c>
      <c r="C108" s="358"/>
      <c r="D108" s="358"/>
      <c r="E108" s="358"/>
      <c r="F108" s="358"/>
      <c r="G108" s="358"/>
      <c r="H108" s="358"/>
      <c r="I108" s="358"/>
      <c r="J108" s="358"/>
      <c r="K108" s="358"/>
      <c r="L108" s="358"/>
      <c r="M108" s="358"/>
      <c r="N108" s="358"/>
      <c r="O108" s="358"/>
      <c r="P108" s="358"/>
      <c r="Q108" s="358"/>
      <c r="R108" s="404">
        <v>-65</v>
      </c>
      <c r="S108" s="361"/>
      <c r="T108" s="348"/>
      <c r="U108" s="407"/>
    </row>
    <row r="109" spans="1:21" s="349" customFormat="1" x14ac:dyDescent="0.3">
      <c r="A109" s="365">
        <v>7</v>
      </c>
      <c r="B109" s="358" t="s">
        <v>190</v>
      </c>
      <c r="C109" s="358"/>
      <c r="D109" s="358"/>
      <c r="E109" s="358"/>
      <c r="F109" s="358"/>
      <c r="G109" s="358"/>
      <c r="H109" s="358"/>
      <c r="I109" s="358"/>
      <c r="J109" s="358"/>
      <c r="K109" s="358"/>
      <c r="L109" s="358"/>
      <c r="M109" s="358"/>
      <c r="N109" s="358"/>
      <c r="O109" s="358"/>
      <c r="P109" s="358"/>
      <c r="Q109" s="358"/>
      <c r="R109" s="404">
        <v>-74</v>
      </c>
      <c r="S109" s="361"/>
      <c r="T109" s="348"/>
      <c r="U109" s="407"/>
    </row>
    <row r="110" spans="1:21" s="349" customFormat="1" x14ac:dyDescent="0.3">
      <c r="A110" s="365">
        <v>8</v>
      </c>
      <c r="B110" s="358" t="s">
        <v>156</v>
      </c>
      <c r="C110" s="358"/>
      <c r="D110" s="358"/>
      <c r="E110" s="358"/>
      <c r="F110" s="358"/>
      <c r="G110" s="358"/>
      <c r="H110" s="358"/>
      <c r="I110" s="358"/>
      <c r="J110" s="358"/>
      <c r="K110" s="358"/>
      <c r="L110" s="358"/>
      <c r="M110" s="358"/>
      <c r="N110" s="358"/>
      <c r="O110" s="358"/>
      <c r="P110" s="358"/>
      <c r="Q110" s="358"/>
      <c r="R110" s="404">
        <v>0</v>
      </c>
      <c r="S110" s="361"/>
      <c r="T110" s="348"/>
      <c r="U110" s="407"/>
    </row>
    <row r="111" spans="1:21" s="349" customFormat="1" x14ac:dyDescent="0.3">
      <c r="A111" s="365">
        <v>9</v>
      </c>
      <c r="B111" s="358" t="s">
        <v>37</v>
      </c>
      <c r="C111" s="358"/>
      <c r="D111" s="358"/>
      <c r="E111" s="358"/>
      <c r="F111" s="358"/>
      <c r="G111" s="358"/>
      <c r="H111" s="358"/>
      <c r="I111" s="358"/>
      <c r="J111" s="358"/>
      <c r="K111" s="358"/>
      <c r="L111" s="358"/>
      <c r="M111" s="358"/>
      <c r="N111" s="358"/>
      <c r="O111" s="358"/>
      <c r="P111" s="403">
        <f>-R111</f>
        <v>0</v>
      </c>
      <c r="Q111" s="358"/>
      <c r="R111" s="404">
        <v>0</v>
      </c>
      <c r="S111" s="361"/>
      <c r="T111" s="348"/>
    </row>
    <row r="112" spans="1:21" s="349" customFormat="1" x14ac:dyDescent="0.3">
      <c r="A112" s="365">
        <v>10</v>
      </c>
      <c r="B112" s="358" t="s">
        <v>101</v>
      </c>
      <c r="C112" s="358"/>
      <c r="D112" s="358"/>
      <c r="E112" s="358"/>
      <c r="F112" s="358"/>
      <c r="G112" s="358"/>
      <c r="H112" s="358"/>
      <c r="I112" s="358"/>
      <c r="J112" s="358"/>
      <c r="K112" s="358"/>
      <c r="L112" s="358"/>
      <c r="M112" s="358"/>
      <c r="N112" s="358"/>
      <c r="O112" s="358"/>
      <c r="P112" s="358"/>
      <c r="Q112" s="358"/>
      <c r="R112" s="404">
        <v>0</v>
      </c>
      <c r="S112" s="361"/>
      <c r="T112" s="348"/>
    </row>
    <row r="113" spans="1:20" s="349" customFormat="1" x14ac:dyDescent="0.3">
      <c r="A113" s="365">
        <v>11</v>
      </c>
      <c r="B113" s="358" t="s">
        <v>29</v>
      </c>
      <c r="C113" s="358"/>
      <c r="D113" s="358"/>
      <c r="E113" s="358"/>
      <c r="F113" s="358"/>
      <c r="G113" s="358"/>
      <c r="H113" s="358"/>
      <c r="I113" s="358"/>
      <c r="J113" s="358"/>
      <c r="K113" s="358"/>
      <c r="L113" s="358"/>
      <c r="M113" s="358"/>
      <c r="N113" s="358"/>
      <c r="O113" s="358"/>
      <c r="P113" s="358"/>
      <c r="Q113" s="358"/>
      <c r="R113" s="404">
        <v>-16</v>
      </c>
      <c r="S113" s="361"/>
      <c r="T113" s="348"/>
    </row>
    <row r="114" spans="1:20" s="349" customFormat="1" x14ac:dyDescent="0.3">
      <c r="A114" s="365">
        <v>12</v>
      </c>
      <c r="B114" s="358" t="s">
        <v>138</v>
      </c>
      <c r="C114" s="358"/>
      <c r="D114" s="358"/>
      <c r="E114" s="358"/>
      <c r="F114" s="358"/>
      <c r="G114" s="358"/>
      <c r="H114" s="358"/>
      <c r="I114" s="358"/>
      <c r="J114" s="358"/>
      <c r="K114" s="358"/>
      <c r="L114" s="358"/>
      <c r="M114" s="358"/>
      <c r="N114" s="358"/>
      <c r="O114" s="358"/>
      <c r="P114" s="358"/>
      <c r="Q114" s="358"/>
      <c r="R114" s="404">
        <v>0</v>
      </c>
      <c r="S114" s="361"/>
      <c r="T114" s="348"/>
    </row>
    <row r="115" spans="1:20" s="349" customFormat="1" x14ac:dyDescent="0.3">
      <c r="A115" s="365">
        <v>13</v>
      </c>
      <c r="B115" s="358" t="s">
        <v>267</v>
      </c>
      <c r="C115" s="358"/>
      <c r="D115" s="358"/>
      <c r="E115" s="358"/>
      <c r="F115" s="358"/>
      <c r="G115" s="358"/>
      <c r="H115" s="358"/>
      <c r="I115" s="358"/>
      <c r="J115" s="358"/>
      <c r="K115" s="358"/>
      <c r="L115" s="358"/>
      <c r="M115" s="358"/>
      <c r="N115" s="358"/>
      <c r="O115" s="358"/>
      <c r="P115" s="358"/>
      <c r="Q115" s="358"/>
      <c r="R115" s="404">
        <v>-53</v>
      </c>
      <c r="S115" s="361"/>
      <c r="T115" s="348"/>
    </row>
    <row r="116" spans="1:20" s="349" customFormat="1" x14ac:dyDescent="0.3">
      <c r="A116" s="365">
        <v>14</v>
      </c>
      <c r="B116" s="358" t="s">
        <v>157</v>
      </c>
      <c r="C116" s="358"/>
      <c r="D116" s="358"/>
      <c r="E116" s="358"/>
      <c r="F116" s="358"/>
      <c r="G116" s="358"/>
      <c r="H116" s="358"/>
      <c r="I116" s="358"/>
      <c r="J116" s="358"/>
      <c r="K116" s="358"/>
      <c r="L116" s="358"/>
      <c r="M116" s="358"/>
      <c r="N116" s="358"/>
      <c r="O116" s="358"/>
      <c r="P116" s="358"/>
      <c r="Q116" s="358"/>
      <c r="R116" s="404">
        <v>0</v>
      </c>
      <c r="S116" s="361"/>
      <c r="T116" s="348"/>
    </row>
    <row r="117" spans="1:20" s="349" customFormat="1" x14ac:dyDescent="0.3">
      <c r="A117" s="365">
        <v>15</v>
      </c>
      <c r="B117" s="358" t="s">
        <v>207</v>
      </c>
      <c r="C117" s="358"/>
      <c r="D117" s="358"/>
      <c r="E117" s="358"/>
      <c r="F117" s="358"/>
      <c r="G117" s="358"/>
      <c r="H117" s="358"/>
      <c r="I117" s="358"/>
      <c r="J117" s="358"/>
      <c r="K117" s="358"/>
      <c r="L117" s="358"/>
      <c r="M117" s="358"/>
      <c r="N117" s="358"/>
      <c r="O117" s="358"/>
      <c r="P117" s="358"/>
      <c r="Q117" s="358"/>
      <c r="R117" s="404">
        <v>-24</v>
      </c>
      <c r="S117" s="361"/>
      <c r="T117" s="348"/>
    </row>
    <row r="118" spans="1:20" s="349" customFormat="1" x14ac:dyDescent="0.3">
      <c r="A118" s="365">
        <v>16</v>
      </c>
      <c r="B118" s="358" t="s">
        <v>167</v>
      </c>
      <c r="C118" s="358"/>
      <c r="D118" s="358"/>
      <c r="E118" s="358"/>
      <c r="F118" s="358"/>
      <c r="G118" s="358"/>
      <c r="H118" s="358"/>
      <c r="I118" s="358"/>
      <c r="J118" s="358"/>
      <c r="K118" s="358"/>
      <c r="L118" s="358"/>
      <c r="M118" s="358"/>
      <c r="N118" s="358"/>
      <c r="O118" s="358"/>
      <c r="P118" s="358"/>
      <c r="Q118" s="358"/>
      <c r="R118" s="404">
        <f>-5-178</f>
        <v>-183</v>
      </c>
      <c r="S118" s="361"/>
      <c r="T118" s="348"/>
    </row>
    <row r="119" spans="1:20" s="349" customFormat="1" x14ac:dyDescent="0.3">
      <c r="A119" s="365">
        <v>17</v>
      </c>
      <c r="B119" s="358" t="s">
        <v>268</v>
      </c>
      <c r="C119" s="358"/>
      <c r="D119" s="358"/>
      <c r="E119" s="358"/>
      <c r="F119" s="358"/>
      <c r="G119" s="358"/>
      <c r="H119" s="358"/>
      <c r="I119" s="358"/>
      <c r="J119" s="358"/>
      <c r="K119" s="358"/>
      <c r="L119" s="358"/>
      <c r="M119" s="358"/>
      <c r="N119" s="358"/>
      <c r="O119" s="358"/>
      <c r="P119" s="358"/>
      <c r="Q119" s="358"/>
      <c r="R119" s="404">
        <f>-R100-SUM(R102:R118)</f>
        <v>-472</v>
      </c>
      <c r="S119" s="361"/>
      <c r="T119" s="348"/>
    </row>
    <row r="120" spans="1:20" x14ac:dyDescent="0.3">
      <c r="A120" s="276"/>
      <c r="B120" s="293" t="s">
        <v>30</v>
      </c>
      <c r="C120" s="291"/>
      <c r="D120" s="291"/>
      <c r="E120" s="291"/>
      <c r="F120" s="291"/>
      <c r="G120" s="291"/>
      <c r="H120" s="291"/>
      <c r="I120" s="291"/>
      <c r="J120" s="291"/>
      <c r="K120" s="291"/>
      <c r="L120" s="291"/>
      <c r="M120" s="291"/>
      <c r="N120" s="291"/>
      <c r="O120" s="291"/>
      <c r="P120" s="263"/>
      <c r="Q120" s="263"/>
      <c r="R120" s="294"/>
      <c r="S120" s="292"/>
      <c r="T120" s="247"/>
    </row>
    <row r="121" spans="1:20" s="349" customFormat="1" x14ac:dyDescent="0.3">
      <c r="A121" s="365"/>
      <c r="B121" s="358" t="s">
        <v>208</v>
      </c>
      <c r="C121" s="358"/>
      <c r="D121" s="358"/>
      <c r="E121" s="358"/>
      <c r="F121" s="358"/>
      <c r="G121" s="358"/>
      <c r="H121" s="358"/>
      <c r="I121" s="358"/>
      <c r="J121" s="358"/>
      <c r="K121" s="358"/>
      <c r="L121" s="358"/>
      <c r="M121" s="358"/>
      <c r="N121" s="358"/>
      <c r="O121" s="358"/>
      <c r="P121" s="403">
        <f>-P188</f>
        <v>0</v>
      </c>
      <c r="Q121" s="403"/>
      <c r="R121" s="404"/>
      <c r="S121" s="361"/>
      <c r="T121" s="348"/>
    </row>
    <row r="122" spans="1:20" s="349" customFormat="1" x14ac:dyDescent="0.3">
      <c r="A122" s="365"/>
      <c r="B122" s="358" t="s">
        <v>209</v>
      </c>
      <c r="C122" s="358"/>
      <c r="D122" s="358"/>
      <c r="E122" s="358"/>
      <c r="F122" s="358"/>
      <c r="G122" s="358"/>
      <c r="H122" s="358"/>
      <c r="I122" s="358"/>
      <c r="J122" s="358"/>
      <c r="K122" s="358"/>
      <c r="L122" s="358"/>
      <c r="M122" s="358"/>
      <c r="N122" s="358"/>
      <c r="O122" s="358"/>
      <c r="P122" s="403">
        <f>-O188</f>
        <v>0</v>
      </c>
      <c r="Q122" s="403"/>
      <c r="R122" s="404"/>
      <c r="S122" s="361"/>
      <c r="T122" s="348"/>
    </row>
    <row r="123" spans="1:20" s="349" customFormat="1" x14ac:dyDescent="0.3">
      <c r="A123" s="365"/>
      <c r="B123" s="358" t="s">
        <v>270</v>
      </c>
      <c r="C123" s="358"/>
      <c r="D123" s="358"/>
      <c r="E123" s="358"/>
      <c r="F123" s="358"/>
      <c r="G123" s="358"/>
      <c r="H123" s="358"/>
      <c r="I123" s="358"/>
      <c r="J123" s="358"/>
      <c r="K123" s="358"/>
      <c r="L123" s="358"/>
      <c r="M123" s="358"/>
      <c r="N123" s="358"/>
      <c r="O123" s="358"/>
      <c r="P123" s="403">
        <v>-3711</v>
      </c>
      <c r="Q123" s="403"/>
      <c r="R123" s="404"/>
      <c r="S123" s="361"/>
      <c r="T123" s="348"/>
    </row>
    <row r="124" spans="1:20" s="349" customFormat="1" x14ac:dyDescent="0.3">
      <c r="A124" s="365"/>
      <c r="B124" s="358" t="s">
        <v>269</v>
      </c>
      <c r="C124" s="358"/>
      <c r="D124" s="358"/>
      <c r="E124" s="358"/>
      <c r="F124" s="358"/>
      <c r="G124" s="358"/>
      <c r="H124" s="358"/>
      <c r="I124" s="358"/>
      <c r="J124" s="358"/>
      <c r="K124" s="358"/>
      <c r="L124" s="358"/>
      <c r="M124" s="358"/>
      <c r="N124" s="358"/>
      <c r="O124" s="358"/>
      <c r="P124" s="403">
        <v>-4820</v>
      </c>
      <c r="Q124" s="403"/>
      <c r="R124" s="404"/>
      <c r="S124" s="361"/>
      <c r="T124" s="348"/>
    </row>
    <row r="125" spans="1:20" s="349" customFormat="1" x14ac:dyDescent="0.3">
      <c r="A125" s="365"/>
      <c r="B125" s="358" t="s">
        <v>181</v>
      </c>
      <c r="C125" s="358"/>
      <c r="D125" s="358"/>
      <c r="E125" s="358"/>
      <c r="F125" s="358"/>
      <c r="G125" s="358"/>
      <c r="H125" s="358"/>
      <c r="I125" s="358"/>
      <c r="J125" s="358"/>
      <c r="K125" s="358"/>
      <c r="L125" s="358"/>
      <c r="M125" s="358"/>
      <c r="N125" s="358"/>
      <c r="O125" s="358"/>
      <c r="P125" s="403">
        <v>0</v>
      </c>
      <c r="Q125" s="403"/>
      <c r="R125" s="404"/>
      <c r="S125" s="361"/>
      <c r="T125" s="348"/>
    </row>
    <row r="126" spans="1:20" s="349" customFormat="1" x14ac:dyDescent="0.3">
      <c r="A126" s="365"/>
      <c r="B126" s="358" t="s">
        <v>182</v>
      </c>
      <c r="C126" s="358"/>
      <c r="D126" s="358"/>
      <c r="E126" s="358"/>
      <c r="F126" s="358"/>
      <c r="G126" s="358"/>
      <c r="H126" s="358"/>
      <c r="I126" s="358"/>
      <c r="J126" s="358"/>
      <c r="K126" s="358"/>
      <c r="L126" s="358"/>
      <c r="M126" s="358"/>
      <c r="N126" s="358"/>
      <c r="O126" s="358"/>
      <c r="P126" s="403">
        <v>0</v>
      </c>
      <c r="Q126" s="403"/>
      <c r="R126" s="404"/>
      <c r="S126" s="361"/>
      <c r="T126" s="348"/>
    </row>
    <row r="127" spans="1:20" s="349" customFormat="1" x14ac:dyDescent="0.3">
      <c r="A127" s="365"/>
      <c r="B127" s="358" t="s">
        <v>271</v>
      </c>
      <c r="C127" s="358"/>
      <c r="D127" s="358"/>
      <c r="E127" s="358"/>
      <c r="F127" s="358"/>
      <c r="G127" s="358"/>
      <c r="H127" s="358"/>
      <c r="I127" s="358"/>
      <c r="J127" s="358"/>
      <c r="K127" s="358"/>
      <c r="L127" s="358"/>
      <c r="M127" s="358"/>
      <c r="N127" s="358"/>
      <c r="O127" s="358"/>
      <c r="P127" s="403">
        <v>0</v>
      </c>
      <c r="Q127" s="403"/>
      <c r="R127" s="404"/>
      <c r="S127" s="361"/>
      <c r="T127" s="348"/>
    </row>
    <row r="128" spans="1:20" s="349" customFormat="1" x14ac:dyDescent="0.3">
      <c r="A128" s="365"/>
      <c r="B128" s="358" t="s">
        <v>31</v>
      </c>
      <c r="C128" s="358"/>
      <c r="D128" s="358"/>
      <c r="E128" s="358"/>
      <c r="F128" s="358"/>
      <c r="G128" s="358"/>
      <c r="H128" s="358"/>
      <c r="I128" s="358"/>
      <c r="J128" s="358"/>
      <c r="K128" s="358"/>
      <c r="L128" s="358"/>
      <c r="M128" s="358"/>
      <c r="N128" s="358"/>
      <c r="O128" s="358"/>
      <c r="P128" s="403">
        <f>SUM(P121:P127)</f>
        <v>-8531</v>
      </c>
      <c r="Q128" s="403"/>
      <c r="R128" s="403">
        <f>SUM(R101:R127)</f>
        <v>-1074</v>
      </c>
      <c r="S128" s="361"/>
      <c r="T128" s="348"/>
    </row>
    <row r="129" spans="1:20" s="349" customFormat="1" x14ac:dyDescent="0.3">
      <c r="A129" s="365"/>
      <c r="B129" s="358" t="s">
        <v>32</v>
      </c>
      <c r="C129" s="358"/>
      <c r="D129" s="358"/>
      <c r="E129" s="358"/>
      <c r="F129" s="358"/>
      <c r="G129" s="358"/>
      <c r="H129" s="358"/>
      <c r="I129" s="358"/>
      <c r="J129" s="358"/>
      <c r="K129" s="358"/>
      <c r="L129" s="358"/>
      <c r="M129" s="358"/>
      <c r="N129" s="358"/>
      <c r="O129" s="358"/>
      <c r="P129" s="403">
        <f>P100+P128+P111</f>
        <v>0</v>
      </c>
      <c r="Q129" s="403"/>
      <c r="R129" s="403">
        <f>R100+R128</f>
        <v>0</v>
      </c>
      <c r="S129" s="361"/>
      <c r="T129" s="348"/>
    </row>
    <row r="130" spans="1:20" s="349" customFormat="1" x14ac:dyDescent="0.3">
      <c r="A130" s="344"/>
      <c r="B130" s="393"/>
      <c r="C130" s="393"/>
      <c r="D130" s="393"/>
      <c r="E130" s="393"/>
      <c r="F130" s="393"/>
      <c r="G130" s="393"/>
      <c r="H130" s="393"/>
      <c r="I130" s="393"/>
      <c r="J130" s="393"/>
      <c r="K130" s="393"/>
      <c r="L130" s="393"/>
      <c r="M130" s="393"/>
      <c r="N130" s="393"/>
      <c r="O130" s="393"/>
      <c r="P130" s="408"/>
      <c r="Q130" s="408"/>
      <c r="R130" s="408"/>
      <c r="S130" s="347"/>
      <c r="T130" s="348"/>
    </row>
    <row r="131" spans="1:20" s="349" customFormat="1" x14ac:dyDescent="0.3">
      <c r="A131" s="344"/>
      <c r="B131" s="346"/>
      <c r="C131" s="346"/>
      <c r="D131" s="346"/>
      <c r="E131" s="346"/>
      <c r="F131" s="346"/>
      <c r="G131" s="346"/>
      <c r="H131" s="346"/>
      <c r="I131" s="346"/>
      <c r="J131" s="346"/>
      <c r="K131" s="346"/>
      <c r="L131" s="346"/>
      <c r="M131" s="346"/>
      <c r="N131" s="346"/>
      <c r="O131" s="346"/>
      <c r="P131" s="346"/>
      <c r="Q131" s="346"/>
      <c r="R131" s="409"/>
      <c r="S131" s="347"/>
      <c r="T131" s="348"/>
    </row>
    <row r="132" spans="1:20" s="349" customFormat="1" ht="18.600000000000001" thickBot="1" x14ac:dyDescent="0.4">
      <c r="A132" s="398"/>
      <c r="B132" s="399" t="str">
        <f>B60</f>
        <v>PM22 INVESTOR REPORT QUARTER ENDING FEBRUARY 2019</v>
      </c>
      <c r="C132" s="400"/>
      <c r="D132" s="400"/>
      <c r="E132" s="400"/>
      <c r="F132" s="400"/>
      <c r="G132" s="400"/>
      <c r="H132" s="400"/>
      <c r="I132" s="400"/>
      <c r="J132" s="400"/>
      <c r="K132" s="400"/>
      <c r="L132" s="400"/>
      <c r="M132" s="400"/>
      <c r="N132" s="400"/>
      <c r="O132" s="400"/>
      <c r="P132" s="400"/>
      <c r="Q132" s="400"/>
      <c r="R132" s="410"/>
      <c r="S132" s="402"/>
      <c r="T132" s="348"/>
    </row>
    <row r="133" spans="1:20" x14ac:dyDescent="0.3">
      <c r="A133" s="456"/>
      <c r="B133" s="457" t="s">
        <v>33</v>
      </c>
      <c r="C133" s="458"/>
      <c r="D133" s="458"/>
      <c r="E133" s="458"/>
      <c r="F133" s="458"/>
      <c r="G133" s="458"/>
      <c r="H133" s="458"/>
      <c r="I133" s="458"/>
      <c r="J133" s="458"/>
      <c r="K133" s="458"/>
      <c r="L133" s="458"/>
      <c r="M133" s="458"/>
      <c r="N133" s="458"/>
      <c r="O133" s="458"/>
      <c r="P133" s="458"/>
      <c r="Q133" s="458"/>
      <c r="R133" s="459"/>
      <c r="S133" s="460"/>
      <c r="T133" s="247"/>
    </row>
    <row r="134" spans="1:20" x14ac:dyDescent="0.3">
      <c r="A134" s="249"/>
      <c r="B134" s="295"/>
      <c r="C134" s="251"/>
      <c r="D134" s="251"/>
      <c r="E134" s="251"/>
      <c r="F134" s="251"/>
      <c r="G134" s="251"/>
      <c r="H134" s="251"/>
      <c r="I134" s="251"/>
      <c r="J134" s="251"/>
      <c r="K134" s="251"/>
      <c r="L134" s="251"/>
      <c r="M134" s="251"/>
      <c r="N134" s="251"/>
      <c r="O134" s="251"/>
      <c r="P134" s="251"/>
      <c r="Q134" s="251"/>
      <c r="R134" s="279"/>
      <c r="S134" s="252"/>
      <c r="T134" s="247"/>
    </row>
    <row r="135" spans="1:20" x14ac:dyDescent="0.3">
      <c r="A135" s="249"/>
      <c r="B135" s="296" t="s">
        <v>34</v>
      </c>
      <c r="C135" s="251"/>
      <c r="D135" s="251"/>
      <c r="E135" s="251"/>
      <c r="F135" s="251"/>
      <c r="G135" s="251"/>
      <c r="H135" s="251"/>
      <c r="I135" s="251"/>
      <c r="J135" s="251"/>
      <c r="K135" s="251"/>
      <c r="L135" s="251"/>
      <c r="M135" s="251"/>
      <c r="N135" s="251"/>
      <c r="O135" s="251"/>
      <c r="P135" s="251"/>
      <c r="Q135" s="251"/>
      <c r="R135" s="279"/>
      <c r="S135" s="252"/>
      <c r="T135" s="247"/>
    </row>
    <row r="136" spans="1:20" s="349" customFormat="1" x14ac:dyDescent="0.3">
      <c r="A136" s="365"/>
      <c r="B136" s="358" t="s">
        <v>35</v>
      </c>
      <c r="C136" s="358"/>
      <c r="D136" s="358"/>
      <c r="E136" s="358"/>
      <c r="F136" s="358"/>
      <c r="G136" s="358"/>
      <c r="H136" s="358"/>
      <c r="I136" s="358"/>
      <c r="J136" s="358"/>
      <c r="K136" s="358"/>
      <c r="L136" s="358"/>
      <c r="M136" s="358"/>
      <c r="N136" s="358"/>
      <c r="O136" s="358"/>
      <c r="P136" s="358"/>
      <c r="Q136" s="358"/>
      <c r="R136" s="404">
        <v>7502</v>
      </c>
      <c r="S136" s="361"/>
      <c r="T136" s="348"/>
    </row>
    <row r="137" spans="1:20" s="349" customFormat="1" x14ac:dyDescent="0.3">
      <c r="A137" s="365"/>
      <c r="B137" s="358" t="s">
        <v>36</v>
      </c>
      <c r="C137" s="358"/>
      <c r="D137" s="358"/>
      <c r="E137" s="358"/>
      <c r="F137" s="358"/>
      <c r="G137" s="358"/>
      <c r="H137" s="358"/>
      <c r="I137" s="358"/>
      <c r="J137" s="358"/>
      <c r="K137" s="358"/>
      <c r="L137" s="358"/>
      <c r="M137" s="358"/>
      <c r="N137" s="358"/>
      <c r="O137" s="358"/>
      <c r="P137" s="358"/>
      <c r="Q137" s="358"/>
      <c r="R137" s="404">
        <v>0</v>
      </c>
      <c r="S137" s="361"/>
      <c r="T137" s="348"/>
    </row>
    <row r="138" spans="1:20" s="349" customFormat="1" x14ac:dyDescent="0.3">
      <c r="A138" s="365"/>
      <c r="B138" s="358" t="s">
        <v>169</v>
      </c>
      <c r="C138" s="358"/>
      <c r="D138" s="358"/>
      <c r="E138" s="358"/>
      <c r="F138" s="358"/>
      <c r="G138" s="358"/>
      <c r="H138" s="358"/>
      <c r="I138" s="358"/>
      <c r="J138" s="358"/>
      <c r="K138" s="358"/>
      <c r="L138" s="358"/>
      <c r="M138" s="358"/>
      <c r="N138" s="358"/>
      <c r="O138" s="358"/>
      <c r="P138" s="358"/>
      <c r="Q138" s="358"/>
      <c r="R138" s="404">
        <f>R136-R139</f>
        <v>6253.4809526600002</v>
      </c>
      <c r="S138" s="361"/>
      <c r="T138" s="348"/>
    </row>
    <row r="139" spans="1:20" s="349" customFormat="1" x14ac:dyDescent="0.3">
      <c r="A139" s="365"/>
      <c r="B139" s="358" t="s">
        <v>210</v>
      </c>
      <c r="C139" s="358"/>
      <c r="D139" s="358"/>
      <c r="E139" s="358"/>
      <c r="F139" s="358"/>
      <c r="G139" s="358"/>
      <c r="H139" s="358"/>
      <c r="I139" s="358"/>
      <c r="J139" s="358"/>
      <c r="K139" s="358"/>
      <c r="L139" s="358"/>
      <c r="M139" s="358"/>
      <c r="N139" s="358"/>
      <c r="O139" s="358"/>
      <c r="P139" s="358"/>
      <c r="Q139" s="358"/>
      <c r="R139" s="404">
        <f>SUM(D33:J33)*0.025</f>
        <v>1248.51904734</v>
      </c>
      <c r="S139" s="361"/>
      <c r="T139" s="348"/>
    </row>
    <row r="140" spans="1:20" s="349" customFormat="1" x14ac:dyDescent="0.3">
      <c r="A140" s="365"/>
      <c r="B140" s="358" t="s">
        <v>108</v>
      </c>
      <c r="C140" s="358"/>
      <c r="D140" s="358"/>
      <c r="E140" s="358"/>
      <c r="F140" s="358"/>
      <c r="G140" s="358"/>
      <c r="H140" s="358"/>
      <c r="I140" s="358"/>
      <c r="J140" s="358"/>
      <c r="K140" s="358"/>
      <c r="L140" s="358"/>
      <c r="M140" s="358"/>
      <c r="N140" s="358"/>
      <c r="O140" s="358"/>
      <c r="P140" s="358"/>
      <c r="Q140" s="358"/>
      <c r="R140" s="404"/>
      <c r="S140" s="361"/>
      <c r="T140" s="348"/>
    </row>
    <row r="141" spans="1:20" s="349" customFormat="1" x14ac:dyDescent="0.3">
      <c r="A141" s="365"/>
      <c r="B141" s="358" t="s">
        <v>155</v>
      </c>
      <c r="C141" s="358"/>
      <c r="D141" s="358"/>
      <c r="E141" s="358"/>
      <c r="F141" s="358"/>
      <c r="G141" s="358"/>
      <c r="H141" s="358"/>
      <c r="I141" s="358"/>
      <c r="J141" s="358"/>
      <c r="K141" s="358"/>
      <c r="L141" s="358"/>
      <c r="M141" s="358"/>
      <c r="N141" s="358"/>
      <c r="O141" s="358"/>
      <c r="P141" s="358"/>
      <c r="Q141" s="358"/>
      <c r="R141" s="404">
        <v>0</v>
      </c>
      <c r="S141" s="361"/>
      <c r="T141" s="348"/>
    </row>
    <row r="142" spans="1:20" s="349" customFormat="1" x14ac:dyDescent="0.3">
      <c r="A142" s="365"/>
      <c r="B142" s="358" t="s">
        <v>189</v>
      </c>
      <c r="C142" s="358"/>
      <c r="D142" s="358"/>
      <c r="E142" s="358"/>
      <c r="F142" s="358"/>
      <c r="G142" s="358"/>
      <c r="H142" s="358"/>
      <c r="I142" s="358"/>
      <c r="J142" s="358"/>
      <c r="K142" s="358"/>
      <c r="L142" s="358"/>
      <c r="M142" s="358"/>
      <c r="N142" s="358"/>
      <c r="O142" s="358"/>
      <c r="P142" s="358"/>
      <c r="Q142" s="358"/>
      <c r="R142" s="404">
        <v>0</v>
      </c>
      <c r="S142" s="361"/>
      <c r="T142" s="348"/>
    </row>
    <row r="143" spans="1:20" s="349" customFormat="1" x14ac:dyDescent="0.3">
      <c r="A143" s="365"/>
      <c r="B143" s="358" t="s">
        <v>190</v>
      </c>
      <c r="C143" s="358"/>
      <c r="D143" s="358"/>
      <c r="E143" s="358"/>
      <c r="F143" s="358"/>
      <c r="G143" s="358"/>
      <c r="H143" s="358"/>
      <c r="I143" s="358"/>
      <c r="J143" s="358"/>
      <c r="K143" s="358"/>
      <c r="L143" s="358"/>
      <c r="M143" s="358"/>
      <c r="N143" s="358"/>
      <c r="O143" s="358"/>
      <c r="P143" s="358"/>
      <c r="Q143" s="358"/>
      <c r="R143" s="404">
        <v>0</v>
      </c>
      <c r="S143" s="361"/>
      <c r="T143" s="348"/>
    </row>
    <row r="144" spans="1:20" s="349" customFormat="1" x14ac:dyDescent="0.3">
      <c r="A144" s="365"/>
      <c r="B144" s="358" t="s">
        <v>37</v>
      </c>
      <c r="C144" s="358"/>
      <c r="D144" s="358"/>
      <c r="E144" s="358"/>
      <c r="F144" s="358"/>
      <c r="G144" s="358"/>
      <c r="H144" s="358"/>
      <c r="I144" s="358"/>
      <c r="J144" s="358"/>
      <c r="K144" s="358"/>
      <c r="L144" s="358"/>
      <c r="M144" s="358"/>
      <c r="N144" s="358"/>
      <c r="O144" s="358"/>
      <c r="P144" s="358"/>
      <c r="Q144" s="358"/>
      <c r="R144" s="404">
        <v>0</v>
      </c>
      <c r="S144" s="361"/>
      <c r="T144" s="348"/>
    </row>
    <row r="145" spans="1:21" s="349" customFormat="1" x14ac:dyDescent="0.3">
      <c r="A145" s="365"/>
      <c r="B145" s="358" t="s">
        <v>102</v>
      </c>
      <c r="C145" s="358"/>
      <c r="D145" s="358"/>
      <c r="E145" s="358"/>
      <c r="F145" s="358"/>
      <c r="G145" s="358"/>
      <c r="H145" s="358"/>
      <c r="I145" s="358"/>
      <c r="J145" s="358"/>
      <c r="K145" s="358"/>
      <c r="L145" s="358"/>
      <c r="M145" s="358"/>
      <c r="N145" s="358"/>
      <c r="O145" s="358"/>
      <c r="P145" s="358"/>
      <c r="Q145" s="358"/>
      <c r="R145" s="404">
        <v>0</v>
      </c>
      <c r="S145" s="361"/>
      <c r="T145" s="348"/>
    </row>
    <row r="146" spans="1:21" s="349" customFormat="1" x14ac:dyDescent="0.3">
      <c r="A146" s="365"/>
      <c r="B146" s="358" t="s">
        <v>256</v>
      </c>
      <c r="C146" s="358"/>
      <c r="D146" s="358"/>
      <c r="E146" s="358"/>
      <c r="F146" s="358"/>
      <c r="G146" s="358"/>
      <c r="H146" s="358"/>
      <c r="I146" s="358"/>
      <c r="J146" s="358"/>
      <c r="K146" s="358"/>
      <c r="L146" s="358"/>
      <c r="M146" s="358"/>
      <c r="N146" s="358"/>
      <c r="O146" s="358"/>
      <c r="P146" s="358"/>
      <c r="Q146" s="358"/>
      <c r="R146" s="404">
        <v>0</v>
      </c>
      <c r="S146" s="361"/>
      <c r="T146" s="348"/>
      <c r="U146" s="407"/>
    </row>
    <row r="147" spans="1:21" s="349" customFormat="1" x14ac:dyDescent="0.3">
      <c r="A147" s="365"/>
      <c r="B147" s="358" t="s">
        <v>38</v>
      </c>
      <c r="C147" s="358"/>
      <c r="D147" s="358"/>
      <c r="E147" s="358"/>
      <c r="F147" s="358"/>
      <c r="G147" s="358"/>
      <c r="H147" s="358"/>
      <c r="I147" s="358"/>
      <c r="J147" s="358"/>
      <c r="K147" s="358"/>
      <c r="L147" s="358"/>
      <c r="M147" s="358"/>
      <c r="N147" s="358"/>
      <c r="O147" s="358"/>
      <c r="P147" s="358"/>
      <c r="Q147" s="358"/>
      <c r="R147" s="404">
        <f>SUM(R137:R146)</f>
        <v>7502</v>
      </c>
      <c r="S147" s="361"/>
      <c r="T147" s="348"/>
    </row>
    <row r="148" spans="1:21" x14ac:dyDescent="0.3">
      <c r="A148" s="249"/>
      <c r="B148" s="277"/>
      <c r="C148" s="277"/>
      <c r="D148" s="277"/>
      <c r="E148" s="277"/>
      <c r="F148" s="277"/>
      <c r="G148" s="277"/>
      <c r="H148" s="277"/>
      <c r="I148" s="277"/>
      <c r="J148" s="277"/>
      <c r="K148" s="277"/>
      <c r="L148" s="277"/>
      <c r="M148" s="277"/>
      <c r="N148" s="277"/>
      <c r="O148" s="277"/>
      <c r="P148" s="277"/>
      <c r="Q148" s="277"/>
      <c r="R148" s="297"/>
      <c r="S148" s="252"/>
      <c r="T148" s="247"/>
    </row>
    <row r="149" spans="1:21" x14ac:dyDescent="0.3">
      <c r="A149" s="249"/>
      <c r="B149" s="296" t="s">
        <v>203</v>
      </c>
      <c r="C149" s="251"/>
      <c r="D149" s="251"/>
      <c r="E149" s="251"/>
      <c r="F149" s="251"/>
      <c r="G149" s="251"/>
      <c r="H149" s="251"/>
      <c r="I149" s="251"/>
      <c r="J149" s="251"/>
      <c r="K149" s="251"/>
      <c r="L149" s="251"/>
      <c r="M149" s="251"/>
      <c r="N149" s="251"/>
      <c r="O149" s="251"/>
      <c r="P149" s="251"/>
      <c r="Q149" s="251"/>
      <c r="R149" s="279"/>
      <c r="S149" s="252"/>
      <c r="T149" s="247"/>
    </row>
    <row r="150" spans="1:21" s="349" customFormat="1" x14ac:dyDescent="0.3">
      <c r="A150" s="365"/>
      <c r="B150" s="358" t="s">
        <v>278</v>
      </c>
      <c r="C150" s="358"/>
      <c r="D150" s="358"/>
      <c r="E150" s="358"/>
      <c r="F150" s="358"/>
      <c r="G150" s="358"/>
      <c r="H150" s="358"/>
      <c r="I150" s="358"/>
      <c r="J150" s="358"/>
      <c r="K150" s="358"/>
      <c r="L150" s="358"/>
      <c r="M150" s="358"/>
      <c r="N150" s="358"/>
      <c r="O150" s="358"/>
      <c r="P150" s="358"/>
      <c r="Q150" s="358"/>
      <c r="R150" s="404">
        <v>0</v>
      </c>
      <c r="S150" s="361"/>
      <c r="T150" s="348"/>
    </row>
    <row r="151" spans="1:21" s="349" customFormat="1" x14ac:dyDescent="0.3">
      <c r="A151" s="365"/>
      <c r="B151" s="358" t="s">
        <v>191</v>
      </c>
      <c r="C151" s="358"/>
      <c r="D151" s="358"/>
      <c r="E151" s="358"/>
      <c r="F151" s="358"/>
      <c r="G151" s="358"/>
      <c r="H151" s="358"/>
      <c r="I151" s="358"/>
      <c r="J151" s="358"/>
      <c r="K151" s="358"/>
      <c r="L151" s="358"/>
      <c r="M151" s="358"/>
      <c r="N151" s="358"/>
      <c r="O151" s="358"/>
      <c r="P151" s="358"/>
      <c r="Q151" s="358"/>
      <c r="R151" s="404">
        <f>+J77</f>
        <v>0</v>
      </c>
      <c r="S151" s="361"/>
      <c r="T151" s="348"/>
    </row>
    <row r="152" spans="1:21" s="349" customFormat="1" x14ac:dyDescent="0.3">
      <c r="A152" s="365"/>
      <c r="B152" s="358" t="s">
        <v>205</v>
      </c>
      <c r="C152" s="358"/>
      <c r="D152" s="358"/>
      <c r="E152" s="358"/>
      <c r="F152" s="358"/>
      <c r="G152" s="358"/>
      <c r="H152" s="358"/>
      <c r="I152" s="358"/>
      <c r="J152" s="358"/>
      <c r="K152" s="358"/>
      <c r="L152" s="358"/>
      <c r="M152" s="358"/>
      <c r="N152" s="358"/>
      <c r="O152" s="358"/>
      <c r="P152" s="358"/>
      <c r="Q152" s="358"/>
      <c r="R152" s="404">
        <f>R150+R151</f>
        <v>0</v>
      </c>
      <c r="S152" s="361"/>
      <c r="T152" s="348"/>
    </row>
    <row r="153" spans="1:21" s="349" customFormat="1" x14ac:dyDescent="0.3">
      <c r="A153" s="344"/>
      <c r="B153" s="393"/>
      <c r="C153" s="393"/>
      <c r="D153" s="393"/>
      <c r="E153" s="393"/>
      <c r="F153" s="393"/>
      <c r="G153" s="393"/>
      <c r="H153" s="393"/>
      <c r="I153" s="393"/>
      <c r="J153" s="393"/>
      <c r="K153" s="393"/>
      <c r="L153" s="393"/>
      <c r="M153" s="393"/>
      <c r="N153" s="393"/>
      <c r="O153" s="393"/>
      <c r="P153" s="393"/>
      <c r="Q153" s="393"/>
      <c r="R153" s="411"/>
      <c r="S153" s="347"/>
      <c r="T153" s="348"/>
    </row>
    <row r="154" spans="1:21" x14ac:dyDescent="0.3">
      <c r="A154" s="249"/>
      <c r="B154" s="296" t="s">
        <v>211</v>
      </c>
      <c r="C154" s="298"/>
      <c r="D154" s="298"/>
      <c r="E154" s="298"/>
      <c r="F154" s="298"/>
      <c r="G154" s="298"/>
      <c r="H154" s="298"/>
      <c r="I154" s="298"/>
      <c r="J154" s="298"/>
      <c r="K154" s="298"/>
      <c r="L154" s="298"/>
      <c r="M154" s="298"/>
      <c r="N154" s="298"/>
      <c r="O154" s="298"/>
      <c r="P154" s="298"/>
      <c r="Q154" s="298"/>
      <c r="R154" s="299"/>
      <c r="S154" s="252"/>
      <c r="T154" s="247"/>
    </row>
    <row r="155" spans="1:21" s="349" customFormat="1" x14ac:dyDescent="0.3">
      <c r="A155" s="412"/>
      <c r="B155" s="413" t="s">
        <v>277</v>
      </c>
      <c r="C155" s="413"/>
      <c r="D155" s="413"/>
      <c r="E155" s="413"/>
      <c r="F155" s="413"/>
      <c r="G155" s="413"/>
      <c r="H155" s="413"/>
      <c r="I155" s="413"/>
      <c r="J155" s="413"/>
      <c r="K155" s="413"/>
      <c r="L155" s="413"/>
      <c r="M155" s="413"/>
      <c r="N155" s="413"/>
      <c r="O155" s="413"/>
      <c r="P155" s="413"/>
      <c r="Q155" s="413"/>
      <c r="R155" s="414">
        <f>+'Feb 17'!R158</f>
        <v>0</v>
      </c>
      <c r="S155" s="415"/>
      <c r="T155" s="348"/>
    </row>
    <row r="156" spans="1:21" s="349" customFormat="1" x14ac:dyDescent="0.3">
      <c r="A156" s="412"/>
      <c r="B156" s="413" t="s">
        <v>213</v>
      </c>
      <c r="C156" s="413"/>
      <c r="D156" s="413"/>
      <c r="E156" s="413"/>
      <c r="F156" s="413"/>
      <c r="G156" s="413"/>
      <c r="H156" s="413"/>
      <c r="I156" s="413"/>
      <c r="J156" s="413"/>
      <c r="K156" s="413"/>
      <c r="L156" s="413"/>
      <c r="M156" s="413"/>
      <c r="N156" s="413"/>
      <c r="O156" s="413"/>
      <c r="P156" s="413"/>
      <c r="Q156" s="413"/>
      <c r="R156" s="414">
        <f>P86</f>
        <v>0</v>
      </c>
      <c r="S156" s="415"/>
      <c r="T156" s="348"/>
    </row>
    <row r="157" spans="1:21" s="349" customFormat="1" x14ac:dyDescent="0.3">
      <c r="A157" s="412"/>
      <c r="B157" s="413" t="s">
        <v>214</v>
      </c>
      <c r="C157" s="413"/>
      <c r="D157" s="413"/>
      <c r="E157" s="413"/>
      <c r="F157" s="413"/>
      <c r="G157" s="413"/>
      <c r="H157" s="413"/>
      <c r="I157" s="413"/>
      <c r="J157" s="413"/>
      <c r="K157" s="413"/>
      <c r="L157" s="413"/>
      <c r="M157" s="413"/>
      <c r="N157" s="413"/>
      <c r="O157" s="413"/>
      <c r="P157" s="413"/>
      <c r="Q157" s="413"/>
      <c r="R157" s="414">
        <v>0</v>
      </c>
      <c r="S157" s="415"/>
      <c r="T157" s="348"/>
    </row>
    <row r="158" spans="1:21" s="349" customFormat="1" x14ac:dyDescent="0.3">
      <c r="A158" s="412"/>
      <c r="B158" s="413" t="s">
        <v>215</v>
      </c>
      <c r="C158" s="413"/>
      <c r="D158" s="413"/>
      <c r="E158" s="413"/>
      <c r="F158" s="413"/>
      <c r="G158" s="413"/>
      <c r="H158" s="413"/>
      <c r="I158" s="413"/>
      <c r="J158" s="413"/>
      <c r="K158" s="413"/>
      <c r="L158" s="413"/>
      <c r="M158" s="413"/>
      <c r="N158" s="413"/>
      <c r="O158" s="413"/>
      <c r="P158" s="413"/>
      <c r="Q158" s="413"/>
      <c r="R158" s="414">
        <f>R155+R156+R157</f>
        <v>0</v>
      </c>
      <c r="S158" s="415"/>
      <c r="T158" s="348"/>
    </row>
    <row r="159" spans="1:21" x14ac:dyDescent="0.3">
      <c r="A159" s="249"/>
      <c r="B159" s="277"/>
      <c r="C159" s="277"/>
      <c r="D159" s="277"/>
      <c r="E159" s="277"/>
      <c r="F159" s="277"/>
      <c r="G159" s="277"/>
      <c r="H159" s="277"/>
      <c r="I159" s="277"/>
      <c r="J159" s="277"/>
      <c r="K159" s="277"/>
      <c r="L159" s="277"/>
      <c r="M159" s="277"/>
      <c r="N159" s="277"/>
      <c r="O159" s="277"/>
      <c r="P159" s="277"/>
      <c r="Q159" s="277"/>
      <c r="R159" s="297"/>
      <c r="S159" s="252"/>
      <c r="T159" s="247"/>
    </row>
    <row r="160" spans="1:21" x14ac:dyDescent="0.3">
      <c r="A160" s="249"/>
      <c r="B160" s="296" t="s">
        <v>39</v>
      </c>
      <c r="C160" s="251"/>
      <c r="D160" s="251"/>
      <c r="E160" s="251"/>
      <c r="F160" s="251"/>
      <c r="G160" s="251"/>
      <c r="H160" s="251"/>
      <c r="I160" s="251"/>
      <c r="J160" s="251"/>
      <c r="K160" s="251"/>
      <c r="L160" s="251"/>
      <c r="M160" s="251"/>
      <c r="N160" s="251"/>
      <c r="O160" s="251"/>
      <c r="P160" s="251"/>
      <c r="Q160" s="251"/>
      <c r="R160" s="300"/>
      <c r="S160" s="252"/>
      <c r="T160" s="247"/>
    </row>
    <row r="161" spans="1:252" s="349" customFormat="1" x14ac:dyDescent="0.3">
      <c r="A161" s="365"/>
      <c r="B161" s="358" t="s">
        <v>40</v>
      </c>
      <c r="C161" s="358"/>
      <c r="D161" s="358"/>
      <c r="E161" s="358"/>
      <c r="F161" s="358"/>
      <c r="G161" s="358"/>
      <c r="H161" s="358"/>
      <c r="I161" s="358"/>
      <c r="J161" s="358"/>
      <c r="K161" s="358"/>
      <c r="L161" s="358"/>
      <c r="M161" s="358"/>
      <c r="N161" s="358"/>
      <c r="O161" s="358"/>
      <c r="P161" s="358"/>
      <c r="Q161" s="358"/>
      <c r="R161" s="404">
        <v>0</v>
      </c>
      <c r="S161" s="361"/>
      <c r="T161" s="348"/>
    </row>
    <row r="162" spans="1:252" s="349" customFormat="1" x14ac:dyDescent="0.3">
      <c r="A162" s="365"/>
      <c r="B162" s="358" t="s">
        <v>41</v>
      </c>
      <c r="C162" s="358"/>
      <c r="D162" s="358"/>
      <c r="E162" s="358"/>
      <c r="F162" s="358"/>
      <c r="G162" s="358"/>
      <c r="H162" s="358"/>
      <c r="I162" s="358"/>
      <c r="J162" s="358"/>
      <c r="K162" s="358"/>
      <c r="L162" s="358"/>
      <c r="M162" s="358"/>
      <c r="N162" s="358"/>
      <c r="O162" s="358"/>
      <c r="P162" s="358"/>
      <c r="Q162" s="358"/>
      <c r="R162" s="404">
        <v>0</v>
      </c>
      <c r="S162" s="361"/>
      <c r="T162" s="348"/>
    </row>
    <row r="163" spans="1:252" s="349" customFormat="1" x14ac:dyDescent="0.3">
      <c r="A163" s="365"/>
      <c r="B163" s="358" t="s">
        <v>42</v>
      </c>
      <c r="C163" s="358"/>
      <c r="D163" s="358"/>
      <c r="E163" s="358"/>
      <c r="F163" s="358"/>
      <c r="G163" s="358"/>
      <c r="H163" s="358"/>
      <c r="I163" s="358"/>
      <c r="J163" s="358"/>
      <c r="K163" s="358"/>
      <c r="L163" s="358"/>
      <c r="M163" s="358"/>
      <c r="N163" s="358"/>
      <c r="O163" s="358"/>
      <c r="P163" s="358"/>
      <c r="Q163" s="358"/>
      <c r="R163" s="404">
        <f>R162+R161</f>
        <v>0</v>
      </c>
      <c r="S163" s="361"/>
      <c r="T163" s="348"/>
    </row>
    <row r="164" spans="1:252" s="349" customFormat="1" x14ac:dyDescent="0.3">
      <c r="A164" s="365"/>
      <c r="B164" s="358" t="s">
        <v>174</v>
      </c>
      <c r="C164" s="358"/>
      <c r="D164" s="358"/>
      <c r="E164" s="358"/>
      <c r="F164" s="358"/>
      <c r="G164" s="358"/>
      <c r="H164" s="358"/>
      <c r="I164" s="358"/>
      <c r="J164" s="358"/>
      <c r="K164" s="358"/>
      <c r="L164" s="358"/>
      <c r="M164" s="358"/>
      <c r="N164" s="358"/>
      <c r="O164" s="358"/>
      <c r="P164" s="358"/>
      <c r="Q164" s="358"/>
      <c r="R164" s="404">
        <f>R111</f>
        <v>0</v>
      </c>
      <c r="S164" s="361"/>
      <c r="T164" s="348"/>
    </row>
    <row r="165" spans="1:252" s="349" customFormat="1" x14ac:dyDescent="0.3">
      <c r="A165" s="365"/>
      <c r="B165" s="358" t="s">
        <v>43</v>
      </c>
      <c r="C165" s="358"/>
      <c r="D165" s="358"/>
      <c r="E165" s="358"/>
      <c r="F165" s="358"/>
      <c r="G165" s="358"/>
      <c r="H165" s="358"/>
      <c r="I165" s="358"/>
      <c r="J165" s="358"/>
      <c r="K165" s="358"/>
      <c r="L165" s="358"/>
      <c r="M165" s="358"/>
      <c r="N165" s="358"/>
      <c r="O165" s="358"/>
      <c r="P165" s="358"/>
      <c r="Q165" s="358"/>
      <c r="R165" s="404">
        <f>R163+R164</f>
        <v>0</v>
      </c>
      <c r="S165" s="361"/>
      <c r="T165" s="348"/>
    </row>
    <row r="166" spans="1:252" s="349" customFormat="1" x14ac:dyDescent="0.3">
      <c r="A166" s="365"/>
      <c r="B166" s="358" t="s">
        <v>150</v>
      </c>
      <c r="C166" s="358"/>
      <c r="D166" s="358"/>
      <c r="E166" s="358"/>
      <c r="F166" s="358"/>
      <c r="G166" s="358"/>
      <c r="H166" s="358"/>
      <c r="I166" s="358"/>
      <c r="J166" s="358"/>
      <c r="K166" s="358"/>
      <c r="L166" s="358"/>
      <c r="M166" s="358"/>
      <c r="N166" s="358"/>
      <c r="O166" s="358"/>
      <c r="P166" s="358"/>
      <c r="Q166" s="358"/>
      <c r="R166" s="404">
        <f>-R99</f>
        <v>0</v>
      </c>
      <c r="S166" s="361"/>
      <c r="T166" s="348"/>
    </row>
    <row r="167" spans="1:252" ht="16.2" thickBot="1" x14ac:dyDescent="0.35">
      <c r="A167" s="249"/>
      <c r="B167" s="277"/>
      <c r="C167" s="277"/>
      <c r="D167" s="277"/>
      <c r="E167" s="277"/>
      <c r="F167" s="277"/>
      <c r="G167" s="277"/>
      <c r="H167" s="277"/>
      <c r="I167" s="277"/>
      <c r="J167" s="277"/>
      <c r="K167" s="277"/>
      <c r="L167" s="277"/>
      <c r="M167" s="277"/>
      <c r="N167" s="277"/>
      <c r="O167" s="277"/>
      <c r="P167" s="277"/>
      <c r="Q167" s="277"/>
      <c r="R167" s="297"/>
      <c r="S167" s="252"/>
      <c r="T167" s="247"/>
    </row>
    <row r="168" spans="1:252" x14ac:dyDescent="0.3">
      <c r="A168" s="244"/>
      <c r="B168" s="245"/>
      <c r="C168" s="245"/>
      <c r="D168" s="245"/>
      <c r="E168" s="245"/>
      <c r="F168" s="245"/>
      <c r="G168" s="245"/>
      <c r="H168" s="245"/>
      <c r="I168" s="245"/>
      <c r="J168" s="245"/>
      <c r="K168" s="245"/>
      <c r="L168" s="245"/>
      <c r="M168" s="245"/>
      <c r="N168" s="245"/>
      <c r="O168" s="245"/>
      <c r="P168" s="245"/>
      <c r="Q168" s="245"/>
      <c r="R168" s="301"/>
      <c r="S168" s="246"/>
      <c r="T168" s="247"/>
    </row>
    <row r="169" spans="1:252" s="303" customFormat="1" x14ac:dyDescent="0.3">
      <c r="A169" s="249"/>
      <c r="B169" s="296" t="s">
        <v>204</v>
      </c>
      <c r="C169" s="277"/>
      <c r="D169" s="277"/>
      <c r="E169" s="277"/>
      <c r="F169" s="277"/>
      <c r="G169" s="277"/>
      <c r="H169" s="277"/>
      <c r="I169" s="277"/>
      <c r="J169" s="277"/>
      <c r="K169" s="277"/>
      <c r="L169" s="277"/>
      <c r="M169" s="277"/>
      <c r="N169" s="277"/>
      <c r="O169" s="277"/>
      <c r="P169" s="277"/>
      <c r="Q169" s="277"/>
      <c r="R169" s="302"/>
      <c r="S169" s="252"/>
      <c r="T169" s="247"/>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c r="BT169" s="248"/>
      <c r="BU169" s="248"/>
      <c r="BV169" s="248"/>
      <c r="BW169" s="248"/>
      <c r="BX169" s="248"/>
      <c r="BY169" s="248"/>
      <c r="BZ169" s="248"/>
      <c r="CA169" s="248"/>
      <c r="CB169" s="248"/>
      <c r="CC169" s="248"/>
      <c r="CD169" s="248"/>
      <c r="CE169" s="248"/>
      <c r="CF169" s="248"/>
      <c r="CG169" s="248"/>
      <c r="CH169" s="248"/>
      <c r="CI169" s="248"/>
      <c r="CJ169" s="248"/>
      <c r="CK169" s="248"/>
      <c r="CL169" s="248"/>
      <c r="CM169" s="248"/>
      <c r="CN169" s="248"/>
      <c r="CO169" s="248"/>
      <c r="CP169" s="248"/>
      <c r="CQ169" s="248"/>
      <c r="CR169" s="248"/>
      <c r="CS169" s="248"/>
      <c r="CT169" s="248"/>
      <c r="CU169" s="248"/>
      <c r="CV169" s="248"/>
      <c r="CW169" s="248"/>
      <c r="CX169" s="248"/>
      <c r="CY169" s="248"/>
      <c r="CZ169" s="248"/>
      <c r="DA169" s="248"/>
      <c r="DB169" s="248"/>
      <c r="DC169" s="248"/>
      <c r="DD169" s="248"/>
      <c r="DE169" s="248"/>
      <c r="DF169" s="248"/>
      <c r="DG169" s="248"/>
      <c r="DH169" s="248"/>
      <c r="DI169" s="248"/>
      <c r="DJ169" s="248"/>
      <c r="DK169" s="248"/>
      <c r="DL169" s="248"/>
      <c r="DM169" s="248"/>
      <c r="DN169" s="248"/>
      <c r="DO169" s="248"/>
      <c r="DP169" s="248"/>
      <c r="DQ169" s="248"/>
      <c r="DR169" s="248"/>
      <c r="DS169" s="248"/>
      <c r="DT169" s="248"/>
      <c r="DU169" s="248"/>
      <c r="DV169" s="248"/>
      <c r="DW169" s="248"/>
      <c r="DX169" s="248"/>
      <c r="DY169" s="248"/>
      <c r="DZ169" s="248"/>
      <c r="EA169" s="248"/>
      <c r="EB169" s="248"/>
      <c r="EC169" s="248"/>
      <c r="ED169" s="248"/>
      <c r="EE169" s="248"/>
      <c r="EF169" s="248"/>
      <c r="EG169" s="248"/>
      <c r="EH169" s="248"/>
      <c r="EI169" s="248"/>
      <c r="EJ169" s="248"/>
      <c r="EK169" s="248"/>
      <c r="EL169" s="248"/>
      <c r="EM169" s="248"/>
      <c r="EN169" s="248"/>
      <c r="EO169" s="248"/>
      <c r="EP169" s="248"/>
      <c r="EQ169" s="248"/>
      <c r="ER169" s="248"/>
      <c r="ES169" s="248"/>
      <c r="ET169" s="248"/>
      <c r="EU169" s="248"/>
      <c r="EV169" s="248"/>
      <c r="EW169" s="248"/>
      <c r="EX169" s="248"/>
      <c r="EY169" s="248"/>
      <c r="EZ169" s="248"/>
      <c r="FA169" s="248"/>
      <c r="FB169" s="248"/>
      <c r="FC169" s="248"/>
      <c r="FD169" s="248"/>
      <c r="FE169" s="248"/>
      <c r="FF169" s="248"/>
      <c r="FG169" s="248"/>
      <c r="FH169" s="248"/>
      <c r="FI169" s="248"/>
      <c r="FJ169" s="248"/>
      <c r="FK169" s="248"/>
      <c r="FL169" s="248"/>
      <c r="FM169" s="248"/>
      <c r="FN169" s="248"/>
      <c r="FO169" s="248"/>
      <c r="FP169" s="248"/>
      <c r="FQ169" s="248"/>
      <c r="FR169" s="248"/>
      <c r="FS169" s="248"/>
      <c r="FT169" s="248"/>
      <c r="FU169" s="248"/>
      <c r="FV169" s="248"/>
      <c r="FW169" s="248"/>
      <c r="FX169" s="248"/>
      <c r="FY169" s="248"/>
      <c r="FZ169" s="248"/>
      <c r="GA169" s="248"/>
      <c r="GB169" s="248"/>
      <c r="GC169" s="248"/>
      <c r="GD169" s="248"/>
      <c r="GE169" s="248"/>
      <c r="GF169" s="248"/>
      <c r="GG169" s="248"/>
      <c r="GH169" s="248"/>
      <c r="GI169" s="248"/>
      <c r="GJ169" s="248"/>
      <c r="GK169" s="248"/>
      <c r="GL169" s="248"/>
      <c r="GM169" s="248"/>
      <c r="GN169" s="248"/>
      <c r="GO169" s="248"/>
      <c r="GP169" s="248"/>
      <c r="GQ169" s="248"/>
      <c r="GR169" s="248"/>
      <c r="GS169" s="248"/>
      <c r="GT169" s="248"/>
      <c r="GU169" s="248"/>
      <c r="GV169" s="248"/>
      <c r="GW169" s="248"/>
      <c r="GX169" s="248"/>
      <c r="GY169" s="248"/>
      <c r="GZ169" s="248"/>
      <c r="HA169" s="248"/>
      <c r="HB169" s="248"/>
      <c r="HC169" s="248"/>
      <c r="HD169" s="248"/>
      <c r="HE169" s="248"/>
      <c r="HF169" s="248"/>
      <c r="HG169" s="248"/>
      <c r="HH169" s="248"/>
      <c r="HI169" s="248"/>
      <c r="HJ169" s="248"/>
      <c r="HK169" s="248"/>
      <c r="HL169" s="248"/>
      <c r="HM169" s="248"/>
      <c r="HN169" s="248"/>
      <c r="HO169" s="248"/>
      <c r="HP169" s="248"/>
      <c r="HQ169" s="248"/>
      <c r="HR169" s="248"/>
      <c r="HS169" s="248"/>
      <c r="HT169" s="248"/>
      <c r="HU169" s="248"/>
      <c r="HV169" s="248"/>
      <c r="HW169" s="248"/>
      <c r="HX169" s="248"/>
      <c r="HY169" s="248"/>
      <c r="HZ169" s="248"/>
      <c r="IA169" s="248"/>
      <c r="IB169" s="248"/>
      <c r="IC169" s="248"/>
      <c r="ID169" s="248"/>
      <c r="IE169" s="248"/>
      <c r="IF169" s="248"/>
      <c r="IG169" s="248"/>
      <c r="IH169" s="248"/>
      <c r="II169" s="248"/>
      <c r="IJ169" s="248"/>
      <c r="IK169" s="248"/>
      <c r="IL169" s="248"/>
      <c r="IM169" s="248"/>
      <c r="IN169" s="248"/>
      <c r="IO169" s="248"/>
      <c r="IP169" s="248"/>
      <c r="IQ169" s="248"/>
      <c r="IR169" s="248"/>
    </row>
    <row r="170" spans="1:252" s="416" customFormat="1" x14ac:dyDescent="0.3">
      <c r="A170" s="365"/>
      <c r="B170" s="358" t="s">
        <v>141</v>
      </c>
      <c r="C170" s="358"/>
      <c r="D170" s="358"/>
      <c r="E170" s="358"/>
      <c r="F170" s="358"/>
      <c r="G170" s="358"/>
      <c r="H170" s="358"/>
      <c r="I170" s="358"/>
      <c r="J170" s="358"/>
      <c r="K170" s="358"/>
      <c r="L170" s="358"/>
      <c r="M170" s="358"/>
      <c r="N170" s="358"/>
      <c r="O170" s="358"/>
      <c r="P170" s="358"/>
      <c r="Q170" s="358"/>
      <c r="R170" s="404">
        <f>+'Nov 18'!R173</f>
        <v>757</v>
      </c>
      <c r="S170" s="361"/>
      <c r="T170" s="348"/>
      <c r="U170" s="349"/>
      <c r="V170" s="349"/>
      <c r="W170" s="349"/>
      <c r="X170" s="349"/>
      <c r="Y170" s="349"/>
      <c r="Z170" s="349"/>
      <c r="AA170" s="349"/>
      <c r="AB170" s="349"/>
      <c r="AC170" s="349"/>
      <c r="AD170" s="349"/>
      <c r="AE170" s="349"/>
      <c r="AF170" s="349"/>
      <c r="AG170" s="349"/>
      <c r="AH170" s="349"/>
      <c r="AI170" s="349"/>
      <c r="AJ170" s="349"/>
      <c r="AK170" s="349"/>
      <c r="AL170" s="349"/>
      <c r="AM170" s="349"/>
      <c r="AN170" s="349"/>
      <c r="AO170" s="349"/>
      <c r="AP170" s="349"/>
      <c r="AQ170" s="349"/>
      <c r="AR170" s="349"/>
      <c r="AS170" s="349"/>
      <c r="AT170" s="349"/>
      <c r="AU170" s="349"/>
      <c r="AV170" s="349"/>
      <c r="AW170" s="349"/>
      <c r="AX170" s="349"/>
      <c r="AY170" s="349"/>
      <c r="AZ170" s="349"/>
      <c r="BA170" s="349"/>
      <c r="BB170" s="349"/>
      <c r="BC170" s="349"/>
      <c r="BD170" s="349"/>
      <c r="BE170" s="349"/>
      <c r="BF170" s="349"/>
      <c r="BG170" s="349"/>
      <c r="BH170" s="349"/>
      <c r="BI170" s="349"/>
      <c r="BJ170" s="349"/>
      <c r="BK170" s="349"/>
      <c r="BL170" s="349"/>
      <c r="BM170" s="349"/>
      <c r="BN170" s="349"/>
      <c r="BO170" s="349"/>
      <c r="BP170" s="349"/>
      <c r="BQ170" s="349"/>
      <c r="BR170" s="349"/>
      <c r="BS170" s="349"/>
      <c r="BT170" s="349"/>
      <c r="BU170" s="349"/>
      <c r="BV170" s="349"/>
      <c r="BW170" s="349"/>
      <c r="BX170" s="349"/>
      <c r="BY170" s="349"/>
      <c r="BZ170" s="349"/>
      <c r="CA170" s="349"/>
      <c r="CB170" s="349"/>
      <c r="CC170" s="349"/>
      <c r="CD170" s="349"/>
      <c r="CE170" s="349"/>
      <c r="CF170" s="349"/>
      <c r="CG170" s="349"/>
      <c r="CH170" s="349"/>
      <c r="CI170" s="349"/>
      <c r="CJ170" s="349"/>
      <c r="CK170" s="349"/>
      <c r="CL170" s="349"/>
      <c r="CM170" s="349"/>
      <c r="CN170" s="349"/>
      <c r="CO170" s="349"/>
      <c r="CP170" s="349"/>
      <c r="CQ170" s="349"/>
      <c r="CR170" s="349"/>
      <c r="CS170" s="349"/>
      <c r="CT170" s="349"/>
      <c r="CU170" s="349"/>
      <c r="CV170" s="349"/>
      <c r="CW170" s="349"/>
      <c r="CX170" s="349"/>
      <c r="CY170" s="349"/>
      <c r="CZ170" s="349"/>
      <c r="DA170" s="349"/>
      <c r="DB170" s="349"/>
      <c r="DC170" s="349"/>
      <c r="DD170" s="349"/>
      <c r="DE170" s="349"/>
      <c r="DF170" s="349"/>
      <c r="DG170" s="349"/>
      <c r="DH170" s="349"/>
      <c r="DI170" s="349"/>
      <c r="DJ170" s="349"/>
      <c r="DK170" s="349"/>
      <c r="DL170" s="349"/>
      <c r="DM170" s="349"/>
      <c r="DN170" s="349"/>
      <c r="DO170" s="349"/>
      <c r="DP170" s="349"/>
      <c r="DQ170" s="349"/>
      <c r="DR170" s="349"/>
      <c r="DS170" s="349"/>
      <c r="DT170" s="349"/>
      <c r="DU170" s="349"/>
      <c r="DV170" s="349"/>
      <c r="DW170" s="349"/>
      <c r="DX170" s="349"/>
      <c r="DY170" s="349"/>
      <c r="DZ170" s="349"/>
      <c r="EA170" s="349"/>
      <c r="EB170" s="349"/>
      <c r="EC170" s="349"/>
      <c r="ED170" s="349"/>
      <c r="EE170" s="349"/>
      <c r="EF170" s="349"/>
      <c r="EG170" s="349"/>
      <c r="EH170" s="349"/>
      <c r="EI170" s="349"/>
      <c r="EJ170" s="349"/>
      <c r="EK170" s="349"/>
      <c r="EL170" s="349"/>
      <c r="EM170" s="349"/>
      <c r="EN170" s="349"/>
      <c r="EO170" s="349"/>
      <c r="EP170" s="349"/>
      <c r="EQ170" s="349"/>
      <c r="ER170" s="349"/>
      <c r="ES170" s="349"/>
      <c r="ET170" s="349"/>
      <c r="EU170" s="349"/>
      <c r="EV170" s="349"/>
      <c r="EW170" s="349"/>
      <c r="EX170" s="349"/>
      <c r="EY170" s="349"/>
      <c r="EZ170" s="349"/>
      <c r="FA170" s="349"/>
      <c r="FB170" s="349"/>
      <c r="FC170" s="349"/>
      <c r="FD170" s="349"/>
      <c r="FE170" s="349"/>
      <c r="FF170" s="349"/>
      <c r="FG170" s="349"/>
      <c r="FH170" s="349"/>
      <c r="FI170" s="349"/>
      <c r="FJ170" s="349"/>
      <c r="FK170" s="349"/>
      <c r="FL170" s="349"/>
      <c r="FM170" s="349"/>
      <c r="FN170" s="349"/>
      <c r="FO170" s="349"/>
      <c r="FP170" s="349"/>
      <c r="FQ170" s="349"/>
      <c r="FR170" s="349"/>
      <c r="FS170" s="349"/>
      <c r="FT170" s="349"/>
      <c r="FU170" s="349"/>
      <c r="FV170" s="349"/>
      <c r="FW170" s="349"/>
      <c r="FX170" s="349"/>
      <c r="FY170" s="349"/>
      <c r="FZ170" s="349"/>
      <c r="GA170" s="349"/>
      <c r="GB170" s="349"/>
      <c r="GC170" s="349"/>
      <c r="GD170" s="349"/>
      <c r="GE170" s="349"/>
      <c r="GF170" s="349"/>
      <c r="GG170" s="349"/>
      <c r="GH170" s="349"/>
      <c r="GI170" s="349"/>
      <c r="GJ170" s="349"/>
      <c r="GK170" s="349"/>
      <c r="GL170" s="349"/>
      <c r="GM170" s="349"/>
      <c r="GN170" s="349"/>
      <c r="GO170" s="349"/>
      <c r="GP170" s="349"/>
      <c r="GQ170" s="349"/>
      <c r="GR170" s="349"/>
      <c r="GS170" s="349"/>
      <c r="GT170" s="349"/>
      <c r="GU170" s="349"/>
      <c r="GV170" s="349"/>
      <c r="GW170" s="349"/>
      <c r="GX170" s="349"/>
      <c r="GY170" s="349"/>
      <c r="GZ170" s="349"/>
      <c r="HA170" s="349"/>
      <c r="HB170" s="349"/>
      <c r="HC170" s="349"/>
      <c r="HD170" s="349"/>
      <c r="HE170" s="349"/>
      <c r="HF170" s="349"/>
      <c r="HG170" s="349"/>
      <c r="HH170" s="349"/>
      <c r="HI170" s="349"/>
      <c r="HJ170" s="349"/>
      <c r="HK170" s="349"/>
      <c r="HL170" s="349"/>
      <c r="HM170" s="349"/>
      <c r="HN170" s="349"/>
      <c r="HO170" s="349"/>
      <c r="HP170" s="349"/>
      <c r="HQ170" s="349"/>
      <c r="HR170" s="349"/>
      <c r="HS170" s="349"/>
      <c r="HT170" s="349"/>
      <c r="HU170" s="349"/>
      <c r="HV170" s="349"/>
      <c r="HW170" s="349"/>
      <c r="HX170" s="349"/>
      <c r="HY170" s="349"/>
      <c r="HZ170" s="349"/>
      <c r="IA170" s="349"/>
      <c r="IB170" s="349"/>
      <c r="IC170" s="349"/>
      <c r="ID170" s="349"/>
      <c r="IE170" s="349"/>
      <c r="IF170" s="349"/>
      <c r="IG170" s="349"/>
      <c r="IH170" s="349"/>
      <c r="II170" s="349"/>
      <c r="IJ170" s="349"/>
      <c r="IK170" s="349"/>
      <c r="IL170" s="349"/>
      <c r="IM170" s="349"/>
      <c r="IN170" s="349"/>
      <c r="IO170" s="349"/>
      <c r="IP170" s="349"/>
      <c r="IQ170" s="349"/>
      <c r="IR170" s="349"/>
    </row>
    <row r="171" spans="1:252" s="416" customFormat="1" x14ac:dyDescent="0.3">
      <c r="A171" s="365"/>
      <c r="B171" s="358" t="s">
        <v>288</v>
      </c>
      <c r="C171" s="358"/>
      <c r="D171" s="358"/>
      <c r="E171" s="358"/>
      <c r="F171" s="358"/>
      <c r="G171" s="358"/>
      <c r="H171" s="358"/>
      <c r="I171" s="358"/>
      <c r="J171" s="358"/>
      <c r="K171" s="358"/>
      <c r="L171" s="358"/>
      <c r="M171" s="358"/>
      <c r="N171" s="358"/>
      <c r="O171" s="358"/>
      <c r="P171" s="358"/>
      <c r="Q171" s="358"/>
      <c r="R171" s="404">
        <v>0</v>
      </c>
      <c r="S171" s="361"/>
      <c r="T171" s="348"/>
      <c r="U171" s="349"/>
      <c r="V171" s="349"/>
      <c r="W171" s="349"/>
      <c r="X171" s="349"/>
      <c r="Y171" s="349"/>
      <c r="Z171" s="349"/>
      <c r="AA171" s="349"/>
      <c r="AB171" s="349"/>
      <c r="AC171" s="349"/>
      <c r="AD171" s="349"/>
      <c r="AE171" s="349"/>
      <c r="AF171" s="349"/>
      <c r="AG171" s="349"/>
      <c r="AH171" s="349"/>
      <c r="AI171" s="349"/>
      <c r="AJ171" s="349"/>
      <c r="AK171" s="349"/>
      <c r="AL171" s="349"/>
      <c r="AM171" s="349"/>
      <c r="AN171" s="349"/>
      <c r="AO171" s="349"/>
      <c r="AP171" s="349"/>
      <c r="AQ171" s="349"/>
      <c r="AR171" s="349"/>
      <c r="AS171" s="349"/>
      <c r="AT171" s="349"/>
      <c r="AU171" s="349"/>
      <c r="AV171" s="349"/>
      <c r="AW171" s="349"/>
      <c r="AX171" s="349"/>
      <c r="AY171" s="349"/>
      <c r="AZ171" s="349"/>
      <c r="BA171" s="349"/>
      <c r="BB171" s="349"/>
      <c r="BC171" s="349"/>
      <c r="BD171" s="349"/>
      <c r="BE171" s="349"/>
      <c r="BF171" s="349"/>
      <c r="BG171" s="349"/>
      <c r="BH171" s="349"/>
      <c r="BI171" s="349"/>
      <c r="BJ171" s="349"/>
      <c r="BK171" s="349"/>
      <c r="BL171" s="349"/>
      <c r="BM171" s="349"/>
      <c r="BN171" s="349"/>
      <c r="BO171" s="349"/>
      <c r="BP171" s="349"/>
      <c r="BQ171" s="349"/>
      <c r="BR171" s="349"/>
      <c r="BS171" s="349"/>
      <c r="BT171" s="349"/>
      <c r="BU171" s="349"/>
      <c r="BV171" s="349"/>
      <c r="BW171" s="349"/>
      <c r="BX171" s="349"/>
      <c r="BY171" s="349"/>
      <c r="BZ171" s="349"/>
      <c r="CA171" s="349"/>
      <c r="CB171" s="349"/>
      <c r="CC171" s="349"/>
      <c r="CD171" s="349"/>
      <c r="CE171" s="349"/>
      <c r="CF171" s="349"/>
      <c r="CG171" s="349"/>
      <c r="CH171" s="349"/>
      <c r="CI171" s="349"/>
      <c r="CJ171" s="349"/>
      <c r="CK171" s="349"/>
      <c r="CL171" s="349"/>
      <c r="CM171" s="349"/>
      <c r="CN171" s="349"/>
      <c r="CO171" s="349"/>
      <c r="CP171" s="349"/>
      <c r="CQ171" s="349"/>
      <c r="CR171" s="349"/>
      <c r="CS171" s="349"/>
      <c r="CT171" s="349"/>
      <c r="CU171" s="349"/>
      <c r="CV171" s="349"/>
      <c r="CW171" s="349"/>
      <c r="CX171" s="349"/>
      <c r="CY171" s="349"/>
      <c r="CZ171" s="349"/>
      <c r="DA171" s="349"/>
      <c r="DB171" s="349"/>
      <c r="DC171" s="349"/>
      <c r="DD171" s="349"/>
      <c r="DE171" s="349"/>
      <c r="DF171" s="349"/>
      <c r="DG171" s="349"/>
      <c r="DH171" s="349"/>
      <c r="DI171" s="349"/>
      <c r="DJ171" s="349"/>
      <c r="DK171" s="349"/>
      <c r="DL171" s="349"/>
      <c r="DM171" s="349"/>
      <c r="DN171" s="349"/>
      <c r="DO171" s="349"/>
      <c r="DP171" s="349"/>
      <c r="DQ171" s="349"/>
      <c r="DR171" s="349"/>
      <c r="DS171" s="349"/>
      <c r="DT171" s="349"/>
      <c r="DU171" s="349"/>
      <c r="DV171" s="349"/>
      <c r="DW171" s="349"/>
      <c r="DX171" s="349"/>
      <c r="DY171" s="349"/>
      <c r="DZ171" s="349"/>
      <c r="EA171" s="349"/>
      <c r="EB171" s="349"/>
      <c r="EC171" s="349"/>
      <c r="ED171" s="349"/>
      <c r="EE171" s="349"/>
      <c r="EF171" s="349"/>
      <c r="EG171" s="349"/>
      <c r="EH171" s="349"/>
      <c r="EI171" s="349"/>
      <c r="EJ171" s="349"/>
      <c r="EK171" s="349"/>
      <c r="EL171" s="349"/>
      <c r="EM171" s="349"/>
      <c r="EN171" s="349"/>
      <c r="EO171" s="349"/>
      <c r="EP171" s="349"/>
      <c r="EQ171" s="349"/>
      <c r="ER171" s="349"/>
      <c r="ES171" s="349"/>
      <c r="ET171" s="349"/>
      <c r="EU171" s="349"/>
      <c r="EV171" s="349"/>
      <c r="EW171" s="349"/>
      <c r="EX171" s="349"/>
      <c r="EY171" s="349"/>
      <c r="EZ171" s="349"/>
      <c r="FA171" s="349"/>
      <c r="FB171" s="349"/>
      <c r="FC171" s="349"/>
      <c r="FD171" s="349"/>
      <c r="FE171" s="349"/>
      <c r="FF171" s="349"/>
      <c r="FG171" s="349"/>
      <c r="FH171" s="349"/>
      <c r="FI171" s="349"/>
      <c r="FJ171" s="349"/>
      <c r="FK171" s="349"/>
      <c r="FL171" s="349"/>
      <c r="FM171" s="349"/>
      <c r="FN171" s="349"/>
      <c r="FO171" s="349"/>
      <c r="FP171" s="349"/>
      <c r="FQ171" s="349"/>
      <c r="FR171" s="349"/>
      <c r="FS171" s="349"/>
      <c r="FT171" s="349"/>
      <c r="FU171" s="349"/>
      <c r="FV171" s="349"/>
      <c r="FW171" s="349"/>
      <c r="FX171" s="349"/>
      <c r="FY171" s="349"/>
      <c r="FZ171" s="349"/>
      <c r="GA171" s="349"/>
      <c r="GB171" s="349"/>
      <c r="GC171" s="349"/>
      <c r="GD171" s="349"/>
      <c r="GE171" s="349"/>
      <c r="GF171" s="349"/>
      <c r="GG171" s="349"/>
      <c r="GH171" s="349"/>
      <c r="GI171" s="349"/>
      <c r="GJ171" s="349"/>
      <c r="GK171" s="349"/>
      <c r="GL171" s="349"/>
      <c r="GM171" s="349"/>
      <c r="GN171" s="349"/>
      <c r="GO171" s="349"/>
      <c r="GP171" s="349"/>
      <c r="GQ171" s="349"/>
      <c r="GR171" s="349"/>
      <c r="GS171" s="349"/>
      <c r="GT171" s="349"/>
      <c r="GU171" s="349"/>
      <c r="GV171" s="349"/>
      <c r="GW171" s="349"/>
      <c r="GX171" s="349"/>
      <c r="GY171" s="349"/>
      <c r="GZ171" s="349"/>
      <c r="HA171" s="349"/>
      <c r="HB171" s="349"/>
      <c r="HC171" s="349"/>
      <c r="HD171" s="349"/>
      <c r="HE171" s="349"/>
      <c r="HF171" s="349"/>
      <c r="HG171" s="349"/>
      <c r="HH171" s="349"/>
      <c r="HI171" s="349"/>
      <c r="HJ171" s="349"/>
      <c r="HK171" s="349"/>
      <c r="HL171" s="349"/>
      <c r="HM171" s="349"/>
      <c r="HN171" s="349"/>
      <c r="HO171" s="349"/>
      <c r="HP171" s="349"/>
      <c r="HQ171" s="349"/>
      <c r="HR171" s="349"/>
      <c r="HS171" s="349"/>
      <c r="HT171" s="349"/>
      <c r="HU171" s="349"/>
      <c r="HV171" s="349"/>
      <c r="HW171" s="349"/>
      <c r="HX171" s="349"/>
      <c r="HY171" s="349"/>
      <c r="HZ171" s="349"/>
      <c r="IA171" s="349"/>
      <c r="IB171" s="349"/>
      <c r="IC171" s="349"/>
      <c r="ID171" s="349"/>
      <c r="IE171" s="349"/>
      <c r="IF171" s="349"/>
      <c r="IG171" s="349"/>
      <c r="IH171" s="349"/>
      <c r="II171" s="349"/>
      <c r="IJ171" s="349"/>
      <c r="IK171" s="349"/>
      <c r="IL171" s="349"/>
      <c r="IM171" s="349"/>
      <c r="IN171" s="349"/>
      <c r="IO171" s="349"/>
      <c r="IP171" s="349"/>
      <c r="IQ171" s="349"/>
      <c r="IR171" s="349"/>
    </row>
    <row r="172" spans="1:252" s="416" customFormat="1" x14ac:dyDescent="0.3">
      <c r="A172" s="365"/>
      <c r="B172" s="358" t="s">
        <v>144</v>
      </c>
      <c r="C172" s="358"/>
      <c r="D172" s="358"/>
      <c r="E172" s="358"/>
      <c r="F172" s="358"/>
      <c r="G172" s="358"/>
      <c r="H172" s="358"/>
      <c r="I172" s="358"/>
      <c r="J172" s="358"/>
      <c r="K172" s="358"/>
      <c r="L172" s="358"/>
      <c r="M172" s="358"/>
      <c r="N172" s="358"/>
      <c r="O172" s="358"/>
      <c r="P172" s="358"/>
      <c r="Q172" s="358"/>
      <c r="R172" s="404">
        <f>+R92</f>
        <v>111</v>
      </c>
      <c r="S172" s="361"/>
      <c r="T172" s="348"/>
      <c r="U172" s="349"/>
      <c r="V172" s="349"/>
      <c r="W172" s="349"/>
      <c r="X172" s="349"/>
      <c r="Y172" s="349"/>
      <c r="Z172" s="349"/>
      <c r="AA172" s="349"/>
      <c r="AB172" s="349"/>
      <c r="AC172" s="349"/>
      <c r="AD172" s="349"/>
      <c r="AE172" s="349"/>
      <c r="AF172" s="349"/>
      <c r="AG172" s="349"/>
      <c r="AH172" s="349"/>
      <c r="AI172" s="349"/>
      <c r="AJ172" s="349"/>
      <c r="AK172" s="349"/>
      <c r="AL172" s="349"/>
      <c r="AM172" s="349"/>
      <c r="AN172" s="349"/>
      <c r="AO172" s="349"/>
      <c r="AP172" s="349"/>
      <c r="AQ172" s="349"/>
      <c r="AR172" s="349"/>
      <c r="AS172" s="349"/>
      <c r="AT172" s="349"/>
      <c r="AU172" s="349"/>
      <c r="AV172" s="349"/>
      <c r="AW172" s="349"/>
      <c r="AX172" s="349"/>
      <c r="AY172" s="349"/>
      <c r="AZ172" s="349"/>
      <c r="BA172" s="349"/>
      <c r="BB172" s="349"/>
      <c r="BC172" s="349"/>
      <c r="BD172" s="349"/>
      <c r="BE172" s="349"/>
      <c r="BF172" s="349"/>
      <c r="BG172" s="349"/>
      <c r="BH172" s="349"/>
      <c r="BI172" s="349"/>
      <c r="BJ172" s="349"/>
      <c r="BK172" s="349"/>
      <c r="BL172" s="349"/>
      <c r="BM172" s="349"/>
      <c r="BN172" s="349"/>
      <c r="BO172" s="349"/>
      <c r="BP172" s="349"/>
      <c r="BQ172" s="349"/>
      <c r="BR172" s="349"/>
      <c r="BS172" s="349"/>
      <c r="BT172" s="349"/>
      <c r="BU172" s="349"/>
      <c r="BV172" s="349"/>
      <c r="BW172" s="349"/>
      <c r="BX172" s="349"/>
      <c r="BY172" s="349"/>
      <c r="BZ172" s="349"/>
      <c r="CA172" s="349"/>
      <c r="CB172" s="349"/>
      <c r="CC172" s="349"/>
      <c r="CD172" s="349"/>
      <c r="CE172" s="349"/>
      <c r="CF172" s="349"/>
      <c r="CG172" s="349"/>
      <c r="CH172" s="349"/>
      <c r="CI172" s="349"/>
      <c r="CJ172" s="349"/>
      <c r="CK172" s="349"/>
      <c r="CL172" s="349"/>
      <c r="CM172" s="349"/>
      <c r="CN172" s="349"/>
      <c r="CO172" s="349"/>
      <c r="CP172" s="349"/>
      <c r="CQ172" s="349"/>
      <c r="CR172" s="349"/>
      <c r="CS172" s="349"/>
      <c r="CT172" s="349"/>
      <c r="CU172" s="349"/>
      <c r="CV172" s="349"/>
      <c r="CW172" s="349"/>
      <c r="CX172" s="349"/>
      <c r="CY172" s="349"/>
      <c r="CZ172" s="349"/>
      <c r="DA172" s="349"/>
      <c r="DB172" s="349"/>
      <c r="DC172" s="349"/>
      <c r="DD172" s="349"/>
      <c r="DE172" s="349"/>
      <c r="DF172" s="349"/>
      <c r="DG172" s="349"/>
      <c r="DH172" s="349"/>
      <c r="DI172" s="349"/>
      <c r="DJ172" s="349"/>
      <c r="DK172" s="349"/>
      <c r="DL172" s="349"/>
      <c r="DM172" s="349"/>
      <c r="DN172" s="349"/>
      <c r="DO172" s="349"/>
      <c r="DP172" s="349"/>
      <c r="DQ172" s="349"/>
      <c r="DR172" s="349"/>
      <c r="DS172" s="349"/>
      <c r="DT172" s="349"/>
      <c r="DU172" s="349"/>
      <c r="DV172" s="349"/>
      <c r="DW172" s="349"/>
      <c r="DX172" s="349"/>
      <c r="DY172" s="349"/>
      <c r="DZ172" s="349"/>
      <c r="EA172" s="349"/>
      <c r="EB172" s="349"/>
      <c r="EC172" s="349"/>
      <c r="ED172" s="349"/>
      <c r="EE172" s="349"/>
      <c r="EF172" s="349"/>
      <c r="EG172" s="349"/>
      <c r="EH172" s="349"/>
      <c r="EI172" s="349"/>
      <c r="EJ172" s="349"/>
      <c r="EK172" s="349"/>
      <c r="EL172" s="349"/>
      <c r="EM172" s="349"/>
      <c r="EN172" s="349"/>
      <c r="EO172" s="349"/>
      <c r="EP172" s="349"/>
      <c r="EQ172" s="349"/>
      <c r="ER172" s="349"/>
      <c r="ES172" s="349"/>
      <c r="ET172" s="349"/>
      <c r="EU172" s="349"/>
      <c r="EV172" s="349"/>
      <c r="EW172" s="349"/>
      <c r="EX172" s="349"/>
      <c r="EY172" s="349"/>
      <c r="EZ172" s="349"/>
      <c r="FA172" s="349"/>
      <c r="FB172" s="349"/>
      <c r="FC172" s="349"/>
      <c r="FD172" s="349"/>
      <c r="FE172" s="349"/>
      <c r="FF172" s="349"/>
      <c r="FG172" s="349"/>
      <c r="FH172" s="349"/>
      <c r="FI172" s="349"/>
      <c r="FJ172" s="349"/>
      <c r="FK172" s="349"/>
      <c r="FL172" s="349"/>
      <c r="FM172" s="349"/>
      <c r="FN172" s="349"/>
      <c r="FO172" s="349"/>
      <c r="FP172" s="349"/>
      <c r="FQ172" s="349"/>
      <c r="FR172" s="349"/>
      <c r="FS172" s="349"/>
      <c r="FT172" s="349"/>
      <c r="FU172" s="349"/>
      <c r="FV172" s="349"/>
      <c r="FW172" s="349"/>
      <c r="FX172" s="349"/>
      <c r="FY172" s="349"/>
      <c r="FZ172" s="349"/>
      <c r="GA172" s="349"/>
      <c r="GB172" s="349"/>
      <c r="GC172" s="349"/>
      <c r="GD172" s="349"/>
      <c r="GE172" s="349"/>
      <c r="GF172" s="349"/>
      <c r="GG172" s="349"/>
      <c r="GH172" s="349"/>
      <c r="GI172" s="349"/>
      <c r="GJ172" s="349"/>
      <c r="GK172" s="349"/>
      <c r="GL172" s="349"/>
      <c r="GM172" s="349"/>
      <c r="GN172" s="349"/>
      <c r="GO172" s="349"/>
      <c r="GP172" s="349"/>
      <c r="GQ172" s="349"/>
      <c r="GR172" s="349"/>
      <c r="GS172" s="349"/>
      <c r="GT172" s="349"/>
      <c r="GU172" s="349"/>
      <c r="GV172" s="349"/>
      <c r="GW172" s="349"/>
      <c r="GX172" s="349"/>
      <c r="GY172" s="349"/>
      <c r="GZ172" s="349"/>
      <c r="HA172" s="349"/>
      <c r="HB172" s="349"/>
      <c r="HC172" s="349"/>
      <c r="HD172" s="349"/>
      <c r="HE172" s="349"/>
      <c r="HF172" s="349"/>
      <c r="HG172" s="349"/>
      <c r="HH172" s="349"/>
      <c r="HI172" s="349"/>
      <c r="HJ172" s="349"/>
      <c r="HK172" s="349"/>
      <c r="HL172" s="349"/>
      <c r="HM172" s="349"/>
      <c r="HN172" s="349"/>
      <c r="HO172" s="349"/>
      <c r="HP172" s="349"/>
      <c r="HQ172" s="349"/>
      <c r="HR172" s="349"/>
      <c r="HS172" s="349"/>
      <c r="HT172" s="349"/>
      <c r="HU172" s="349"/>
      <c r="HV172" s="349"/>
      <c r="HW172" s="349"/>
      <c r="HX172" s="349"/>
      <c r="HY172" s="349"/>
      <c r="HZ172" s="349"/>
      <c r="IA172" s="349"/>
      <c r="IB172" s="349"/>
      <c r="IC172" s="349"/>
      <c r="ID172" s="349"/>
      <c r="IE172" s="349"/>
      <c r="IF172" s="349"/>
      <c r="IG172" s="349"/>
      <c r="IH172" s="349"/>
      <c r="II172" s="349"/>
      <c r="IJ172" s="349"/>
      <c r="IK172" s="349"/>
      <c r="IL172" s="349"/>
      <c r="IM172" s="349"/>
      <c r="IN172" s="349"/>
      <c r="IO172" s="349"/>
      <c r="IP172" s="349"/>
      <c r="IQ172" s="349"/>
      <c r="IR172" s="349"/>
    </row>
    <row r="173" spans="1:252" s="416" customFormat="1" x14ac:dyDescent="0.3">
      <c r="A173" s="365"/>
      <c r="B173" s="358" t="s">
        <v>142</v>
      </c>
      <c r="C173" s="358"/>
      <c r="D173" s="358"/>
      <c r="E173" s="358"/>
      <c r="F173" s="358"/>
      <c r="G173" s="358"/>
      <c r="H173" s="358"/>
      <c r="I173" s="358"/>
      <c r="J173" s="358"/>
      <c r="K173" s="358"/>
      <c r="L173" s="358"/>
      <c r="M173" s="358"/>
      <c r="N173" s="358"/>
      <c r="O173" s="358"/>
      <c r="P173" s="358"/>
      <c r="Q173" s="358"/>
      <c r="R173" s="404">
        <f>R170+R171-R172</f>
        <v>646</v>
      </c>
      <c r="S173" s="361"/>
      <c r="T173" s="348"/>
      <c r="U173" s="349"/>
      <c r="V173" s="349"/>
      <c r="W173" s="349"/>
      <c r="X173" s="349"/>
      <c r="Y173" s="349"/>
      <c r="Z173" s="349"/>
      <c r="AA173" s="349"/>
      <c r="AB173" s="349"/>
      <c r="AC173" s="349"/>
      <c r="AD173" s="349"/>
      <c r="AE173" s="349"/>
      <c r="AF173" s="349"/>
      <c r="AG173" s="349"/>
      <c r="AH173" s="349"/>
      <c r="AI173" s="349"/>
      <c r="AJ173" s="349"/>
      <c r="AK173" s="349"/>
      <c r="AL173" s="349"/>
      <c r="AM173" s="349"/>
      <c r="AN173" s="349"/>
      <c r="AO173" s="349"/>
      <c r="AP173" s="349"/>
      <c r="AQ173" s="349"/>
      <c r="AR173" s="349"/>
      <c r="AS173" s="349"/>
      <c r="AT173" s="349"/>
      <c r="AU173" s="349"/>
      <c r="AV173" s="349"/>
      <c r="AW173" s="349"/>
      <c r="AX173" s="349"/>
      <c r="AY173" s="349"/>
      <c r="AZ173" s="349"/>
      <c r="BA173" s="349"/>
      <c r="BB173" s="349"/>
      <c r="BC173" s="349"/>
      <c r="BD173" s="349"/>
      <c r="BE173" s="349"/>
      <c r="BF173" s="349"/>
      <c r="BG173" s="349"/>
      <c r="BH173" s="349"/>
      <c r="BI173" s="349"/>
      <c r="BJ173" s="349"/>
      <c r="BK173" s="349"/>
      <c r="BL173" s="349"/>
      <c r="BM173" s="349"/>
      <c r="BN173" s="349"/>
      <c r="BO173" s="349"/>
      <c r="BP173" s="349"/>
      <c r="BQ173" s="349"/>
      <c r="BR173" s="349"/>
      <c r="BS173" s="349"/>
      <c r="BT173" s="349"/>
      <c r="BU173" s="349"/>
      <c r="BV173" s="349"/>
      <c r="BW173" s="349"/>
      <c r="BX173" s="349"/>
      <c r="BY173" s="349"/>
      <c r="BZ173" s="349"/>
      <c r="CA173" s="349"/>
      <c r="CB173" s="349"/>
      <c r="CC173" s="349"/>
      <c r="CD173" s="349"/>
      <c r="CE173" s="349"/>
      <c r="CF173" s="349"/>
      <c r="CG173" s="349"/>
      <c r="CH173" s="349"/>
      <c r="CI173" s="349"/>
      <c r="CJ173" s="349"/>
      <c r="CK173" s="349"/>
      <c r="CL173" s="349"/>
      <c r="CM173" s="349"/>
      <c r="CN173" s="349"/>
      <c r="CO173" s="349"/>
      <c r="CP173" s="349"/>
      <c r="CQ173" s="349"/>
      <c r="CR173" s="349"/>
      <c r="CS173" s="349"/>
      <c r="CT173" s="349"/>
      <c r="CU173" s="349"/>
      <c r="CV173" s="349"/>
      <c r="CW173" s="349"/>
      <c r="CX173" s="349"/>
      <c r="CY173" s="349"/>
      <c r="CZ173" s="349"/>
      <c r="DA173" s="349"/>
      <c r="DB173" s="349"/>
      <c r="DC173" s="349"/>
      <c r="DD173" s="349"/>
      <c r="DE173" s="349"/>
      <c r="DF173" s="349"/>
      <c r="DG173" s="349"/>
      <c r="DH173" s="349"/>
      <c r="DI173" s="349"/>
      <c r="DJ173" s="349"/>
      <c r="DK173" s="349"/>
      <c r="DL173" s="349"/>
      <c r="DM173" s="349"/>
      <c r="DN173" s="349"/>
      <c r="DO173" s="349"/>
      <c r="DP173" s="349"/>
      <c r="DQ173" s="349"/>
      <c r="DR173" s="349"/>
      <c r="DS173" s="349"/>
      <c r="DT173" s="349"/>
      <c r="DU173" s="349"/>
      <c r="DV173" s="349"/>
      <c r="DW173" s="349"/>
      <c r="DX173" s="349"/>
      <c r="DY173" s="349"/>
      <c r="DZ173" s="349"/>
      <c r="EA173" s="349"/>
      <c r="EB173" s="349"/>
      <c r="EC173" s="349"/>
      <c r="ED173" s="349"/>
      <c r="EE173" s="349"/>
      <c r="EF173" s="349"/>
      <c r="EG173" s="349"/>
      <c r="EH173" s="349"/>
      <c r="EI173" s="349"/>
      <c r="EJ173" s="349"/>
      <c r="EK173" s="349"/>
      <c r="EL173" s="349"/>
      <c r="EM173" s="349"/>
      <c r="EN173" s="349"/>
      <c r="EO173" s="349"/>
      <c r="EP173" s="349"/>
      <c r="EQ173" s="349"/>
      <c r="ER173" s="349"/>
      <c r="ES173" s="349"/>
      <c r="ET173" s="349"/>
      <c r="EU173" s="349"/>
      <c r="EV173" s="349"/>
      <c r="EW173" s="349"/>
      <c r="EX173" s="349"/>
      <c r="EY173" s="349"/>
      <c r="EZ173" s="349"/>
      <c r="FA173" s="349"/>
      <c r="FB173" s="349"/>
      <c r="FC173" s="349"/>
      <c r="FD173" s="349"/>
      <c r="FE173" s="349"/>
      <c r="FF173" s="349"/>
      <c r="FG173" s="349"/>
      <c r="FH173" s="349"/>
      <c r="FI173" s="349"/>
      <c r="FJ173" s="349"/>
      <c r="FK173" s="349"/>
      <c r="FL173" s="349"/>
      <c r="FM173" s="349"/>
      <c r="FN173" s="349"/>
      <c r="FO173" s="349"/>
      <c r="FP173" s="349"/>
      <c r="FQ173" s="349"/>
      <c r="FR173" s="349"/>
      <c r="FS173" s="349"/>
      <c r="FT173" s="349"/>
      <c r="FU173" s="349"/>
      <c r="FV173" s="349"/>
      <c r="FW173" s="349"/>
      <c r="FX173" s="349"/>
      <c r="FY173" s="349"/>
      <c r="FZ173" s="349"/>
      <c r="GA173" s="349"/>
      <c r="GB173" s="349"/>
      <c r="GC173" s="349"/>
      <c r="GD173" s="349"/>
      <c r="GE173" s="349"/>
      <c r="GF173" s="349"/>
      <c r="GG173" s="349"/>
      <c r="GH173" s="349"/>
      <c r="GI173" s="349"/>
      <c r="GJ173" s="349"/>
      <c r="GK173" s="349"/>
      <c r="GL173" s="349"/>
      <c r="GM173" s="349"/>
      <c r="GN173" s="349"/>
      <c r="GO173" s="349"/>
      <c r="GP173" s="349"/>
      <c r="GQ173" s="349"/>
      <c r="GR173" s="349"/>
      <c r="GS173" s="349"/>
      <c r="GT173" s="349"/>
      <c r="GU173" s="349"/>
      <c r="GV173" s="349"/>
      <c r="GW173" s="349"/>
      <c r="GX173" s="349"/>
      <c r="GY173" s="349"/>
      <c r="GZ173" s="349"/>
      <c r="HA173" s="349"/>
      <c r="HB173" s="349"/>
      <c r="HC173" s="349"/>
      <c r="HD173" s="349"/>
      <c r="HE173" s="349"/>
      <c r="HF173" s="349"/>
      <c r="HG173" s="349"/>
      <c r="HH173" s="349"/>
      <c r="HI173" s="349"/>
      <c r="HJ173" s="349"/>
      <c r="HK173" s="349"/>
      <c r="HL173" s="349"/>
      <c r="HM173" s="349"/>
      <c r="HN173" s="349"/>
      <c r="HO173" s="349"/>
      <c r="HP173" s="349"/>
      <c r="HQ173" s="349"/>
      <c r="HR173" s="349"/>
      <c r="HS173" s="349"/>
      <c r="HT173" s="349"/>
      <c r="HU173" s="349"/>
      <c r="HV173" s="349"/>
      <c r="HW173" s="349"/>
      <c r="HX173" s="349"/>
      <c r="HY173" s="349"/>
      <c r="HZ173" s="349"/>
      <c r="IA173" s="349"/>
      <c r="IB173" s="349"/>
      <c r="IC173" s="349"/>
      <c r="ID173" s="349"/>
      <c r="IE173" s="349"/>
      <c r="IF173" s="349"/>
      <c r="IG173" s="349"/>
      <c r="IH173" s="349"/>
      <c r="II173" s="349"/>
      <c r="IJ173" s="349"/>
      <c r="IK173" s="349"/>
      <c r="IL173" s="349"/>
      <c r="IM173" s="349"/>
      <c r="IN173" s="349"/>
      <c r="IO173" s="349"/>
      <c r="IP173" s="349"/>
      <c r="IQ173" s="349"/>
      <c r="IR173" s="349"/>
    </row>
    <row r="174" spans="1:252" s="304" customFormat="1" ht="16.2" thickBot="1" x14ac:dyDescent="0.35">
      <c r="A174" s="278"/>
      <c r="B174" s="277"/>
      <c r="C174" s="277"/>
      <c r="D174" s="277"/>
      <c r="E174" s="277"/>
      <c r="F174" s="277"/>
      <c r="G174" s="277"/>
      <c r="H174" s="277"/>
      <c r="I174" s="277"/>
      <c r="J174" s="277"/>
      <c r="K174" s="277"/>
      <c r="L174" s="277"/>
      <c r="M174" s="277"/>
      <c r="N174" s="277"/>
      <c r="O174" s="277"/>
      <c r="P174" s="277"/>
      <c r="Q174" s="277"/>
      <c r="R174" s="297"/>
      <c r="S174" s="252"/>
      <c r="T174" s="247"/>
      <c r="U174" s="248"/>
      <c r="V174" s="248"/>
      <c r="W174" s="248"/>
      <c r="X174" s="248"/>
      <c r="Y174" s="248"/>
      <c r="Z174" s="248"/>
      <c r="AA174" s="248"/>
      <c r="AB174" s="248"/>
      <c r="AC174" s="248"/>
      <c r="AD174" s="248"/>
      <c r="AE174" s="248"/>
      <c r="AF174" s="248"/>
      <c r="AG174" s="248"/>
      <c r="AH174" s="248"/>
      <c r="AI174" s="248"/>
      <c r="AJ174" s="248"/>
      <c r="AK174" s="248"/>
      <c r="AL174" s="248"/>
      <c r="AM174" s="248"/>
      <c r="AN174" s="248"/>
      <c r="AO174" s="248"/>
      <c r="AP174" s="248"/>
      <c r="AQ174" s="248"/>
      <c r="AR174" s="248"/>
      <c r="AS174" s="248"/>
      <c r="AT174" s="248"/>
      <c r="AU174" s="248"/>
      <c r="AV174" s="248"/>
      <c r="AW174" s="248"/>
      <c r="AX174" s="248"/>
      <c r="AY174" s="248"/>
      <c r="AZ174" s="248"/>
      <c r="BA174" s="248"/>
      <c r="BB174" s="248"/>
      <c r="BC174" s="248"/>
      <c r="BD174" s="248"/>
      <c r="BE174" s="248"/>
      <c r="BF174" s="248"/>
      <c r="BG174" s="248"/>
      <c r="BH174" s="248"/>
      <c r="BI174" s="248"/>
      <c r="BJ174" s="248"/>
      <c r="BK174" s="248"/>
      <c r="BL174" s="248"/>
      <c r="BM174" s="248"/>
      <c r="BN174" s="248"/>
      <c r="BO174" s="248"/>
      <c r="BP174" s="248"/>
      <c r="BQ174" s="248"/>
      <c r="BR174" s="248"/>
      <c r="BS174" s="248"/>
      <c r="BT174" s="248"/>
      <c r="BU174" s="248"/>
      <c r="BV174" s="248"/>
      <c r="BW174" s="248"/>
      <c r="BX174" s="248"/>
      <c r="BY174" s="248"/>
      <c r="BZ174" s="248"/>
      <c r="CA174" s="248"/>
      <c r="CB174" s="248"/>
      <c r="CC174" s="248"/>
      <c r="CD174" s="248"/>
      <c r="CE174" s="248"/>
      <c r="CF174" s="248"/>
      <c r="CG174" s="248"/>
      <c r="CH174" s="248"/>
      <c r="CI174" s="248"/>
      <c r="CJ174" s="248"/>
      <c r="CK174" s="248"/>
      <c r="CL174" s="248"/>
      <c r="CM174" s="248"/>
      <c r="CN174" s="248"/>
      <c r="CO174" s="248"/>
      <c r="CP174" s="248"/>
      <c r="CQ174" s="248"/>
      <c r="CR174" s="248"/>
      <c r="CS174" s="248"/>
      <c r="CT174" s="248"/>
      <c r="CU174" s="248"/>
      <c r="CV174" s="248"/>
      <c r="CW174" s="248"/>
      <c r="CX174" s="248"/>
      <c r="CY174" s="248"/>
      <c r="CZ174" s="248"/>
      <c r="DA174" s="248"/>
      <c r="DB174" s="248"/>
      <c r="DC174" s="248"/>
      <c r="DD174" s="248"/>
      <c r="DE174" s="248"/>
      <c r="DF174" s="248"/>
      <c r="DG174" s="248"/>
      <c r="DH174" s="248"/>
      <c r="DI174" s="248"/>
      <c r="DJ174" s="248"/>
      <c r="DK174" s="248"/>
      <c r="DL174" s="248"/>
      <c r="DM174" s="248"/>
      <c r="DN174" s="248"/>
      <c r="DO174" s="248"/>
      <c r="DP174" s="248"/>
      <c r="DQ174" s="248"/>
      <c r="DR174" s="248"/>
      <c r="DS174" s="248"/>
      <c r="DT174" s="248"/>
      <c r="DU174" s="248"/>
      <c r="DV174" s="248"/>
      <c r="DW174" s="248"/>
      <c r="DX174" s="248"/>
      <c r="DY174" s="248"/>
      <c r="DZ174" s="248"/>
      <c r="EA174" s="248"/>
      <c r="EB174" s="248"/>
      <c r="EC174" s="248"/>
      <c r="ED174" s="248"/>
      <c r="EE174" s="248"/>
      <c r="EF174" s="248"/>
      <c r="EG174" s="248"/>
      <c r="EH174" s="248"/>
      <c r="EI174" s="248"/>
      <c r="EJ174" s="248"/>
      <c r="EK174" s="248"/>
      <c r="EL174" s="248"/>
      <c r="EM174" s="248"/>
      <c r="EN174" s="248"/>
      <c r="EO174" s="248"/>
      <c r="EP174" s="248"/>
      <c r="EQ174" s="248"/>
      <c r="ER174" s="248"/>
      <c r="ES174" s="248"/>
      <c r="ET174" s="248"/>
      <c r="EU174" s="248"/>
      <c r="EV174" s="248"/>
      <c r="EW174" s="248"/>
      <c r="EX174" s="248"/>
      <c r="EY174" s="248"/>
      <c r="EZ174" s="248"/>
      <c r="FA174" s="248"/>
      <c r="FB174" s="248"/>
      <c r="FC174" s="248"/>
      <c r="FD174" s="248"/>
      <c r="FE174" s="248"/>
      <c r="FF174" s="248"/>
      <c r="FG174" s="248"/>
      <c r="FH174" s="248"/>
      <c r="FI174" s="248"/>
      <c r="FJ174" s="248"/>
      <c r="FK174" s="248"/>
      <c r="FL174" s="248"/>
      <c r="FM174" s="248"/>
      <c r="FN174" s="248"/>
      <c r="FO174" s="248"/>
      <c r="FP174" s="248"/>
      <c r="FQ174" s="248"/>
      <c r="FR174" s="248"/>
      <c r="FS174" s="248"/>
      <c r="FT174" s="248"/>
      <c r="FU174" s="248"/>
      <c r="FV174" s="248"/>
      <c r="FW174" s="248"/>
      <c r="FX174" s="248"/>
      <c r="FY174" s="248"/>
      <c r="FZ174" s="248"/>
      <c r="GA174" s="248"/>
      <c r="GB174" s="248"/>
      <c r="GC174" s="248"/>
      <c r="GD174" s="248"/>
      <c r="GE174" s="248"/>
      <c r="GF174" s="248"/>
      <c r="GG174" s="248"/>
      <c r="GH174" s="248"/>
      <c r="GI174" s="248"/>
      <c r="GJ174" s="248"/>
      <c r="GK174" s="248"/>
      <c r="GL174" s="248"/>
      <c r="GM174" s="248"/>
      <c r="GN174" s="248"/>
      <c r="GO174" s="248"/>
      <c r="GP174" s="248"/>
      <c r="GQ174" s="248"/>
      <c r="GR174" s="248"/>
      <c r="GS174" s="248"/>
      <c r="GT174" s="248"/>
      <c r="GU174" s="248"/>
      <c r="GV174" s="248"/>
      <c r="GW174" s="248"/>
      <c r="GX174" s="248"/>
      <c r="GY174" s="248"/>
      <c r="GZ174" s="248"/>
      <c r="HA174" s="248"/>
      <c r="HB174" s="248"/>
      <c r="HC174" s="248"/>
      <c r="HD174" s="248"/>
      <c r="HE174" s="248"/>
      <c r="HF174" s="248"/>
      <c r="HG174" s="248"/>
      <c r="HH174" s="248"/>
      <c r="HI174" s="248"/>
      <c r="HJ174" s="248"/>
      <c r="HK174" s="248"/>
      <c r="HL174" s="248"/>
      <c r="HM174" s="248"/>
      <c r="HN174" s="248"/>
      <c r="HO174" s="248"/>
      <c r="HP174" s="248"/>
      <c r="HQ174" s="248"/>
      <c r="HR174" s="248"/>
      <c r="HS174" s="248"/>
      <c r="HT174" s="248"/>
      <c r="HU174" s="248"/>
      <c r="HV174" s="248"/>
      <c r="HW174" s="248"/>
      <c r="HX174" s="248"/>
      <c r="HY174" s="248"/>
      <c r="HZ174" s="248"/>
      <c r="IA174" s="248"/>
      <c r="IB174" s="248"/>
      <c r="IC174" s="248"/>
      <c r="ID174" s="248"/>
      <c r="IE174" s="248"/>
      <c r="IF174" s="248"/>
      <c r="IG174" s="248"/>
      <c r="IH174" s="248"/>
      <c r="II174" s="248"/>
      <c r="IJ174" s="248"/>
      <c r="IK174" s="248"/>
      <c r="IL174" s="248"/>
      <c r="IM174" s="248"/>
      <c r="IN174" s="248"/>
      <c r="IO174" s="248"/>
      <c r="IP174" s="248"/>
      <c r="IQ174" s="248"/>
      <c r="IR174" s="248"/>
    </row>
    <row r="175" spans="1:252" s="305" customFormat="1" x14ac:dyDescent="0.3">
      <c r="A175" s="244"/>
      <c r="B175" s="245"/>
      <c r="C175" s="245"/>
      <c r="D175" s="245"/>
      <c r="E175" s="245"/>
      <c r="F175" s="245"/>
      <c r="G175" s="245"/>
      <c r="H175" s="245"/>
      <c r="I175" s="245"/>
      <c r="J175" s="245"/>
      <c r="K175" s="245"/>
      <c r="L175" s="245"/>
      <c r="M175" s="245"/>
      <c r="N175" s="245"/>
      <c r="O175" s="245"/>
      <c r="P175" s="245"/>
      <c r="Q175" s="245"/>
      <c r="R175" s="301"/>
      <c r="S175" s="246"/>
      <c r="T175" s="247"/>
      <c r="U175" s="248"/>
      <c r="V175" s="248"/>
      <c r="W175" s="248"/>
      <c r="X175" s="248"/>
      <c r="Y175" s="248"/>
      <c r="Z175" s="248"/>
      <c r="AA175" s="248"/>
      <c r="AB175" s="248"/>
      <c r="AC175" s="248"/>
      <c r="AD175" s="248"/>
      <c r="AE175" s="248"/>
      <c r="AF175" s="248"/>
      <c r="AG175" s="248"/>
      <c r="AH175" s="248"/>
      <c r="AI175" s="248"/>
      <c r="AJ175" s="248"/>
      <c r="AK175" s="248"/>
      <c r="AL175" s="248"/>
      <c r="AM175" s="248"/>
      <c r="AN175" s="248"/>
      <c r="AO175" s="248"/>
      <c r="AP175" s="248"/>
      <c r="AQ175" s="248"/>
      <c r="AR175" s="248"/>
      <c r="AS175" s="248"/>
      <c r="AT175" s="248"/>
      <c r="AU175" s="248"/>
      <c r="AV175" s="248"/>
      <c r="AW175" s="248"/>
      <c r="AX175" s="248"/>
      <c r="AY175" s="248"/>
      <c r="AZ175" s="248"/>
      <c r="BA175" s="248"/>
      <c r="BB175" s="248"/>
      <c r="BC175" s="248"/>
      <c r="BD175" s="248"/>
      <c r="BE175" s="248"/>
      <c r="BF175" s="248"/>
      <c r="BG175" s="248"/>
      <c r="BH175" s="248"/>
      <c r="BI175" s="248"/>
      <c r="BJ175" s="248"/>
      <c r="BK175" s="248"/>
      <c r="BL175" s="248"/>
      <c r="BM175" s="248"/>
      <c r="BN175" s="248"/>
      <c r="BO175" s="248"/>
      <c r="BP175" s="248"/>
      <c r="BQ175" s="248"/>
      <c r="BR175" s="248"/>
      <c r="BS175" s="248"/>
      <c r="BT175" s="248"/>
      <c r="BU175" s="248"/>
      <c r="BV175" s="248"/>
      <c r="BW175" s="248"/>
      <c r="BX175" s="248"/>
      <c r="BY175" s="248"/>
      <c r="BZ175" s="248"/>
      <c r="CA175" s="248"/>
      <c r="CB175" s="248"/>
      <c r="CC175" s="248"/>
      <c r="CD175" s="248"/>
      <c r="CE175" s="248"/>
      <c r="CF175" s="248"/>
      <c r="CG175" s="248"/>
      <c r="CH175" s="248"/>
      <c r="CI175" s="248"/>
      <c r="CJ175" s="248"/>
      <c r="CK175" s="248"/>
      <c r="CL175" s="248"/>
      <c r="CM175" s="248"/>
      <c r="CN175" s="248"/>
      <c r="CO175" s="248"/>
      <c r="CP175" s="248"/>
      <c r="CQ175" s="248"/>
      <c r="CR175" s="248"/>
      <c r="CS175" s="248"/>
      <c r="CT175" s="248"/>
      <c r="CU175" s="248"/>
      <c r="CV175" s="248"/>
      <c r="CW175" s="248"/>
      <c r="CX175" s="248"/>
      <c r="CY175" s="248"/>
      <c r="CZ175" s="248"/>
      <c r="DA175" s="248"/>
      <c r="DB175" s="248"/>
      <c r="DC175" s="248"/>
      <c r="DD175" s="248"/>
      <c r="DE175" s="248"/>
      <c r="DF175" s="248"/>
      <c r="DG175" s="248"/>
      <c r="DH175" s="248"/>
      <c r="DI175" s="248"/>
      <c r="DJ175" s="248"/>
      <c r="DK175" s="248"/>
      <c r="DL175" s="248"/>
      <c r="DM175" s="248"/>
      <c r="DN175" s="248"/>
      <c r="DO175" s="248"/>
      <c r="DP175" s="248"/>
      <c r="DQ175" s="248"/>
      <c r="DR175" s="248"/>
      <c r="DS175" s="248"/>
      <c r="DT175" s="248"/>
      <c r="DU175" s="248"/>
      <c r="DV175" s="248"/>
      <c r="DW175" s="248"/>
      <c r="DX175" s="248"/>
      <c r="DY175" s="248"/>
      <c r="DZ175" s="248"/>
      <c r="EA175" s="248"/>
      <c r="EB175" s="248"/>
      <c r="EC175" s="248"/>
      <c r="ED175" s="248"/>
      <c r="EE175" s="248"/>
      <c r="EF175" s="248"/>
      <c r="EG175" s="248"/>
      <c r="EH175" s="248"/>
      <c r="EI175" s="248"/>
      <c r="EJ175" s="248"/>
      <c r="EK175" s="248"/>
      <c r="EL175" s="248"/>
      <c r="EM175" s="248"/>
      <c r="EN175" s="248"/>
      <c r="EO175" s="248"/>
      <c r="EP175" s="248"/>
      <c r="EQ175" s="248"/>
      <c r="ER175" s="248"/>
      <c r="ES175" s="248"/>
      <c r="ET175" s="248"/>
      <c r="EU175" s="248"/>
      <c r="EV175" s="248"/>
      <c r="EW175" s="248"/>
      <c r="EX175" s="248"/>
      <c r="EY175" s="248"/>
      <c r="EZ175" s="248"/>
      <c r="FA175" s="248"/>
      <c r="FB175" s="248"/>
      <c r="FC175" s="248"/>
      <c r="FD175" s="248"/>
      <c r="FE175" s="248"/>
      <c r="FF175" s="248"/>
      <c r="FG175" s="248"/>
      <c r="FH175" s="248"/>
      <c r="FI175" s="248"/>
      <c r="FJ175" s="248"/>
      <c r="FK175" s="248"/>
      <c r="FL175" s="248"/>
      <c r="FM175" s="248"/>
      <c r="FN175" s="248"/>
      <c r="FO175" s="248"/>
      <c r="FP175" s="248"/>
      <c r="FQ175" s="248"/>
      <c r="FR175" s="248"/>
      <c r="FS175" s="248"/>
      <c r="FT175" s="248"/>
      <c r="FU175" s="248"/>
      <c r="FV175" s="248"/>
      <c r="FW175" s="248"/>
      <c r="FX175" s="248"/>
      <c r="FY175" s="248"/>
      <c r="FZ175" s="248"/>
      <c r="GA175" s="248"/>
      <c r="GB175" s="248"/>
      <c r="GC175" s="248"/>
      <c r="GD175" s="248"/>
      <c r="GE175" s="248"/>
      <c r="GF175" s="248"/>
      <c r="GG175" s="248"/>
      <c r="GH175" s="248"/>
      <c r="GI175" s="248"/>
      <c r="GJ175" s="248"/>
      <c r="GK175" s="248"/>
      <c r="GL175" s="248"/>
      <c r="GM175" s="248"/>
      <c r="GN175" s="248"/>
      <c r="GO175" s="248"/>
      <c r="GP175" s="248"/>
      <c r="GQ175" s="248"/>
      <c r="GR175" s="248"/>
      <c r="GS175" s="248"/>
      <c r="GT175" s="248"/>
      <c r="GU175" s="248"/>
      <c r="GV175" s="248"/>
      <c r="GW175" s="248"/>
      <c r="GX175" s="248"/>
      <c r="GY175" s="248"/>
      <c r="GZ175" s="248"/>
      <c r="HA175" s="248"/>
      <c r="HB175" s="248"/>
      <c r="HC175" s="248"/>
      <c r="HD175" s="248"/>
      <c r="HE175" s="248"/>
      <c r="HF175" s="248"/>
      <c r="HG175" s="248"/>
      <c r="HH175" s="248"/>
      <c r="HI175" s="248"/>
      <c r="HJ175" s="248"/>
      <c r="HK175" s="248"/>
      <c r="HL175" s="248"/>
      <c r="HM175" s="248"/>
      <c r="HN175" s="248"/>
      <c r="HO175" s="248"/>
      <c r="HP175" s="248"/>
      <c r="HQ175" s="248"/>
      <c r="HR175" s="248"/>
      <c r="HS175" s="248"/>
      <c r="HT175" s="248"/>
      <c r="HU175" s="248"/>
      <c r="HV175" s="248"/>
      <c r="HW175" s="248"/>
      <c r="HX175" s="248"/>
      <c r="HY175" s="248"/>
      <c r="HZ175" s="248"/>
      <c r="IA175" s="248"/>
      <c r="IB175" s="248"/>
      <c r="IC175" s="248"/>
      <c r="ID175" s="248"/>
      <c r="IE175" s="248"/>
      <c r="IF175" s="248"/>
      <c r="IG175" s="248"/>
      <c r="IH175" s="248"/>
      <c r="II175" s="248"/>
      <c r="IJ175" s="248"/>
      <c r="IK175" s="248"/>
      <c r="IL175" s="248"/>
      <c r="IM175" s="248"/>
      <c r="IN175" s="248"/>
      <c r="IO175" s="248"/>
      <c r="IP175" s="248"/>
      <c r="IQ175" s="248"/>
      <c r="IR175" s="248"/>
    </row>
    <row r="176" spans="1:252" x14ac:dyDescent="0.3">
      <c r="A176" s="249"/>
      <c r="B176" s="296" t="s">
        <v>44</v>
      </c>
      <c r="C176" s="251"/>
      <c r="D176" s="251"/>
      <c r="E176" s="251"/>
      <c r="F176" s="251"/>
      <c r="G176" s="251"/>
      <c r="H176" s="251"/>
      <c r="I176" s="251"/>
      <c r="J176" s="251"/>
      <c r="K176" s="251"/>
      <c r="L176" s="251"/>
      <c r="M176" s="251"/>
      <c r="N176" s="251"/>
      <c r="O176" s="251"/>
      <c r="P176" s="251"/>
      <c r="Q176" s="251"/>
      <c r="R176" s="279"/>
      <c r="S176" s="252"/>
      <c r="T176" s="247"/>
    </row>
    <row r="177" spans="1:20" x14ac:dyDescent="0.3">
      <c r="A177" s="249"/>
      <c r="B177" s="295"/>
      <c r="C177" s="251"/>
      <c r="D177" s="251"/>
      <c r="E177" s="251"/>
      <c r="F177" s="251"/>
      <c r="G177" s="251"/>
      <c r="H177" s="251"/>
      <c r="I177" s="251"/>
      <c r="J177" s="251"/>
      <c r="K177" s="251"/>
      <c r="L177" s="251"/>
      <c r="M177" s="251"/>
      <c r="N177" s="251"/>
      <c r="O177" s="251"/>
      <c r="P177" s="251"/>
      <c r="Q177" s="251"/>
      <c r="R177" s="279"/>
      <c r="S177" s="252"/>
      <c r="T177" s="247"/>
    </row>
    <row r="178" spans="1:20" s="349" customFormat="1" x14ac:dyDescent="0.3">
      <c r="A178" s="365"/>
      <c r="B178" s="358" t="s">
        <v>172</v>
      </c>
      <c r="C178" s="358"/>
      <c r="D178" s="358"/>
      <c r="E178" s="358"/>
      <c r="F178" s="358"/>
      <c r="G178" s="358"/>
      <c r="H178" s="358"/>
      <c r="I178" s="358"/>
      <c r="J178" s="358"/>
      <c r="K178" s="358"/>
      <c r="L178" s="358"/>
      <c r="M178" s="358"/>
      <c r="N178" s="358"/>
      <c r="O178" s="358"/>
      <c r="P178" s="358"/>
      <c r="Q178" s="358"/>
      <c r="R178" s="404">
        <f>+R67</f>
        <v>57441</v>
      </c>
      <c r="S178" s="361"/>
      <c r="T178" s="348"/>
    </row>
    <row r="179" spans="1:20" s="349" customFormat="1" x14ac:dyDescent="0.3">
      <c r="A179" s="365"/>
      <c r="B179" s="358" t="s">
        <v>173</v>
      </c>
      <c r="C179" s="358"/>
      <c r="D179" s="358"/>
      <c r="E179" s="358"/>
      <c r="F179" s="358"/>
      <c r="G179" s="358"/>
      <c r="H179" s="358"/>
      <c r="I179" s="358"/>
      <c r="J179" s="358"/>
      <c r="K179" s="358"/>
      <c r="L179" s="358"/>
      <c r="M179" s="358"/>
      <c r="N179" s="358"/>
      <c r="O179" s="358"/>
      <c r="P179" s="358"/>
      <c r="Q179" s="358"/>
      <c r="R179" s="404">
        <f>+R77</f>
        <v>0</v>
      </c>
      <c r="S179" s="361"/>
      <c r="T179" s="348"/>
    </row>
    <row r="180" spans="1:20" s="349" customFormat="1" x14ac:dyDescent="0.3">
      <c r="A180" s="365"/>
      <c r="B180" s="358" t="s">
        <v>216</v>
      </c>
      <c r="C180" s="358"/>
      <c r="D180" s="358"/>
      <c r="E180" s="358"/>
      <c r="F180" s="358"/>
      <c r="G180" s="358"/>
      <c r="H180" s="358"/>
      <c r="I180" s="358"/>
      <c r="J180" s="358"/>
      <c r="K180" s="358"/>
      <c r="L180" s="358"/>
      <c r="M180" s="358"/>
      <c r="N180" s="358"/>
      <c r="O180" s="358"/>
      <c r="P180" s="358"/>
      <c r="Q180" s="358"/>
      <c r="R180" s="404">
        <f>+R78</f>
        <v>0</v>
      </c>
      <c r="S180" s="361"/>
      <c r="T180" s="348"/>
    </row>
    <row r="181" spans="1:20" s="349" customFormat="1" x14ac:dyDescent="0.3">
      <c r="A181" s="365"/>
      <c r="B181" s="358" t="s">
        <v>126</v>
      </c>
      <c r="C181" s="358"/>
      <c r="D181" s="358"/>
      <c r="E181" s="358"/>
      <c r="F181" s="358"/>
      <c r="G181" s="358"/>
      <c r="H181" s="358"/>
      <c r="I181" s="358"/>
      <c r="J181" s="358"/>
      <c r="K181" s="358"/>
      <c r="L181" s="358"/>
      <c r="M181" s="358"/>
      <c r="N181" s="358"/>
      <c r="O181" s="358"/>
      <c r="P181" s="358"/>
      <c r="Q181" s="358"/>
      <c r="R181" s="404">
        <f>+R178+R179+R180</f>
        <v>57441</v>
      </c>
      <c r="S181" s="361"/>
      <c r="T181" s="348"/>
    </row>
    <row r="182" spans="1:20" s="349" customFormat="1" x14ac:dyDescent="0.3">
      <c r="A182" s="365"/>
      <c r="B182" s="358" t="s">
        <v>45</v>
      </c>
      <c r="C182" s="358"/>
      <c r="D182" s="358"/>
      <c r="E182" s="358"/>
      <c r="F182" s="358"/>
      <c r="G182" s="358"/>
      <c r="H182" s="358"/>
      <c r="I182" s="358"/>
      <c r="J182" s="358"/>
      <c r="K182" s="358"/>
      <c r="L182" s="358"/>
      <c r="M182" s="358"/>
      <c r="N182" s="358"/>
      <c r="O182" s="358"/>
      <c r="P182" s="358"/>
      <c r="Q182" s="358"/>
      <c r="R182" s="404">
        <f>R80</f>
        <v>57441</v>
      </c>
      <c r="S182" s="361"/>
      <c r="T182" s="348"/>
    </row>
    <row r="183" spans="1:20" ht="16.2" thickBot="1" x14ac:dyDescent="0.35">
      <c r="A183" s="249"/>
      <c r="B183" s="277"/>
      <c r="C183" s="277"/>
      <c r="D183" s="277"/>
      <c r="E183" s="277"/>
      <c r="F183" s="277"/>
      <c r="G183" s="277"/>
      <c r="H183" s="277"/>
      <c r="I183" s="277"/>
      <c r="J183" s="277"/>
      <c r="K183" s="277"/>
      <c r="L183" s="277"/>
      <c r="M183" s="277"/>
      <c r="N183" s="277"/>
      <c r="O183" s="277"/>
      <c r="P183" s="277"/>
      <c r="Q183" s="277"/>
      <c r="R183" s="297"/>
      <c r="S183" s="252"/>
      <c r="T183" s="247"/>
    </row>
    <row r="184" spans="1:20" x14ac:dyDescent="0.3">
      <c r="A184" s="244"/>
      <c r="B184" s="245"/>
      <c r="C184" s="245"/>
      <c r="D184" s="245"/>
      <c r="E184" s="245"/>
      <c r="F184" s="245"/>
      <c r="G184" s="245"/>
      <c r="H184" s="245"/>
      <c r="I184" s="245"/>
      <c r="J184" s="245"/>
      <c r="K184" s="245"/>
      <c r="L184" s="245"/>
      <c r="M184" s="245"/>
      <c r="N184" s="245"/>
      <c r="O184" s="245"/>
      <c r="P184" s="245"/>
      <c r="Q184" s="245"/>
      <c r="R184" s="301"/>
      <c r="S184" s="246"/>
      <c r="T184" s="247"/>
    </row>
    <row r="185" spans="1:20" s="273" customFormat="1" x14ac:dyDescent="0.3">
      <c r="A185" s="280"/>
      <c r="B185" s="296" t="s">
        <v>46</v>
      </c>
      <c r="C185" s="306"/>
      <c r="D185" s="307"/>
      <c r="E185" s="307"/>
      <c r="F185" s="307"/>
      <c r="G185" s="307"/>
      <c r="H185" s="307"/>
      <c r="I185" s="307"/>
      <c r="J185" s="307"/>
      <c r="K185" s="307"/>
      <c r="L185" s="307"/>
      <c r="M185" s="307"/>
      <c r="N185" s="307"/>
      <c r="O185" s="307" t="s">
        <v>82</v>
      </c>
      <c r="P185" s="307" t="s">
        <v>170</v>
      </c>
      <c r="Q185" s="254"/>
      <c r="R185" s="308" t="s">
        <v>94</v>
      </c>
      <c r="S185" s="309"/>
      <c r="T185" s="272"/>
    </row>
    <row r="186" spans="1:20" s="349" customFormat="1" x14ac:dyDescent="0.3">
      <c r="A186" s="365"/>
      <c r="B186" s="358" t="s">
        <v>47</v>
      </c>
      <c r="C186" s="358"/>
      <c r="D186" s="358"/>
      <c r="E186" s="358"/>
      <c r="F186" s="358"/>
      <c r="G186" s="358"/>
      <c r="H186" s="358"/>
      <c r="I186" s="358"/>
      <c r="J186" s="358"/>
      <c r="K186" s="358"/>
      <c r="L186" s="358"/>
      <c r="M186" s="358"/>
      <c r="N186" s="358"/>
      <c r="O186" s="404">
        <f>+R31*0.08</f>
        <v>24000.720000000001</v>
      </c>
      <c r="P186" s="383"/>
      <c r="Q186" s="358"/>
      <c r="R186" s="404"/>
      <c r="S186" s="361"/>
      <c r="T186" s="348"/>
    </row>
    <row r="187" spans="1:20" s="349" customFormat="1" x14ac:dyDescent="0.3">
      <c r="A187" s="365"/>
      <c r="B187" s="358" t="s">
        <v>48</v>
      </c>
      <c r="C187" s="358"/>
      <c r="D187" s="358"/>
      <c r="E187" s="358"/>
      <c r="F187" s="358"/>
      <c r="G187" s="358"/>
      <c r="H187" s="358"/>
      <c r="I187" s="358"/>
      <c r="J187" s="358"/>
      <c r="K187" s="358"/>
      <c r="L187" s="358"/>
      <c r="M187" s="358"/>
      <c r="N187" s="358"/>
      <c r="O187" s="404">
        <f>+'Nov 18'!O189</f>
        <v>569</v>
      </c>
      <c r="P187" s="404">
        <f>+'Nov 18'!P189</f>
        <v>694</v>
      </c>
      <c r="Q187" s="358"/>
      <c r="R187" s="404">
        <f>O187+P187</f>
        <v>1263</v>
      </c>
      <c r="S187" s="361"/>
      <c r="T187" s="348"/>
    </row>
    <row r="188" spans="1:20" s="349" customFormat="1" x14ac:dyDescent="0.3">
      <c r="A188" s="365"/>
      <c r="B188" s="358" t="s">
        <v>49</v>
      </c>
      <c r="C188" s="358"/>
      <c r="D188" s="358"/>
      <c r="E188" s="358"/>
      <c r="F188" s="358"/>
      <c r="G188" s="358"/>
      <c r="H188" s="358"/>
      <c r="I188" s="358"/>
      <c r="J188" s="358"/>
      <c r="K188" s="358"/>
      <c r="L188" s="358"/>
      <c r="M188" s="358"/>
      <c r="N188" s="358"/>
      <c r="O188" s="403">
        <v>0</v>
      </c>
      <c r="P188" s="403">
        <v>0</v>
      </c>
      <c r="Q188" s="358"/>
      <c r="R188" s="404">
        <f>O188+P188</f>
        <v>0</v>
      </c>
      <c r="S188" s="361"/>
      <c r="T188" s="348"/>
    </row>
    <row r="189" spans="1:20" s="349" customFormat="1" x14ac:dyDescent="0.3">
      <c r="A189" s="365"/>
      <c r="B189" s="358" t="s">
        <v>50</v>
      </c>
      <c r="C189" s="358"/>
      <c r="D189" s="358"/>
      <c r="E189" s="358"/>
      <c r="F189" s="358"/>
      <c r="G189" s="358"/>
      <c r="H189" s="358"/>
      <c r="I189" s="358"/>
      <c r="J189" s="358"/>
      <c r="K189" s="358"/>
      <c r="L189" s="358"/>
      <c r="M189" s="358"/>
      <c r="N189" s="358"/>
      <c r="O189" s="404">
        <f>O187+O188</f>
        <v>569</v>
      </c>
      <c r="P189" s="404">
        <f>P188+P187</f>
        <v>694</v>
      </c>
      <c r="Q189" s="358"/>
      <c r="R189" s="404">
        <f>O189+P189</f>
        <v>1263</v>
      </c>
      <c r="S189" s="361"/>
      <c r="T189" s="348"/>
    </row>
    <row r="190" spans="1:20" s="349" customFormat="1" x14ac:dyDescent="0.3">
      <c r="A190" s="365"/>
      <c r="B190" s="358" t="s">
        <v>51</v>
      </c>
      <c r="C190" s="358"/>
      <c r="D190" s="358"/>
      <c r="E190" s="358"/>
      <c r="F190" s="358"/>
      <c r="G190" s="358"/>
      <c r="H190" s="358"/>
      <c r="I190" s="358"/>
      <c r="J190" s="358"/>
      <c r="K190" s="358"/>
      <c r="L190" s="358"/>
      <c r="M190" s="358"/>
      <c r="N190" s="358"/>
      <c r="O190" s="404">
        <f>O186-O189-P189</f>
        <v>22737.72</v>
      </c>
      <c r="P190" s="383"/>
      <c r="Q190" s="358"/>
      <c r="R190" s="404"/>
      <c r="S190" s="361"/>
      <c r="T190" s="348"/>
    </row>
    <row r="191" spans="1:20" ht="16.2" thickBot="1" x14ac:dyDescent="0.35">
      <c r="A191" s="249"/>
      <c r="B191" s="277"/>
      <c r="C191" s="277"/>
      <c r="D191" s="277"/>
      <c r="E191" s="277"/>
      <c r="F191" s="277"/>
      <c r="G191" s="277"/>
      <c r="H191" s="277"/>
      <c r="I191" s="277"/>
      <c r="J191" s="277"/>
      <c r="K191" s="277"/>
      <c r="L191" s="277"/>
      <c r="M191" s="277"/>
      <c r="N191" s="277"/>
      <c r="O191" s="277"/>
      <c r="P191" s="277"/>
      <c r="Q191" s="277"/>
      <c r="R191" s="297"/>
      <c r="S191" s="252"/>
      <c r="T191" s="247"/>
    </row>
    <row r="192" spans="1:20" x14ac:dyDescent="0.3">
      <c r="A192" s="244"/>
      <c r="B192" s="245"/>
      <c r="C192" s="245"/>
      <c r="D192" s="245"/>
      <c r="E192" s="245"/>
      <c r="F192" s="245"/>
      <c r="G192" s="245"/>
      <c r="H192" s="245"/>
      <c r="I192" s="245"/>
      <c r="J192" s="245"/>
      <c r="K192" s="245"/>
      <c r="L192" s="245"/>
      <c r="M192" s="245"/>
      <c r="N192" s="245"/>
      <c r="O192" s="245"/>
      <c r="P192" s="245"/>
      <c r="Q192" s="245"/>
      <c r="R192" s="301"/>
      <c r="S192" s="246"/>
      <c r="T192" s="247"/>
    </row>
    <row r="193" spans="1:20" x14ac:dyDescent="0.3">
      <c r="A193" s="249"/>
      <c r="B193" s="296" t="s">
        <v>52</v>
      </c>
      <c r="C193" s="251"/>
      <c r="D193" s="251"/>
      <c r="E193" s="251"/>
      <c r="F193" s="251"/>
      <c r="G193" s="251"/>
      <c r="H193" s="251"/>
      <c r="I193" s="251"/>
      <c r="J193" s="251"/>
      <c r="K193" s="251"/>
      <c r="L193" s="251"/>
      <c r="M193" s="251"/>
      <c r="N193" s="251"/>
      <c r="O193" s="251"/>
      <c r="P193" s="251"/>
      <c r="Q193" s="251"/>
      <c r="R193" s="310"/>
      <c r="S193" s="252"/>
      <c r="T193" s="247"/>
    </row>
    <row r="194" spans="1:20" s="349" customFormat="1" x14ac:dyDescent="0.3">
      <c r="A194" s="365"/>
      <c r="B194" s="358" t="s">
        <v>53</v>
      </c>
      <c r="C194" s="358"/>
      <c r="D194" s="358"/>
      <c r="E194" s="358"/>
      <c r="F194" s="358"/>
      <c r="G194" s="358"/>
      <c r="H194" s="358"/>
      <c r="I194" s="358"/>
      <c r="J194" s="358"/>
      <c r="K194" s="358"/>
      <c r="L194" s="358"/>
      <c r="M194" s="358"/>
      <c r="N194" s="358"/>
      <c r="O194" s="358"/>
      <c r="P194" s="358"/>
      <c r="Q194" s="358"/>
      <c r="R194" s="417">
        <f>(R100+R102+R103+R104+R105)/-(R106+R107)</f>
        <v>6.9133333333333331</v>
      </c>
      <c r="S194" s="361" t="s">
        <v>95</v>
      </c>
      <c r="T194" s="348"/>
    </row>
    <row r="195" spans="1:20" s="349" customFormat="1" x14ac:dyDescent="0.3">
      <c r="A195" s="365"/>
      <c r="B195" s="358" t="s">
        <v>54</v>
      </c>
      <c r="C195" s="358"/>
      <c r="D195" s="358"/>
      <c r="E195" s="358"/>
      <c r="F195" s="358"/>
      <c r="G195" s="358"/>
      <c r="H195" s="358"/>
      <c r="I195" s="358"/>
      <c r="J195" s="358"/>
      <c r="K195" s="358"/>
      <c r="L195" s="358"/>
      <c r="M195" s="358"/>
      <c r="N195" s="358"/>
      <c r="O195" s="358"/>
      <c r="P195" s="358"/>
      <c r="Q195" s="358"/>
      <c r="R195" s="418">
        <v>3.65</v>
      </c>
      <c r="S195" s="361" t="s">
        <v>95</v>
      </c>
      <c r="T195" s="348"/>
    </row>
    <row r="196" spans="1:20" s="349" customFormat="1" x14ac:dyDescent="0.3">
      <c r="A196" s="365"/>
      <c r="B196" s="358" t="s">
        <v>183</v>
      </c>
      <c r="C196" s="358"/>
      <c r="D196" s="358"/>
      <c r="E196" s="358"/>
      <c r="F196" s="358"/>
      <c r="G196" s="358"/>
      <c r="H196" s="358"/>
      <c r="I196" s="358"/>
      <c r="J196" s="358"/>
      <c r="K196" s="358"/>
      <c r="L196" s="358"/>
      <c r="M196" s="358"/>
      <c r="N196" s="358"/>
      <c r="O196" s="358"/>
      <c r="P196" s="358"/>
      <c r="Q196" s="358"/>
      <c r="R196" s="417">
        <f>(R100+R102+R103+R104+R105+R106+R107)/-(R108)</f>
        <v>13.646153846153846</v>
      </c>
      <c r="S196" s="361" t="s">
        <v>95</v>
      </c>
      <c r="T196" s="348"/>
    </row>
    <row r="197" spans="1:20" s="349" customFormat="1" x14ac:dyDescent="0.3">
      <c r="A197" s="365"/>
      <c r="B197" s="358" t="s">
        <v>184</v>
      </c>
      <c r="C197" s="358"/>
      <c r="D197" s="358"/>
      <c r="E197" s="358"/>
      <c r="F197" s="358"/>
      <c r="G197" s="358"/>
      <c r="H197" s="358"/>
      <c r="I197" s="358"/>
      <c r="J197" s="358"/>
      <c r="K197" s="358"/>
      <c r="L197" s="358"/>
      <c r="M197" s="358"/>
      <c r="N197" s="358"/>
      <c r="O197" s="358"/>
      <c r="P197" s="358"/>
      <c r="Q197" s="358"/>
      <c r="R197" s="418">
        <v>28.38</v>
      </c>
      <c r="S197" s="361" t="s">
        <v>95</v>
      </c>
      <c r="T197" s="348"/>
    </row>
    <row r="198" spans="1:20" s="349" customFormat="1" x14ac:dyDescent="0.3">
      <c r="A198" s="365"/>
      <c r="B198" s="358" t="s">
        <v>185</v>
      </c>
      <c r="C198" s="358"/>
      <c r="D198" s="358"/>
      <c r="E198" s="358"/>
      <c r="F198" s="358"/>
      <c r="G198" s="358"/>
      <c r="H198" s="358"/>
      <c r="I198" s="358"/>
      <c r="J198" s="358"/>
      <c r="K198" s="358"/>
      <c r="L198" s="358"/>
      <c r="M198" s="358"/>
      <c r="N198" s="358"/>
      <c r="O198" s="358"/>
      <c r="P198" s="358"/>
      <c r="Q198" s="358"/>
      <c r="R198" s="417">
        <f>(R100+R102+R103+R104+R105+R106+R107+R108)/-(R109)</f>
        <v>11.108108108108109</v>
      </c>
      <c r="S198" s="361" t="s">
        <v>95</v>
      </c>
      <c r="T198" s="348"/>
    </row>
    <row r="199" spans="1:20" s="349" customFormat="1" x14ac:dyDescent="0.3">
      <c r="A199" s="365"/>
      <c r="B199" s="358" t="s">
        <v>186</v>
      </c>
      <c r="C199" s="358"/>
      <c r="D199" s="358"/>
      <c r="E199" s="358"/>
      <c r="F199" s="358"/>
      <c r="G199" s="358"/>
      <c r="H199" s="358"/>
      <c r="I199" s="358"/>
      <c r="J199" s="358"/>
      <c r="K199" s="358"/>
      <c r="L199" s="358"/>
      <c r="M199" s="358"/>
      <c r="N199" s="358"/>
      <c r="O199" s="358"/>
      <c r="P199" s="358"/>
      <c r="Q199" s="358"/>
      <c r="R199" s="418">
        <v>23.6</v>
      </c>
      <c r="S199" s="361" t="s">
        <v>95</v>
      </c>
      <c r="T199" s="348"/>
    </row>
    <row r="200" spans="1:20" s="349" customFormat="1" x14ac:dyDescent="0.3">
      <c r="A200" s="365"/>
      <c r="B200" s="358" t="s">
        <v>257</v>
      </c>
      <c r="C200" s="358"/>
      <c r="D200" s="358"/>
      <c r="E200" s="358"/>
      <c r="F200" s="358"/>
      <c r="G200" s="358"/>
      <c r="H200" s="358"/>
      <c r="I200" s="358"/>
      <c r="J200" s="358"/>
      <c r="K200" s="358"/>
      <c r="L200" s="358"/>
      <c r="M200" s="358"/>
      <c r="N200" s="358"/>
      <c r="O200" s="358"/>
      <c r="P200" s="358"/>
      <c r="Q200" s="358"/>
      <c r="R200" s="417">
        <f>(R100+R102+R103+R104+R105+R106+R107+R108+R109+R110+R111+R112+R113+R114)/-(R115)</f>
        <v>13.811320754716981</v>
      </c>
      <c r="S200" s="361" t="s">
        <v>95</v>
      </c>
      <c r="T200" s="348"/>
    </row>
    <row r="201" spans="1:20" s="349" customFormat="1" x14ac:dyDescent="0.3">
      <c r="A201" s="365"/>
      <c r="B201" s="358" t="s">
        <v>258</v>
      </c>
      <c r="C201" s="358"/>
      <c r="D201" s="358"/>
      <c r="E201" s="358"/>
      <c r="F201" s="358"/>
      <c r="G201" s="358"/>
      <c r="H201" s="358"/>
      <c r="I201" s="358"/>
      <c r="J201" s="358"/>
      <c r="K201" s="358"/>
      <c r="L201" s="358"/>
      <c r="M201" s="358"/>
      <c r="N201" s="358"/>
      <c r="O201" s="358"/>
      <c r="P201" s="358"/>
      <c r="Q201" s="358"/>
      <c r="R201" s="418">
        <v>30.72</v>
      </c>
      <c r="S201" s="361" t="s">
        <v>95</v>
      </c>
      <c r="T201" s="348"/>
    </row>
    <row r="202" spans="1:20" s="349" customFormat="1" x14ac:dyDescent="0.3">
      <c r="A202" s="365"/>
      <c r="B202" s="358"/>
      <c r="C202" s="358"/>
      <c r="D202" s="358"/>
      <c r="E202" s="358"/>
      <c r="F202" s="358"/>
      <c r="G202" s="358"/>
      <c r="H202" s="358"/>
      <c r="I202" s="358"/>
      <c r="J202" s="358"/>
      <c r="K202" s="358"/>
      <c r="L202" s="358"/>
      <c r="M202" s="358"/>
      <c r="N202" s="358"/>
      <c r="O202" s="358"/>
      <c r="P202" s="358"/>
      <c r="Q202" s="358"/>
      <c r="R202" s="358"/>
      <c r="S202" s="361"/>
      <c r="T202" s="348"/>
    </row>
    <row r="203" spans="1:20" s="349" customFormat="1" x14ac:dyDescent="0.3">
      <c r="A203" s="344"/>
      <c r="B203" s="393"/>
      <c r="C203" s="393"/>
      <c r="D203" s="393"/>
      <c r="E203" s="393"/>
      <c r="F203" s="393"/>
      <c r="G203" s="393"/>
      <c r="H203" s="393"/>
      <c r="I203" s="393"/>
      <c r="J203" s="393"/>
      <c r="K203" s="393"/>
      <c r="L203" s="393"/>
      <c r="M203" s="393"/>
      <c r="N203" s="393"/>
      <c r="O203" s="393"/>
      <c r="P203" s="393"/>
      <c r="Q203" s="393"/>
      <c r="R203" s="393"/>
      <c r="S203" s="347"/>
      <c r="T203" s="348"/>
    </row>
    <row r="204" spans="1:20" s="349" customFormat="1" x14ac:dyDescent="0.3">
      <c r="A204" s="344"/>
      <c r="B204" s="346"/>
      <c r="C204" s="346"/>
      <c r="D204" s="346"/>
      <c r="E204" s="346"/>
      <c r="F204" s="346"/>
      <c r="G204" s="346"/>
      <c r="H204" s="346"/>
      <c r="I204" s="346"/>
      <c r="J204" s="346"/>
      <c r="K204" s="346"/>
      <c r="L204" s="346"/>
      <c r="M204" s="346"/>
      <c r="N204" s="346"/>
      <c r="O204" s="346"/>
      <c r="P204" s="346"/>
      <c r="Q204" s="346"/>
      <c r="R204" s="346"/>
      <c r="S204" s="347"/>
      <c r="T204" s="348"/>
    </row>
    <row r="205" spans="1:20" s="349" customFormat="1" ht="18.600000000000001" thickBot="1" x14ac:dyDescent="0.4">
      <c r="A205" s="398"/>
      <c r="B205" s="399" t="str">
        <f>B132</f>
        <v>PM22 INVESTOR REPORT QUARTER ENDING FEBRUARY 2019</v>
      </c>
      <c r="C205" s="400"/>
      <c r="D205" s="400"/>
      <c r="E205" s="400"/>
      <c r="F205" s="400"/>
      <c r="G205" s="400"/>
      <c r="H205" s="400"/>
      <c r="I205" s="400"/>
      <c r="J205" s="400"/>
      <c r="K205" s="400"/>
      <c r="L205" s="400"/>
      <c r="M205" s="400"/>
      <c r="N205" s="400"/>
      <c r="O205" s="400"/>
      <c r="P205" s="400"/>
      <c r="Q205" s="400"/>
      <c r="R205" s="400"/>
      <c r="S205" s="402"/>
      <c r="T205" s="348"/>
    </row>
    <row r="206" spans="1:20" x14ac:dyDescent="0.3">
      <c r="A206" s="456"/>
      <c r="B206" s="457" t="s">
        <v>55</v>
      </c>
      <c r="C206" s="461"/>
      <c r="D206" s="462"/>
      <c r="E206" s="462"/>
      <c r="F206" s="462"/>
      <c r="G206" s="462"/>
      <c r="H206" s="462"/>
      <c r="I206" s="462"/>
      <c r="J206" s="462"/>
      <c r="K206" s="462"/>
      <c r="L206" s="462"/>
      <c r="M206" s="462"/>
      <c r="N206" s="462"/>
      <c r="O206" s="462"/>
      <c r="P206" s="462">
        <v>43524</v>
      </c>
      <c r="Q206" s="458"/>
      <c r="R206" s="458"/>
      <c r="S206" s="460"/>
      <c r="T206" s="247"/>
    </row>
    <row r="207" spans="1:20" x14ac:dyDescent="0.3">
      <c r="A207" s="312"/>
      <c r="B207" s="313"/>
      <c r="C207" s="314"/>
      <c r="D207" s="315"/>
      <c r="E207" s="315"/>
      <c r="F207" s="315"/>
      <c r="G207" s="315"/>
      <c r="H207" s="315"/>
      <c r="I207" s="315"/>
      <c r="J207" s="315"/>
      <c r="K207" s="315"/>
      <c r="L207" s="315"/>
      <c r="M207" s="315"/>
      <c r="N207" s="315"/>
      <c r="O207" s="315"/>
      <c r="P207" s="315"/>
      <c r="Q207" s="251"/>
      <c r="R207" s="251"/>
      <c r="S207" s="252"/>
      <c r="T207" s="247"/>
    </row>
    <row r="208" spans="1:20" s="349" customFormat="1" x14ac:dyDescent="0.3">
      <c r="A208" s="365"/>
      <c r="B208" s="358" t="s">
        <v>56</v>
      </c>
      <c r="C208" s="419"/>
      <c r="D208" s="387"/>
      <c r="E208" s="387"/>
      <c r="F208" s="387"/>
      <c r="G208" s="387"/>
      <c r="H208" s="387"/>
      <c r="I208" s="387"/>
      <c r="J208" s="387"/>
      <c r="K208" s="387"/>
      <c r="L208" s="387"/>
      <c r="M208" s="387"/>
      <c r="N208" s="387"/>
      <c r="O208" s="387"/>
      <c r="P208" s="379">
        <v>4.079E-2</v>
      </c>
      <c r="Q208" s="358"/>
      <c r="R208" s="358"/>
      <c r="S208" s="361"/>
      <c r="T208" s="348"/>
    </row>
    <row r="209" spans="1:20" s="349" customFormat="1" x14ac:dyDescent="0.3">
      <c r="A209" s="365"/>
      <c r="B209" s="358" t="s">
        <v>158</v>
      </c>
      <c r="C209" s="419"/>
      <c r="D209" s="387"/>
      <c r="E209" s="387"/>
      <c r="F209" s="387"/>
      <c r="G209" s="387"/>
      <c r="H209" s="387"/>
      <c r="I209" s="387"/>
      <c r="J209" s="387"/>
      <c r="K209" s="387"/>
      <c r="L209" s="387"/>
      <c r="M209" s="387"/>
      <c r="N209" s="387"/>
      <c r="O209" s="387"/>
      <c r="P209" s="379">
        <v>1.5340718167454973E-2</v>
      </c>
      <c r="Q209" s="358"/>
      <c r="R209" s="358"/>
      <c r="S209" s="361"/>
      <c r="T209" s="348"/>
    </row>
    <row r="210" spans="1:20" s="349" customFormat="1" x14ac:dyDescent="0.3">
      <c r="A210" s="365"/>
      <c r="B210" s="358" t="s">
        <v>57</v>
      </c>
      <c r="C210" s="419"/>
      <c r="D210" s="387"/>
      <c r="E210" s="387"/>
      <c r="F210" s="387"/>
      <c r="G210" s="387"/>
      <c r="H210" s="387"/>
      <c r="I210" s="387"/>
      <c r="J210" s="387"/>
      <c r="K210" s="387"/>
      <c r="L210" s="387"/>
      <c r="M210" s="387"/>
      <c r="N210" s="387"/>
      <c r="O210" s="387"/>
      <c r="P210" s="379">
        <f>P208-P209</f>
        <v>2.5449281832545027E-2</v>
      </c>
      <c r="Q210" s="358"/>
      <c r="R210" s="358"/>
      <c r="S210" s="361"/>
      <c r="T210" s="348"/>
    </row>
    <row r="211" spans="1:20" s="349" customFormat="1" x14ac:dyDescent="0.3">
      <c r="A211" s="365"/>
      <c r="B211" s="358" t="s">
        <v>161</v>
      </c>
      <c r="C211" s="419"/>
      <c r="D211" s="387"/>
      <c r="E211" s="387"/>
      <c r="F211" s="387"/>
      <c r="G211" s="387"/>
      <c r="H211" s="387"/>
      <c r="I211" s="387"/>
      <c r="J211" s="387"/>
      <c r="K211" s="387"/>
      <c r="L211" s="387"/>
      <c r="M211" s="387"/>
      <c r="N211" s="387"/>
      <c r="O211" s="387"/>
      <c r="P211" s="379">
        <v>4.9063799999999998E-2</v>
      </c>
      <c r="Q211" s="358"/>
      <c r="R211" s="358"/>
      <c r="S211" s="361"/>
      <c r="T211" s="348"/>
    </row>
    <row r="212" spans="1:20" s="349" customFormat="1" x14ac:dyDescent="0.3">
      <c r="A212" s="365"/>
      <c r="B212" s="358" t="s">
        <v>58</v>
      </c>
      <c r="C212" s="419"/>
      <c r="D212" s="387"/>
      <c r="E212" s="387"/>
      <c r="F212" s="387"/>
      <c r="G212" s="387"/>
      <c r="H212" s="387"/>
      <c r="I212" s="387"/>
      <c r="J212" s="387"/>
      <c r="K212" s="387"/>
      <c r="L212" s="387"/>
      <c r="M212" s="387"/>
      <c r="N212" s="387"/>
      <c r="O212" s="387"/>
      <c r="P212" s="379">
        <v>4.9979999999999997E-2</v>
      </c>
      <c r="Q212" s="358"/>
      <c r="R212" s="358"/>
      <c r="S212" s="361"/>
      <c r="T212" s="348"/>
    </row>
    <row r="213" spans="1:20" s="349" customFormat="1" x14ac:dyDescent="0.3">
      <c r="A213" s="365"/>
      <c r="B213" s="358" t="s">
        <v>159</v>
      </c>
      <c r="C213" s="419"/>
      <c r="D213" s="387"/>
      <c r="E213" s="387"/>
      <c r="F213" s="387"/>
      <c r="G213" s="387"/>
      <c r="H213" s="387"/>
      <c r="I213" s="387"/>
      <c r="J213" s="387"/>
      <c r="K213" s="387"/>
      <c r="L213" s="387"/>
      <c r="M213" s="387"/>
      <c r="N213" s="387"/>
      <c r="O213" s="387"/>
      <c r="P213" s="379">
        <f>R40</f>
        <v>2.1520079482814251E-2</v>
      </c>
      <c r="Q213" s="358"/>
      <c r="R213" s="358"/>
      <c r="S213" s="361"/>
      <c r="T213" s="348"/>
    </row>
    <row r="214" spans="1:20" s="349" customFormat="1" x14ac:dyDescent="0.3">
      <c r="A214" s="365"/>
      <c r="B214" s="358" t="s">
        <v>59</v>
      </c>
      <c r="C214" s="419"/>
      <c r="D214" s="387"/>
      <c r="E214" s="387"/>
      <c r="F214" s="387"/>
      <c r="G214" s="387"/>
      <c r="H214" s="387"/>
      <c r="I214" s="387"/>
      <c r="J214" s="387"/>
      <c r="K214" s="387"/>
      <c r="L214" s="387"/>
      <c r="M214" s="387"/>
      <c r="N214" s="387"/>
      <c r="O214" s="387"/>
      <c r="P214" s="379">
        <f>P212-P213</f>
        <v>2.8459920517185745E-2</v>
      </c>
      <c r="Q214" s="358"/>
      <c r="R214" s="358"/>
      <c r="S214" s="361"/>
      <c r="T214" s="348"/>
    </row>
    <row r="215" spans="1:20" s="349" customFormat="1" x14ac:dyDescent="0.3">
      <c r="A215" s="365"/>
      <c r="B215" s="358" t="s">
        <v>139</v>
      </c>
      <c r="C215" s="419"/>
      <c r="D215" s="387"/>
      <c r="E215" s="387"/>
      <c r="F215" s="387"/>
      <c r="G215" s="387"/>
      <c r="H215" s="387"/>
      <c r="I215" s="387"/>
      <c r="J215" s="387"/>
      <c r="K215" s="387"/>
      <c r="L215" s="387"/>
      <c r="M215" s="387"/>
      <c r="N215" s="387"/>
      <c r="O215" s="387"/>
      <c r="P215" s="379">
        <f>(+R100+R102)/H80</f>
        <v>1.6279633784029589E-2</v>
      </c>
      <c r="Q215" s="358"/>
      <c r="R215" s="358"/>
      <c r="S215" s="361"/>
      <c r="T215" s="348"/>
    </row>
    <row r="216" spans="1:20" s="349" customFormat="1" x14ac:dyDescent="0.3">
      <c r="A216" s="365"/>
      <c r="B216" s="358" t="s">
        <v>132</v>
      </c>
      <c r="C216" s="419"/>
      <c r="D216" s="387"/>
      <c r="E216" s="387"/>
      <c r="F216" s="387"/>
      <c r="G216" s="387"/>
      <c r="H216" s="387"/>
      <c r="I216" s="387"/>
      <c r="J216" s="387"/>
      <c r="K216" s="387"/>
      <c r="L216" s="387"/>
      <c r="M216" s="387"/>
      <c r="N216" s="387"/>
      <c r="O216" s="387"/>
      <c r="P216" s="420">
        <v>52124</v>
      </c>
      <c r="Q216" s="358"/>
      <c r="R216" s="358"/>
      <c r="S216" s="361"/>
      <c r="T216" s="348"/>
    </row>
    <row r="217" spans="1:20" s="349" customFormat="1" x14ac:dyDescent="0.3">
      <c r="A217" s="365"/>
      <c r="B217" s="358" t="s">
        <v>187</v>
      </c>
      <c r="C217" s="419"/>
      <c r="D217" s="387"/>
      <c r="E217" s="387"/>
      <c r="F217" s="387"/>
      <c r="G217" s="387"/>
      <c r="H217" s="387"/>
      <c r="I217" s="387"/>
      <c r="J217" s="387"/>
      <c r="K217" s="387"/>
      <c r="L217" s="387"/>
      <c r="M217" s="387"/>
      <c r="N217" s="387"/>
      <c r="O217" s="387"/>
      <c r="P217" s="420">
        <v>15599</v>
      </c>
      <c r="Q217" s="358"/>
      <c r="R217" s="358"/>
      <c r="S217" s="361"/>
      <c r="T217" s="348"/>
    </row>
    <row r="218" spans="1:20" s="349" customFormat="1" x14ac:dyDescent="0.3">
      <c r="A218" s="365"/>
      <c r="B218" s="358" t="s">
        <v>188</v>
      </c>
      <c r="C218" s="419"/>
      <c r="D218" s="387"/>
      <c r="E218" s="387"/>
      <c r="F218" s="387"/>
      <c r="G218" s="387"/>
      <c r="H218" s="387"/>
      <c r="I218" s="387"/>
      <c r="J218" s="387"/>
      <c r="K218" s="387"/>
      <c r="L218" s="387"/>
      <c r="M218" s="387"/>
      <c r="N218" s="387"/>
      <c r="O218" s="387"/>
      <c r="P218" s="420">
        <v>15599</v>
      </c>
      <c r="Q218" s="358"/>
      <c r="R218" s="358"/>
      <c r="S218" s="361"/>
      <c r="T218" s="348"/>
    </row>
    <row r="219" spans="1:20" s="349" customFormat="1" x14ac:dyDescent="0.3">
      <c r="A219" s="365"/>
      <c r="B219" s="358" t="s">
        <v>259</v>
      </c>
      <c r="C219" s="419"/>
      <c r="D219" s="387"/>
      <c r="E219" s="387"/>
      <c r="F219" s="387"/>
      <c r="G219" s="387"/>
      <c r="H219" s="387"/>
      <c r="I219" s="387"/>
      <c r="J219" s="387"/>
      <c r="K219" s="387"/>
      <c r="L219" s="387"/>
      <c r="M219" s="387"/>
      <c r="N219" s="387"/>
      <c r="O219" s="387"/>
      <c r="P219" s="420">
        <v>15599</v>
      </c>
      <c r="Q219" s="358"/>
      <c r="R219" s="358"/>
      <c r="S219" s="361"/>
      <c r="T219" s="348"/>
    </row>
    <row r="220" spans="1:20" s="349" customFormat="1" x14ac:dyDescent="0.3">
      <c r="A220" s="365"/>
      <c r="B220" s="358" t="s">
        <v>60</v>
      </c>
      <c r="C220" s="419"/>
      <c r="D220" s="387"/>
      <c r="E220" s="387"/>
      <c r="F220" s="387"/>
      <c r="G220" s="387"/>
      <c r="H220" s="387"/>
      <c r="I220" s="387"/>
      <c r="J220" s="387"/>
      <c r="K220" s="387"/>
      <c r="L220" s="387"/>
      <c r="M220" s="387"/>
      <c r="N220" s="387"/>
      <c r="O220" s="387"/>
      <c r="P220" s="385">
        <v>20.55</v>
      </c>
      <c r="Q220" s="358" t="s">
        <v>90</v>
      </c>
      <c r="R220" s="358"/>
      <c r="S220" s="361"/>
      <c r="T220" s="348"/>
    </row>
    <row r="221" spans="1:20" s="349" customFormat="1" x14ac:dyDescent="0.3">
      <c r="A221" s="365"/>
      <c r="B221" s="358" t="s">
        <v>61</v>
      </c>
      <c r="C221" s="419"/>
      <c r="D221" s="387"/>
      <c r="E221" s="387"/>
      <c r="F221" s="387"/>
      <c r="G221" s="387"/>
      <c r="H221" s="387"/>
      <c r="I221" s="387"/>
      <c r="J221" s="387"/>
      <c r="K221" s="387"/>
      <c r="L221" s="387"/>
      <c r="M221" s="387"/>
      <c r="N221" s="387"/>
      <c r="O221" s="387"/>
      <c r="P221" s="385">
        <v>16.399999999999999</v>
      </c>
      <c r="Q221" s="358" t="s">
        <v>90</v>
      </c>
      <c r="R221" s="358"/>
      <c r="S221" s="361"/>
      <c r="T221" s="348"/>
    </row>
    <row r="222" spans="1:20" s="349" customFormat="1" x14ac:dyDescent="0.3">
      <c r="A222" s="365"/>
      <c r="B222" s="358" t="s">
        <v>62</v>
      </c>
      <c r="C222" s="419"/>
      <c r="D222" s="387"/>
      <c r="E222" s="387"/>
      <c r="F222" s="387"/>
      <c r="G222" s="387"/>
      <c r="H222" s="387"/>
      <c r="I222" s="387"/>
      <c r="J222" s="387"/>
      <c r="K222" s="387"/>
      <c r="L222" s="387"/>
      <c r="M222" s="387"/>
      <c r="N222" s="387"/>
      <c r="O222" s="387"/>
      <c r="P222" s="379">
        <f>(+J64+L64+P64)/H64</f>
        <v>0.12931243557873037</v>
      </c>
      <c r="Q222" s="358"/>
      <c r="R222" s="358"/>
      <c r="S222" s="361"/>
      <c r="T222" s="348"/>
    </row>
    <row r="223" spans="1:20" s="349" customFormat="1" x14ac:dyDescent="0.3">
      <c r="A223" s="365"/>
      <c r="B223" s="358" t="s">
        <v>63</v>
      </c>
      <c r="C223" s="419"/>
      <c r="D223" s="387"/>
      <c r="E223" s="387"/>
      <c r="F223" s="387"/>
      <c r="G223" s="387"/>
      <c r="H223" s="387"/>
      <c r="I223" s="387"/>
      <c r="J223" s="387"/>
      <c r="K223" s="387"/>
      <c r="L223" s="387"/>
      <c r="M223" s="387"/>
      <c r="N223" s="387"/>
      <c r="O223" s="387"/>
      <c r="P223" s="379">
        <v>0.33960000000000001</v>
      </c>
      <c r="Q223" s="358"/>
      <c r="R223" s="358"/>
      <c r="S223" s="361"/>
      <c r="T223" s="348"/>
    </row>
    <row r="224" spans="1:20" x14ac:dyDescent="0.3">
      <c r="A224" s="312"/>
      <c r="B224" s="316"/>
      <c r="C224" s="316"/>
      <c r="D224" s="277"/>
      <c r="E224" s="277"/>
      <c r="F224" s="277"/>
      <c r="G224" s="277"/>
      <c r="H224" s="277"/>
      <c r="I224" s="277"/>
      <c r="J224" s="277"/>
      <c r="K224" s="277"/>
      <c r="L224" s="277"/>
      <c r="M224" s="277"/>
      <c r="N224" s="277"/>
      <c r="O224" s="277"/>
      <c r="P224" s="297"/>
      <c r="Q224" s="277"/>
      <c r="R224" s="317"/>
      <c r="S224" s="252"/>
      <c r="T224" s="247"/>
    </row>
    <row r="225" spans="1:20" x14ac:dyDescent="0.3">
      <c r="A225" s="463"/>
      <c r="B225" s="452" t="s">
        <v>64</v>
      </c>
      <c r="C225" s="453"/>
      <c r="D225" s="453"/>
      <c r="E225" s="453"/>
      <c r="F225" s="453"/>
      <c r="G225" s="453"/>
      <c r="H225" s="453"/>
      <c r="I225" s="453"/>
      <c r="J225" s="453"/>
      <c r="K225" s="453"/>
      <c r="L225" s="453"/>
      <c r="M225" s="453"/>
      <c r="N225" s="453"/>
      <c r="O225" s="453" t="s">
        <v>83</v>
      </c>
      <c r="P225" s="469" t="s">
        <v>88</v>
      </c>
      <c r="Q225" s="447"/>
      <c r="R225" s="447"/>
      <c r="S225" s="445"/>
      <c r="T225" s="247"/>
    </row>
    <row r="226" spans="1:20" s="349" customFormat="1" x14ac:dyDescent="0.3">
      <c r="A226" s="464"/>
      <c r="B226" s="393" t="s">
        <v>65</v>
      </c>
      <c r="C226" s="408"/>
      <c r="D226" s="465"/>
      <c r="E226" s="465"/>
      <c r="F226" s="465"/>
      <c r="G226" s="465"/>
      <c r="H226" s="465"/>
      <c r="I226" s="465"/>
      <c r="J226" s="465"/>
      <c r="K226" s="465"/>
      <c r="L226" s="465"/>
      <c r="M226" s="465"/>
      <c r="N226" s="465"/>
      <c r="O226" s="465">
        <v>0</v>
      </c>
      <c r="P226" s="466">
        <v>0</v>
      </c>
      <c r="Q226" s="393"/>
      <c r="R226" s="467"/>
      <c r="S226" s="468"/>
      <c r="T226" s="348"/>
    </row>
    <row r="227" spans="1:20" s="349" customFormat="1" x14ac:dyDescent="0.3">
      <c r="A227" s="421"/>
      <c r="B227" s="358" t="s">
        <v>113</v>
      </c>
      <c r="C227" s="403"/>
      <c r="D227" s="366"/>
      <c r="E227" s="366"/>
      <c r="F227" s="366"/>
      <c r="G227" s="366"/>
      <c r="H227" s="366"/>
      <c r="I227" s="366"/>
      <c r="J227" s="366"/>
      <c r="K227" s="366"/>
      <c r="L227" s="366"/>
      <c r="M227" s="366"/>
      <c r="N227" s="366"/>
      <c r="O227" s="422">
        <f>+N279</f>
        <v>0</v>
      </c>
      <c r="P227" s="423">
        <f>+P279</f>
        <v>0</v>
      </c>
      <c r="Q227" s="358"/>
      <c r="R227" s="424"/>
      <c r="S227" s="425"/>
      <c r="T227" s="348"/>
    </row>
    <row r="228" spans="1:20" s="349" customFormat="1" x14ac:dyDescent="0.3">
      <c r="A228" s="421"/>
      <c r="B228" s="358" t="s">
        <v>66</v>
      </c>
      <c r="C228" s="403"/>
      <c r="D228" s="366"/>
      <c r="E228" s="366"/>
      <c r="F228" s="366"/>
      <c r="G228" s="366"/>
      <c r="H228" s="366"/>
      <c r="I228" s="366"/>
      <c r="J228" s="366"/>
      <c r="K228" s="366"/>
      <c r="L228" s="366"/>
      <c r="M228" s="366"/>
      <c r="N228" s="366"/>
      <c r="O228" s="422">
        <f>+N291</f>
        <v>0</v>
      </c>
      <c r="P228" s="423">
        <f>+P291</f>
        <v>0</v>
      </c>
      <c r="Q228" s="358"/>
      <c r="R228" s="424"/>
      <c r="S228" s="425"/>
      <c r="T228" s="348"/>
    </row>
    <row r="229" spans="1:20" x14ac:dyDescent="0.3">
      <c r="A229" s="318"/>
      <c r="B229" s="266" t="s">
        <v>284</v>
      </c>
      <c r="C229" s="321"/>
      <c r="D229" s="291"/>
      <c r="E229" s="291"/>
      <c r="F229" s="291"/>
      <c r="G229" s="291"/>
      <c r="H229" s="291"/>
      <c r="I229" s="291"/>
      <c r="J229" s="291"/>
      <c r="K229" s="291"/>
      <c r="L229" s="291"/>
      <c r="M229" s="291"/>
      <c r="N229" s="291"/>
      <c r="O229" s="263"/>
      <c r="P229" s="423">
        <f>+P64</f>
        <v>4821</v>
      </c>
      <c r="Q229" s="291"/>
      <c r="R229" s="322"/>
      <c r="S229" s="320"/>
      <c r="T229" s="247"/>
    </row>
    <row r="230" spans="1:20" x14ac:dyDescent="0.3">
      <c r="A230" s="318"/>
      <c r="B230" s="266" t="s">
        <v>140</v>
      </c>
      <c r="C230" s="321"/>
      <c r="D230" s="291"/>
      <c r="E230" s="291"/>
      <c r="F230" s="291"/>
      <c r="G230" s="291"/>
      <c r="H230" s="291"/>
      <c r="I230" s="291"/>
      <c r="J230" s="291"/>
      <c r="K230" s="291"/>
      <c r="L230" s="291"/>
      <c r="M230" s="291"/>
      <c r="N230" s="291"/>
      <c r="O230" s="263"/>
      <c r="P230" s="423">
        <f>-J77</f>
        <v>0</v>
      </c>
      <c r="Q230" s="291"/>
      <c r="R230" s="322"/>
      <c r="S230" s="320"/>
      <c r="T230" s="247"/>
    </row>
    <row r="231" spans="1:20" x14ac:dyDescent="0.3">
      <c r="A231" s="323"/>
      <c r="B231" s="266" t="s">
        <v>67</v>
      </c>
      <c r="C231" s="324"/>
      <c r="D231" s="291"/>
      <c r="E231" s="291"/>
      <c r="F231" s="291"/>
      <c r="G231" s="291"/>
      <c r="H231" s="291"/>
      <c r="I231" s="291"/>
      <c r="J231" s="291"/>
      <c r="K231" s="291"/>
      <c r="L231" s="291"/>
      <c r="M231" s="291"/>
      <c r="N231" s="291"/>
      <c r="O231" s="263"/>
      <c r="P231" s="319"/>
      <c r="Q231" s="291"/>
      <c r="R231" s="322"/>
      <c r="S231" s="325"/>
      <c r="T231" s="247"/>
    </row>
    <row r="232" spans="1:20" s="349" customFormat="1" x14ac:dyDescent="0.3">
      <c r="A232" s="426"/>
      <c r="B232" s="358" t="s">
        <v>68</v>
      </c>
      <c r="C232" s="358"/>
      <c r="D232" s="358"/>
      <c r="E232" s="358"/>
      <c r="F232" s="358"/>
      <c r="G232" s="358"/>
      <c r="H232" s="358"/>
      <c r="I232" s="358"/>
      <c r="J232" s="358"/>
      <c r="K232" s="358"/>
      <c r="L232" s="358"/>
      <c r="M232" s="358"/>
      <c r="N232" s="358"/>
      <c r="O232" s="366"/>
      <c r="P232" s="423">
        <f>R162</f>
        <v>0</v>
      </c>
      <c r="Q232" s="358"/>
      <c r="R232" s="424"/>
      <c r="S232" s="427"/>
      <c r="T232" s="348"/>
    </row>
    <row r="233" spans="1:20" s="349" customFormat="1" x14ac:dyDescent="0.3">
      <c r="A233" s="421"/>
      <c r="B233" s="358" t="s">
        <v>69</v>
      </c>
      <c r="C233" s="403"/>
      <c r="D233" s="358"/>
      <c r="E233" s="358"/>
      <c r="F233" s="358"/>
      <c r="G233" s="358"/>
      <c r="H233" s="358"/>
      <c r="I233" s="358"/>
      <c r="J233" s="358"/>
      <c r="K233" s="358"/>
      <c r="L233" s="358"/>
      <c r="M233" s="358"/>
      <c r="N233" s="358"/>
      <c r="O233" s="366"/>
      <c r="P233" s="423">
        <f>'Nov 18'!P233+P232</f>
        <v>0</v>
      </c>
      <c r="Q233" s="358"/>
      <c r="R233" s="424"/>
      <c r="S233" s="427"/>
      <c r="T233" s="348"/>
    </row>
    <row r="234" spans="1:20" x14ac:dyDescent="0.3">
      <c r="A234" s="323"/>
      <c r="B234" s="266" t="s">
        <v>151</v>
      </c>
      <c r="C234" s="324"/>
      <c r="D234" s="291"/>
      <c r="E234" s="291"/>
      <c r="F234" s="291"/>
      <c r="G234" s="291"/>
      <c r="H234" s="291"/>
      <c r="I234" s="291"/>
      <c r="J234" s="291"/>
      <c r="K234" s="291"/>
      <c r="L234" s="291"/>
      <c r="M234" s="291"/>
      <c r="N234" s="291"/>
      <c r="O234" s="264"/>
      <c r="P234" s="319"/>
      <c r="Q234" s="291"/>
      <c r="R234" s="322"/>
      <c r="S234" s="325"/>
      <c r="T234" s="247"/>
    </row>
    <row r="235" spans="1:20" s="349" customFormat="1" x14ac:dyDescent="0.3">
      <c r="A235" s="426"/>
      <c r="B235" s="358" t="s">
        <v>160</v>
      </c>
      <c r="C235" s="358"/>
      <c r="D235" s="358"/>
      <c r="E235" s="358"/>
      <c r="F235" s="358"/>
      <c r="G235" s="358"/>
      <c r="H235" s="358"/>
      <c r="I235" s="358"/>
      <c r="J235" s="358"/>
      <c r="K235" s="358"/>
      <c r="L235" s="358"/>
      <c r="M235" s="358"/>
      <c r="N235" s="358"/>
      <c r="O235" s="366">
        <v>0</v>
      </c>
      <c r="P235" s="423">
        <v>0</v>
      </c>
      <c r="Q235" s="358"/>
      <c r="R235" s="424"/>
      <c r="S235" s="427"/>
      <c r="T235" s="348"/>
    </row>
    <row r="236" spans="1:20" s="349" customFormat="1" x14ac:dyDescent="0.3">
      <c r="A236" s="421"/>
      <c r="B236" s="358" t="s">
        <v>70</v>
      </c>
      <c r="C236" s="383"/>
      <c r="D236" s="358"/>
      <c r="E236" s="358"/>
      <c r="F236" s="358"/>
      <c r="G236" s="358"/>
      <c r="H236" s="358"/>
      <c r="I236" s="358"/>
      <c r="J236" s="358"/>
      <c r="K236" s="358"/>
      <c r="L236" s="358"/>
      <c r="M236" s="358"/>
      <c r="N236" s="358"/>
      <c r="O236" s="358"/>
      <c r="P236" s="428">
        <v>0</v>
      </c>
      <c r="Q236" s="358"/>
      <c r="R236" s="424"/>
      <c r="S236" s="427"/>
      <c r="T236" s="348"/>
    </row>
    <row r="237" spans="1:20" s="349" customFormat="1" x14ac:dyDescent="0.3">
      <c r="A237" s="421"/>
      <c r="B237" s="358" t="s">
        <v>71</v>
      </c>
      <c r="C237" s="383"/>
      <c r="D237" s="358"/>
      <c r="E237" s="358"/>
      <c r="F237" s="358"/>
      <c r="G237" s="358"/>
      <c r="H237" s="358"/>
      <c r="I237" s="358"/>
      <c r="J237" s="358"/>
      <c r="K237" s="358"/>
      <c r="L237" s="358"/>
      <c r="M237" s="358"/>
      <c r="N237" s="358"/>
      <c r="O237" s="358"/>
      <c r="P237" s="428">
        <v>0</v>
      </c>
      <c r="Q237" s="358"/>
      <c r="R237" s="424"/>
      <c r="S237" s="427"/>
      <c r="T237" s="348"/>
    </row>
    <row r="238" spans="1:20" x14ac:dyDescent="0.3">
      <c r="A238" s="318"/>
      <c r="B238" s="266" t="s">
        <v>136</v>
      </c>
      <c r="C238" s="326"/>
      <c r="D238" s="291"/>
      <c r="E238" s="291"/>
      <c r="F238" s="291"/>
      <c r="G238" s="291"/>
      <c r="H238" s="291"/>
      <c r="I238" s="291"/>
      <c r="J238" s="291"/>
      <c r="K238" s="291"/>
      <c r="L238" s="291"/>
      <c r="M238" s="291"/>
      <c r="N238" s="291"/>
      <c r="O238" s="263"/>
      <c r="P238" s="327"/>
      <c r="Q238" s="291"/>
      <c r="R238" s="322"/>
      <c r="S238" s="325"/>
      <c r="T238" s="247"/>
    </row>
    <row r="239" spans="1:20" s="349" customFormat="1" x14ac:dyDescent="0.3">
      <c r="A239" s="421"/>
      <c r="B239" s="358" t="s">
        <v>160</v>
      </c>
      <c r="C239" s="383"/>
      <c r="D239" s="358"/>
      <c r="E239" s="358"/>
      <c r="F239" s="358"/>
      <c r="G239" s="358"/>
      <c r="H239" s="358"/>
      <c r="I239" s="358"/>
      <c r="J239" s="358"/>
      <c r="K239" s="358"/>
      <c r="L239" s="358"/>
      <c r="M239" s="358"/>
      <c r="N239" s="358"/>
      <c r="O239" s="366">
        <v>0</v>
      </c>
      <c r="P239" s="423">
        <v>0</v>
      </c>
      <c r="Q239" s="358"/>
      <c r="R239" s="424"/>
      <c r="S239" s="427"/>
      <c r="T239" s="348"/>
    </row>
    <row r="240" spans="1:20" s="349" customFormat="1" x14ac:dyDescent="0.3">
      <c r="A240" s="421"/>
      <c r="B240" s="358" t="s">
        <v>137</v>
      </c>
      <c r="C240" s="383"/>
      <c r="D240" s="358"/>
      <c r="E240" s="358"/>
      <c r="F240" s="358"/>
      <c r="G240" s="358"/>
      <c r="H240" s="358"/>
      <c r="I240" s="358"/>
      <c r="J240" s="358"/>
      <c r="K240" s="358"/>
      <c r="L240" s="358"/>
      <c r="M240" s="358"/>
      <c r="N240" s="358"/>
      <c r="O240" s="358"/>
      <c r="P240" s="428">
        <v>0</v>
      </c>
      <c r="Q240" s="358"/>
      <c r="R240" s="424"/>
      <c r="S240" s="427"/>
      <c r="T240" s="348"/>
    </row>
    <row r="241" spans="1:20" x14ac:dyDescent="0.3">
      <c r="A241" s="318"/>
      <c r="B241" s="324"/>
      <c r="C241" s="326"/>
      <c r="D241" s="291"/>
      <c r="E241" s="291"/>
      <c r="F241" s="291"/>
      <c r="G241" s="291"/>
      <c r="H241" s="291"/>
      <c r="I241" s="291"/>
      <c r="J241" s="291"/>
      <c r="K241" s="291"/>
      <c r="L241" s="291"/>
      <c r="M241" s="291"/>
      <c r="N241" s="291"/>
      <c r="O241" s="263"/>
      <c r="P241" s="327"/>
      <c r="Q241" s="291"/>
      <c r="R241" s="322"/>
      <c r="S241" s="325"/>
      <c r="T241" s="247"/>
    </row>
    <row r="242" spans="1:20" x14ac:dyDescent="0.3">
      <c r="A242" s="318"/>
      <c r="B242" s="324"/>
      <c r="C242" s="326"/>
      <c r="D242" s="291"/>
      <c r="E242" s="291"/>
      <c r="F242" s="291"/>
      <c r="G242" s="291"/>
      <c r="H242" s="291"/>
      <c r="I242" s="291"/>
      <c r="J242" s="291"/>
      <c r="K242" s="291"/>
      <c r="L242" s="291"/>
      <c r="M242" s="291"/>
      <c r="N242" s="291"/>
      <c r="O242" s="291"/>
      <c r="P242" s="328"/>
      <c r="Q242" s="291"/>
      <c r="R242" s="322"/>
      <c r="S242" s="325"/>
      <c r="T242" s="247"/>
    </row>
    <row r="243" spans="1:20" ht="18" x14ac:dyDescent="0.35">
      <c r="A243" s="318"/>
      <c r="B243" s="329" t="s">
        <v>129</v>
      </c>
      <c r="C243" s="326"/>
      <c r="D243" s="291"/>
      <c r="E243" s="291"/>
      <c r="F243" s="291"/>
      <c r="G243" s="291"/>
      <c r="H243" s="291"/>
      <c r="I243" s="291"/>
      <c r="J243" s="291"/>
      <c r="K243" s="291"/>
      <c r="L243" s="330"/>
      <c r="M243" s="291"/>
      <c r="N243" s="342" t="s">
        <v>291</v>
      </c>
      <c r="O243" s="330"/>
      <c r="P243" s="328"/>
      <c r="Q243" s="291"/>
      <c r="R243" s="322"/>
      <c r="S243" s="325"/>
      <c r="T243" s="247"/>
    </row>
    <row r="244" spans="1:20" ht="18" x14ac:dyDescent="0.35">
      <c r="A244" s="331"/>
      <c r="B244" s="332"/>
      <c r="C244" s="333"/>
      <c r="D244" s="277"/>
      <c r="E244" s="277"/>
      <c r="F244" s="277"/>
      <c r="G244" s="277"/>
      <c r="H244" s="277"/>
      <c r="I244" s="277"/>
      <c r="J244" s="277"/>
      <c r="K244" s="277"/>
      <c r="L244" s="334"/>
      <c r="M244" s="277"/>
      <c r="N244" s="277"/>
      <c r="O244" s="277"/>
      <c r="P244" s="335"/>
      <c r="Q244" s="277"/>
      <c r="R244" s="317"/>
      <c r="S244" s="336"/>
      <c r="T244" s="247"/>
    </row>
    <row r="245" spans="1:20" x14ac:dyDescent="0.3">
      <c r="A245" s="443"/>
      <c r="B245" s="452" t="s">
        <v>152</v>
      </c>
      <c r="C245" s="453"/>
      <c r="D245" s="453"/>
      <c r="E245" s="453"/>
      <c r="F245" s="453"/>
      <c r="G245" s="453"/>
      <c r="H245" s="453"/>
      <c r="I245" s="453"/>
      <c r="J245" s="453"/>
      <c r="K245" s="453"/>
      <c r="L245" s="453"/>
      <c r="M245" s="453"/>
      <c r="N245" s="469" t="s">
        <v>83</v>
      </c>
      <c r="O245" s="453" t="s">
        <v>84</v>
      </c>
      <c r="P245" s="469" t="s">
        <v>89</v>
      </c>
      <c r="Q245" s="453" t="s">
        <v>84</v>
      </c>
      <c r="R245" s="447"/>
      <c r="S245" s="470"/>
      <c r="T245" s="247"/>
    </row>
    <row r="246" spans="1:20" s="349" customFormat="1" x14ac:dyDescent="0.3">
      <c r="A246" s="344"/>
      <c r="B246" s="408" t="s">
        <v>72</v>
      </c>
      <c r="C246" s="471"/>
      <c r="D246" s="471"/>
      <c r="E246" s="471"/>
      <c r="F246" s="471"/>
      <c r="G246" s="471"/>
      <c r="H246" s="471"/>
      <c r="I246" s="471"/>
      <c r="J246" s="471"/>
      <c r="K246" s="471"/>
      <c r="L246" s="471"/>
      <c r="M246" s="471"/>
      <c r="N246" s="408">
        <f>+N258+N270+N282</f>
        <v>362</v>
      </c>
      <c r="O246" s="472">
        <f>N246/$N$255</f>
        <v>0.99450549450549453</v>
      </c>
      <c r="P246" s="411">
        <f t="shared" ref="P246:P253" si="5">+P258+P270+P282</f>
        <v>55730</v>
      </c>
      <c r="Q246" s="472">
        <f t="shared" ref="Q246:Q253" si="6">P246/$P$255</f>
        <v>0.97021291412057586</v>
      </c>
      <c r="R246" s="467"/>
      <c r="S246" s="473"/>
      <c r="T246" s="348"/>
    </row>
    <row r="247" spans="1:20" s="349" customFormat="1" x14ac:dyDescent="0.3">
      <c r="A247" s="365"/>
      <c r="B247" s="403" t="s">
        <v>73</v>
      </c>
      <c r="C247" s="429"/>
      <c r="D247" s="429"/>
      <c r="E247" s="429"/>
      <c r="F247" s="429"/>
      <c r="G247" s="429"/>
      <c r="H247" s="429"/>
      <c r="I247" s="429"/>
      <c r="J247" s="429"/>
      <c r="K247" s="429"/>
      <c r="L247" s="429"/>
      <c r="M247" s="429"/>
      <c r="N247" s="403">
        <f t="shared" ref="N247:N253" si="7">+N259+N271+N283</f>
        <v>0</v>
      </c>
      <c r="O247" s="430">
        <f t="shared" ref="O247:O253" si="8">N247/$N$255</f>
        <v>0</v>
      </c>
      <c r="P247" s="404">
        <f t="shared" si="5"/>
        <v>0</v>
      </c>
      <c r="Q247" s="430">
        <f t="shared" si="6"/>
        <v>0</v>
      </c>
      <c r="R247" s="424"/>
      <c r="S247" s="427"/>
      <c r="T247" s="348"/>
    </row>
    <row r="248" spans="1:20" s="349" customFormat="1" x14ac:dyDescent="0.3">
      <c r="A248" s="365"/>
      <c r="B248" s="403" t="s">
        <v>74</v>
      </c>
      <c r="C248" s="429"/>
      <c r="D248" s="429"/>
      <c r="E248" s="429"/>
      <c r="F248" s="429"/>
      <c r="G248" s="429"/>
      <c r="H248" s="429"/>
      <c r="I248" s="429"/>
      <c r="J248" s="429"/>
      <c r="K248" s="429"/>
      <c r="L248" s="429"/>
      <c r="M248" s="429"/>
      <c r="N248" s="403">
        <f t="shared" si="7"/>
        <v>1</v>
      </c>
      <c r="O248" s="430">
        <f t="shared" si="8"/>
        <v>2.7472527472527475E-3</v>
      </c>
      <c r="P248" s="404">
        <f t="shared" si="5"/>
        <v>1326</v>
      </c>
      <c r="Q248" s="430">
        <f t="shared" si="6"/>
        <v>2.3084556327361987E-2</v>
      </c>
      <c r="R248" s="424"/>
      <c r="S248" s="427"/>
      <c r="T248" s="348"/>
    </row>
    <row r="249" spans="1:20" s="349" customFormat="1" x14ac:dyDescent="0.3">
      <c r="A249" s="365"/>
      <c r="B249" s="403" t="s">
        <v>119</v>
      </c>
      <c r="C249" s="429"/>
      <c r="D249" s="429"/>
      <c r="E249" s="429"/>
      <c r="F249" s="429"/>
      <c r="G249" s="429"/>
      <c r="H249" s="429"/>
      <c r="I249" s="429"/>
      <c r="J249" s="429"/>
      <c r="K249" s="429"/>
      <c r="L249" s="429"/>
      <c r="M249" s="429"/>
      <c r="N249" s="403">
        <f t="shared" si="7"/>
        <v>0</v>
      </c>
      <c r="O249" s="430">
        <f t="shared" si="8"/>
        <v>0</v>
      </c>
      <c r="P249" s="404">
        <f t="shared" si="5"/>
        <v>0</v>
      </c>
      <c r="Q249" s="430">
        <f t="shared" si="6"/>
        <v>0</v>
      </c>
      <c r="R249" s="424"/>
      <c r="S249" s="427"/>
      <c r="T249" s="348"/>
    </row>
    <row r="250" spans="1:20" s="349" customFormat="1" x14ac:dyDescent="0.3">
      <c r="A250" s="365"/>
      <c r="B250" s="403" t="s">
        <v>120</v>
      </c>
      <c r="C250" s="429"/>
      <c r="D250" s="429"/>
      <c r="E250" s="429"/>
      <c r="F250" s="429"/>
      <c r="G250" s="429"/>
      <c r="H250" s="429"/>
      <c r="I250" s="429"/>
      <c r="J250" s="429"/>
      <c r="K250" s="429"/>
      <c r="L250" s="429"/>
      <c r="M250" s="429"/>
      <c r="N250" s="403">
        <f t="shared" si="7"/>
        <v>0</v>
      </c>
      <c r="O250" s="430">
        <f t="shared" si="8"/>
        <v>0</v>
      </c>
      <c r="P250" s="404">
        <f t="shared" si="5"/>
        <v>0</v>
      </c>
      <c r="Q250" s="430">
        <f t="shared" si="6"/>
        <v>0</v>
      </c>
      <c r="R250" s="424"/>
      <c r="S250" s="427"/>
      <c r="T250" s="348"/>
    </row>
    <row r="251" spans="1:20" s="349" customFormat="1" x14ac:dyDescent="0.3">
      <c r="A251" s="365"/>
      <c r="B251" s="403" t="s">
        <v>121</v>
      </c>
      <c r="C251" s="429"/>
      <c r="D251" s="429"/>
      <c r="E251" s="429"/>
      <c r="F251" s="429"/>
      <c r="G251" s="429"/>
      <c r="H251" s="429"/>
      <c r="I251" s="429"/>
      <c r="J251" s="429"/>
      <c r="K251" s="429"/>
      <c r="L251" s="429"/>
      <c r="M251" s="429"/>
      <c r="N251" s="403">
        <f t="shared" si="7"/>
        <v>0</v>
      </c>
      <c r="O251" s="430">
        <f t="shared" si="8"/>
        <v>0</v>
      </c>
      <c r="P251" s="404">
        <f t="shared" si="5"/>
        <v>0</v>
      </c>
      <c r="Q251" s="430">
        <f t="shared" si="6"/>
        <v>0</v>
      </c>
      <c r="R251" s="424"/>
      <c r="S251" s="427"/>
      <c r="T251" s="348"/>
    </row>
    <row r="252" spans="1:20" s="349" customFormat="1" x14ac:dyDescent="0.3">
      <c r="A252" s="365"/>
      <c r="B252" s="403" t="s">
        <v>122</v>
      </c>
      <c r="C252" s="429"/>
      <c r="D252" s="429"/>
      <c r="E252" s="429"/>
      <c r="F252" s="429"/>
      <c r="G252" s="429"/>
      <c r="H252" s="429"/>
      <c r="I252" s="429"/>
      <c r="J252" s="429"/>
      <c r="K252" s="429"/>
      <c r="L252" s="429"/>
      <c r="M252" s="429"/>
      <c r="N252" s="403">
        <f t="shared" si="7"/>
        <v>0</v>
      </c>
      <c r="O252" s="430">
        <f t="shared" si="8"/>
        <v>0</v>
      </c>
      <c r="P252" s="404">
        <f t="shared" si="5"/>
        <v>0</v>
      </c>
      <c r="Q252" s="430">
        <f t="shared" si="6"/>
        <v>0</v>
      </c>
      <c r="R252" s="424"/>
      <c r="S252" s="427"/>
      <c r="T252" s="348"/>
    </row>
    <row r="253" spans="1:20" s="349" customFormat="1" x14ac:dyDescent="0.3">
      <c r="A253" s="365"/>
      <c r="B253" s="403" t="s">
        <v>123</v>
      </c>
      <c r="C253" s="429"/>
      <c r="D253" s="429"/>
      <c r="E253" s="429"/>
      <c r="F253" s="429"/>
      <c r="G253" s="429"/>
      <c r="H253" s="429"/>
      <c r="I253" s="429"/>
      <c r="J253" s="429"/>
      <c r="K253" s="429"/>
      <c r="L253" s="429"/>
      <c r="M253" s="429"/>
      <c r="N253" s="403">
        <f t="shared" si="7"/>
        <v>1</v>
      </c>
      <c r="O253" s="430">
        <f t="shared" si="8"/>
        <v>2.7472527472527475E-3</v>
      </c>
      <c r="P253" s="404">
        <f t="shared" si="5"/>
        <v>385</v>
      </c>
      <c r="Q253" s="430">
        <f t="shared" si="6"/>
        <v>6.7025295520621161E-3</v>
      </c>
      <c r="R253" s="424"/>
      <c r="S253" s="427"/>
      <c r="T253" s="348"/>
    </row>
    <row r="254" spans="1:20" s="349" customFormat="1" x14ac:dyDescent="0.3">
      <c r="A254" s="365"/>
      <c r="B254" s="403"/>
      <c r="C254" s="429"/>
      <c r="D254" s="429"/>
      <c r="E254" s="429"/>
      <c r="F254" s="429"/>
      <c r="G254" s="429"/>
      <c r="H254" s="429"/>
      <c r="I254" s="429"/>
      <c r="J254" s="429"/>
      <c r="K254" s="429"/>
      <c r="L254" s="429"/>
      <c r="M254" s="429"/>
      <c r="N254" s="403"/>
      <c r="O254" s="430"/>
      <c r="P254" s="404"/>
      <c r="Q254" s="430"/>
      <c r="R254" s="424"/>
      <c r="S254" s="427"/>
      <c r="T254" s="348"/>
    </row>
    <row r="255" spans="1:20" s="349" customFormat="1" x14ac:dyDescent="0.3">
      <c r="A255" s="365"/>
      <c r="B255" s="358" t="s">
        <v>94</v>
      </c>
      <c r="C255" s="358"/>
      <c r="D255" s="431"/>
      <c r="E255" s="431"/>
      <c r="F255" s="431"/>
      <c r="G255" s="431"/>
      <c r="H255" s="431"/>
      <c r="I255" s="431"/>
      <c r="J255" s="431"/>
      <c r="K255" s="431"/>
      <c r="L255" s="431"/>
      <c r="M255" s="431"/>
      <c r="N255" s="403">
        <f>SUM(N246:N254)</f>
        <v>364</v>
      </c>
      <c r="O255" s="430">
        <f>SUM(O246:O254)</f>
        <v>1</v>
      </c>
      <c r="P255" s="404">
        <f>SUM(P246:P254)</f>
        <v>57441</v>
      </c>
      <c r="Q255" s="430">
        <f>SUM(Q246:Q254)</f>
        <v>0.99999999999999989</v>
      </c>
      <c r="R255" s="358"/>
      <c r="S255" s="361"/>
      <c r="T255" s="348"/>
    </row>
    <row r="256" spans="1:20" x14ac:dyDescent="0.3">
      <c r="A256" s="249"/>
      <c r="B256" s="316"/>
      <c r="C256" s="333"/>
      <c r="D256" s="277"/>
      <c r="E256" s="277"/>
      <c r="F256" s="277"/>
      <c r="G256" s="277"/>
      <c r="H256" s="277"/>
      <c r="I256" s="277"/>
      <c r="J256" s="277"/>
      <c r="K256" s="277"/>
      <c r="L256" s="277"/>
      <c r="M256" s="277"/>
      <c r="N256" s="277"/>
      <c r="O256" s="277"/>
      <c r="P256" s="335"/>
      <c r="Q256" s="277"/>
      <c r="R256" s="277"/>
      <c r="S256" s="252"/>
      <c r="T256" s="247"/>
    </row>
    <row r="257" spans="1:21" x14ac:dyDescent="0.3">
      <c r="A257" s="443"/>
      <c r="B257" s="452" t="s">
        <v>124</v>
      </c>
      <c r="C257" s="453"/>
      <c r="D257" s="453"/>
      <c r="E257" s="453"/>
      <c r="F257" s="453"/>
      <c r="G257" s="453"/>
      <c r="H257" s="453"/>
      <c r="I257" s="453"/>
      <c r="J257" s="453"/>
      <c r="K257" s="453"/>
      <c r="L257" s="453"/>
      <c r="M257" s="453"/>
      <c r="N257" s="469" t="s">
        <v>83</v>
      </c>
      <c r="O257" s="453" t="s">
        <v>84</v>
      </c>
      <c r="P257" s="469" t="s">
        <v>89</v>
      </c>
      <c r="Q257" s="453" t="s">
        <v>84</v>
      </c>
      <c r="R257" s="447"/>
      <c r="S257" s="470"/>
      <c r="T257" s="247"/>
    </row>
    <row r="258" spans="1:21" s="349" customFormat="1" x14ac:dyDescent="0.3">
      <c r="A258" s="344"/>
      <c r="B258" s="408" t="s">
        <v>72</v>
      </c>
      <c r="C258" s="471"/>
      <c r="D258" s="471"/>
      <c r="E258" s="471"/>
      <c r="F258" s="471"/>
      <c r="G258" s="471"/>
      <c r="H258" s="471"/>
      <c r="I258" s="471"/>
      <c r="J258" s="471"/>
      <c r="K258" s="471"/>
      <c r="L258" s="471"/>
      <c r="M258" s="471"/>
      <c r="N258" s="408">
        <v>362</v>
      </c>
      <c r="O258" s="472">
        <f>N258/$N$267</f>
        <v>0.99450549450549453</v>
      </c>
      <c r="P258" s="411">
        <v>55730</v>
      </c>
      <c r="Q258" s="472">
        <f>P258/$P$267</f>
        <v>0.97021291412057586</v>
      </c>
      <c r="R258" s="467"/>
      <c r="S258" s="473"/>
      <c r="T258" s="348"/>
    </row>
    <row r="259" spans="1:21" s="349" customFormat="1" x14ac:dyDescent="0.3">
      <c r="A259" s="365"/>
      <c r="B259" s="403" t="s">
        <v>73</v>
      </c>
      <c r="C259" s="429"/>
      <c r="D259" s="429"/>
      <c r="E259" s="429"/>
      <c r="F259" s="429"/>
      <c r="G259" s="429"/>
      <c r="H259" s="429"/>
      <c r="I259" s="429"/>
      <c r="J259" s="429"/>
      <c r="K259" s="429"/>
      <c r="L259" s="429"/>
      <c r="M259" s="429"/>
      <c r="N259" s="403">
        <v>0</v>
      </c>
      <c r="O259" s="430">
        <f t="shared" ref="O259:O265" si="9">N259/$N$267</f>
        <v>0</v>
      </c>
      <c r="P259" s="404">
        <v>0</v>
      </c>
      <c r="Q259" s="430">
        <f t="shared" ref="Q259:Q265" si="10">P259/$P$267</f>
        <v>0</v>
      </c>
      <c r="R259" s="424"/>
      <c r="S259" s="427"/>
      <c r="T259" s="348"/>
      <c r="U259" s="407"/>
    </row>
    <row r="260" spans="1:21" s="349" customFormat="1" x14ac:dyDescent="0.3">
      <c r="A260" s="365"/>
      <c r="B260" s="403" t="s">
        <v>74</v>
      </c>
      <c r="C260" s="429"/>
      <c r="D260" s="429"/>
      <c r="E260" s="429"/>
      <c r="F260" s="429"/>
      <c r="G260" s="429"/>
      <c r="H260" s="429"/>
      <c r="I260" s="429"/>
      <c r="J260" s="429"/>
      <c r="K260" s="429"/>
      <c r="L260" s="429"/>
      <c r="M260" s="429"/>
      <c r="N260" s="403">
        <v>1</v>
      </c>
      <c r="O260" s="430">
        <f t="shared" si="9"/>
        <v>2.7472527472527475E-3</v>
      </c>
      <c r="P260" s="404">
        <v>1326</v>
      </c>
      <c r="Q260" s="430">
        <f t="shared" si="10"/>
        <v>2.3084556327361987E-2</v>
      </c>
      <c r="R260" s="424"/>
      <c r="S260" s="427"/>
      <c r="T260" s="348"/>
    </row>
    <row r="261" spans="1:21" s="349" customFormat="1" x14ac:dyDescent="0.3">
      <c r="A261" s="365"/>
      <c r="B261" s="403" t="s">
        <v>119</v>
      </c>
      <c r="C261" s="429"/>
      <c r="D261" s="429"/>
      <c r="E261" s="429"/>
      <c r="F261" s="429"/>
      <c r="G261" s="429"/>
      <c r="H261" s="429"/>
      <c r="I261" s="429"/>
      <c r="J261" s="429"/>
      <c r="K261" s="429"/>
      <c r="L261" s="429"/>
      <c r="M261" s="429"/>
      <c r="N261" s="403">
        <v>0</v>
      </c>
      <c r="O261" s="430">
        <f t="shared" si="9"/>
        <v>0</v>
      </c>
      <c r="P261" s="404">
        <v>0</v>
      </c>
      <c r="Q261" s="430">
        <f t="shared" si="10"/>
        <v>0</v>
      </c>
      <c r="R261" s="424"/>
      <c r="S261" s="427"/>
      <c r="T261" s="348"/>
      <c r="U261" s="407"/>
    </row>
    <row r="262" spans="1:21" s="349" customFormat="1" x14ac:dyDescent="0.3">
      <c r="A262" s="365"/>
      <c r="B262" s="403" t="s">
        <v>120</v>
      </c>
      <c r="C262" s="429"/>
      <c r="D262" s="429"/>
      <c r="E262" s="429"/>
      <c r="F262" s="429"/>
      <c r="G262" s="429"/>
      <c r="H262" s="429"/>
      <c r="I262" s="429"/>
      <c r="J262" s="429"/>
      <c r="K262" s="429"/>
      <c r="L262" s="429"/>
      <c r="M262" s="429"/>
      <c r="N262" s="403">
        <v>0</v>
      </c>
      <c r="O262" s="430">
        <f t="shared" si="9"/>
        <v>0</v>
      </c>
      <c r="P262" s="404">
        <v>0</v>
      </c>
      <c r="Q262" s="430">
        <f t="shared" si="10"/>
        <v>0</v>
      </c>
      <c r="R262" s="424"/>
      <c r="S262" s="427"/>
      <c r="T262" s="348"/>
    </row>
    <row r="263" spans="1:21" s="349" customFormat="1" x14ac:dyDescent="0.3">
      <c r="A263" s="365"/>
      <c r="B263" s="403" t="s">
        <v>121</v>
      </c>
      <c r="C263" s="429"/>
      <c r="D263" s="429"/>
      <c r="E263" s="429"/>
      <c r="F263" s="429"/>
      <c r="G263" s="429"/>
      <c r="H263" s="429"/>
      <c r="I263" s="429"/>
      <c r="J263" s="429"/>
      <c r="K263" s="429"/>
      <c r="L263" s="429"/>
      <c r="M263" s="429"/>
      <c r="N263" s="403">
        <v>0</v>
      </c>
      <c r="O263" s="430">
        <f t="shared" si="9"/>
        <v>0</v>
      </c>
      <c r="P263" s="404">
        <v>0</v>
      </c>
      <c r="Q263" s="430">
        <f t="shared" si="10"/>
        <v>0</v>
      </c>
      <c r="R263" s="424"/>
      <c r="S263" s="427"/>
      <c r="T263" s="348"/>
      <c r="U263" s="407"/>
    </row>
    <row r="264" spans="1:21" s="349" customFormat="1" x14ac:dyDescent="0.3">
      <c r="A264" s="365"/>
      <c r="B264" s="403" t="s">
        <v>122</v>
      </c>
      <c r="C264" s="429"/>
      <c r="D264" s="429"/>
      <c r="E264" s="429"/>
      <c r="F264" s="429"/>
      <c r="G264" s="429"/>
      <c r="H264" s="429"/>
      <c r="I264" s="429"/>
      <c r="J264" s="429"/>
      <c r="K264" s="429"/>
      <c r="L264" s="429"/>
      <c r="M264" s="429"/>
      <c r="N264" s="403">
        <v>0</v>
      </c>
      <c r="O264" s="430">
        <f t="shared" si="9"/>
        <v>0</v>
      </c>
      <c r="P264" s="404">
        <v>0</v>
      </c>
      <c r="Q264" s="430">
        <f t="shared" si="10"/>
        <v>0</v>
      </c>
      <c r="R264" s="424"/>
      <c r="S264" s="427"/>
      <c r="T264" s="348"/>
    </row>
    <row r="265" spans="1:21" s="349" customFormat="1" x14ac:dyDescent="0.3">
      <c r="A265" s="365"/>
      <c r="B265" s="403" t="s">
        <v>123</v>
      </c>
      <c r="C265" s="429"/>
      <c r="D265" s="429"/>
      <c r="E265" s="429"/>
      <c r="F265" s="429"/>
      <c r="G265" s="429"/>
      <c r="H265" s="429"/>
      <c r="I265" s="429"/>
      <c r="J265" s="429"/>
      <c r="K265" s="429"/>
      <c r="L265" s="429"/>
      <c r="M265" s="429"/>
      <c r="N265" s="403">
        <v>1</v>
      </c>
      <c r="O265" s="430">
        <f t="shared" si="9"/>
        <v>2.7472527472527475E-3</v>
      </c>
      <c r="P265" s="404">
        <v>385</v>
      </c>
      <c r="Q265" s="430">
        <f t="shared" si="10"/>
        <v>6.7025295520621161E-3</v>
      </c>
      <c r="R265" s="424"/>
      <c r="S265" s="427"/>
      <c r="T265" s="348"/>
      <c r="U265" s="407"/>
    </row>
    <row r="266" spans="1:21" s="349" customFormat="1" x14ac:dyDescent="0.3">
      <c r="A266" s="365"/>
      <c r="B266" s="403"/>
      <c r="C266" s="429"/>
      <c r="D266" s="429"/>
      <c r="E266" s="429"/>
      <c r="F266" s="429"/>
      <c r="G266" s="429"/>
      <c r="H266" s="429"/>
      <c r="I266" s="429"/>
      <c r="J266" s="429"/>
      <c r="K266" s="429"/>
      <c r="L266" s="429"/>
      <c r="M266" s="429"/>
      <c r="N266" s="403"/>
      <c r="O266" s="430"/>
      <c r="P266" s="404"/>
      <c r="Q266" s="430"/>
      <c r="R266" s="424"/>
      <c r="S266" s="427"/>
      <c r="T266" s="348"/>
    </row>
    <row r="267" spans="1:21" s="349" customFormat="1" x14ac:dyDescent="0.3">
      <c r="A267" s="365"/>
      <c r="B267" s="358" t="s">
        <v>94</v>
      </c>
      <c r="C267" s="358"/>
      <c r="D267" s="431"/>
      <c r="E267" s="431"/>
      <c r="F267" s="431"/>
      <c r="G267" s="431"/>
      <c r="H267" s="431"/>
      <c r="I267" s="431"/>
      <c r="J267" s="431"/>
      <c r="K267" s="431"/>
      <c r="L267" s="431"/>
      <c r="M267" s="431"/>
      <c r="N267" s="403">
        <f>SUM(N258:N266)</f>
        <v>364</v>
      </c>
      <c r="O267" s="430">
        <f>SUM(O258:O266)</f>
        <v>1</v>
      </c>
      <c r="P267" s="404">
        <f>SUM(P258:P266)</f>
        <v>57441</v>
      </c>
      <c r="Q267" s="430">
        <f>SUM(Q258:Q266)</f>
        <v>0.99999999999999989</v>
      </c>
      <c r="R267" s="358"/>
      <c r="S267" s="361"/>
      <c r="T267" s="348"/>
    </row>
    <row r="268" spans="1:21" x14ac:dyDescent="0.3">
      <c r="A268" s="249"/>
      <c r="B268" s="277"/>
      <c r="C268" s="277"/>
      <c r="D268" s="337"/>
      <c r="E268" s="337"/>
      <c r="F268" s="337"/>
      <c r="G268" s="337"/>
      <c r="H268" s="337"/>
      <c r="I268" s="337"/>
      <c r="J268" s="337"/>
      <c r="K268" s="337"/>
      <c r="L268" s="337"/>
      <c r="M268" s="337"/>
      <c r="N268" s="287"/>
      <c r="O268" s="338"/>
      <c r="P268" s="339"/>
      <c r="Q268" s="338"/>
      <c r="R268" s="277"/>
      <c r="S268" s="252"/>
      <c r="T268" s="247"/>
    </row>
    <row r="269" spans="1:21" x14ac:dyDescent="0.3">
      <c r="A269" s="443"/>
      <c r="B269" s="452" t="s">
        <v>146</v>
      </c>
      <c r="C269" s="453"/>
      <c r="D269" s="453"/>
      <c r="E269" s="453"/>
      <c r="F269" s="453"/>
      <c r="G269" s="453"/>
      <c r="H269" s="453"/>
      <c r="I269" s="453"/>
      <c r="J269" s="453"/>
      <c r="K269" s="453"/>
      <c r="L269" s="453"/>
      <c r="M269" s="453"/>
      <c r="N269" s="469" t="s">
        <v>83</v>
      </c>
      <c r="O269" s="453" t="s">
        <v>84</v>
      </c>
      <c r="P269" s="469" t="s">
        <v>89</v>
      </c>
      <c r="Q269" s="453" t="s">
        <v>84</v>
      </c>
      <c r="R269" s="447"/>
      <c r="S269" s="445"/>
      <c r="T269" s="247"/>
    </row>
    <row r="270" spans="1:21" s="349" customFormat="1" x14ac:dyDescent="0.3">
      <c r="A270" s="344"/>
      <c r="B270" s="408" t="s">
        <v>72</v>
      </c>
      <c r="C270" s="471"/>
      <c r="D270" s="471"/>
      <c r="E270" s="471"/>
      <c r="F270" s="471"/>
      <c r="G270" s="471"/>
      <c r="H270" s="471"/>
      <c r="I270" s="471"/>
      <c r="J270" s="471"/>
      <c r="K270" s="471"/>
      <c r="L270" s="471"/>
      <c r="M270" s="471"/>
      <c r="N270" s="408">
        <v>0</v>
      </c>
      <c r="O270" s="472">
        <v>0</v>
      </c>
      <c r="P270" s="411">
        <v>0</v>
      </c>
      <c r="Q270" s="472">
        <v>0</v>
      </c>
      <c r="R270" s="393"/>
      <c r="S270" s="347"/>
      <c r="T270" s="348"/>
    </row>
    <row r="271" spans="1:21" s="349" customFormat="1" x14ac:dyDescent="0.3">
      <c r="A271" s="365"/>
      <c r="B271" s="403" t="s">
        <v>73</v>
      </c>
      <c r="C271" s="429"/>
      <c r="D271" s="429"/>
      <c r="E271" s="429"/>
      <c r="F271" s="429"/>
      <c r="G271" s="429"/>
      <c r="H271" s="429"/>
      <c r="I271" s="429"/>
      <c r="J271" s="429"/>
      <c r="K271" s="429"/>
      <c r="L271" s="429"/>
      <c r="M271" s="429"/>
      <c r="N271" s="403">
        <v>0</v>
      </c>
      <c r="O271" s="430">
        <v>0</v>
      </c>
      <c r="P271" s="404">
        <v>0</v>
      </c>
      <c r="Q271" s="430">
        <v>0</v>
      </c>
      <c r="R271" s="358"/>
      <c r="S271" s="361"/>
      <c r="T271" s="348"/>
    </row>
    <row r="272" spans="1:21" s="349" customFormat="1" x14ac:dyDescent="0.3">
      <c r="A272" s="365"/>
      <c r="B272" s="403" t="s">
        <v>74</v>
      </c>
      <c r="C272" s="429"/>
      <c r="D272" s="429"/>
      <c r="E272" s="429"/>
      <c r="F272" s="429"/>
      <c r="G272" s="429"/>
      <c r="H272" s="429"/>
      <c r="I272" s="429"/>
      <c r="J272" s="429"/>
      <c r="K272" s="429"/>
      <c r="L272" s="429"/>
      <c r="M272" s="429"/>
      <c r="N272" s="403">
        <v>0</v>
      </c>
      <c r="O272" s="430">
        <v>0</v>
      </c>
      <c r="P272" s="404">
        <v>0</v>
      </c>
      <c r="Q272" s="430">
        <v>0</v>
      </c>
      <c r="R272" s="358"/>
      <c r="S272" s="361"/>
      <c r="T272" s="348"/>
    </row>
    <row r="273" spans="1:20" s="349" customFormat="1" x14ac:dyDescent="0.3">
      <c r="A273" s="365"/>
      <c r="B273" s="403" t="s">
        <v>119</v>
      </c>
      <c r="C273" s="429"/>
      <c r="D273" s="429"/>
      <c r="E273" s="429"/>
      <c r="F273" s="429"/>
      <c r="G273" s="429"/>
      <c r="H273" s="429"/>
      <c r="I273" s="429"/>
      <c r="J273" s="429"/>
      <c r="K273" s="429"/>
      <c r="L273" s="429"/>
      <c r="M273" s="429"/>
      <c r="N273" s="403">
        <v>0</v>
      </c>
      <c r="O273" s="430">
        <v>0</v>
      </c>
      <c r="P273" s="404">
        <v>0</v>
      </c>
      <c r="Q273" s="430">
        <v>0</v>
      </c>
      <c r="R273" s="358"/>
      <c r="S273" s="361"/>
      <c r="T273" s="348"/>
    </row>
    <row r="274" spans="1:20" s="349" customFormat="1" x14ac:dyDescent="0.3">
      <c r="A274" s="365"/>
      <c r="B274" s="403" t="s">
        <v>120</v>
      </c>
      <c r="C274" s="429"/>
      <c r="D274" s="429"/>
      <c r="E274" s="429"/>
      <c r="F274" s="429"/>
      <c r="G274" s="429"/>
      <c r="H274" s="429"/>
      <c r="I274" s="429"/>
      <c r="J274" s="429"/>
      <c r="K274" s="429"/>
      <c r="L274" s="429"/>
      <c r="M274" s="429"/>
      <c r="N274" s="403">
        <v>0</v>
      </c>
      <c r="O274" s="430">
        <v>0</v>
      </c>
      <c r="P274" s="404">
        <v>0</v>
      </c>
      <c r="Q274" s="430">
        <v>0</v>
      </c>
      <c r="R274" s="358"/>
      <c r="S274" s="361"/>
      <c r="T274" s="348"/>
    </row>
    <row r="275" spans="1:20" s="349" customFormat="1" x14ac:dyDescent="0.3">
      <c r="A275" s="365"/>
      <c r="B275" s="403" t="s">
        <v>121</v>
      </c>
      <c r="C275" s="429"/>
      <c r="D275" s="429"/>
      <c r="E275" s="429"/>
      <c r="F275" s="429"/>
      <c r="G275" s="429"/>
      <c r="H275" s="429"/>
      <c r="I275" s="429"/>
      <c r="J275" s="429"/>
      <c r="K275" s="429"/>
      <c r="L275" s="429"/>
      <c r="M275" s="429"/>
      <c r="N275" s="403">
        <v>0</v>
      </c>
      <c r="O275" s="430">
        <v>0</v>
      </c>
      <c r="P275" s="404">
        <v>0</v>
      </c>
      <c r="Q275" s="430">
        <v>0</v>
      </c>
      <c r="R275" s="358"/>
      <c r="S275" s="361"/>
      <c r="T275" s="348"/>
    </row>
    <row r="276" spans="1:20" s="349" customFormat="1" x14ac:dyDescent="0.3">
      <c r="A276" s="365"/>
      <c r="B276" s="403" t="s">
        <v>122</v>
      </c>
      <c r="C276" s="429"/>
      <c r="D276" s="429"/>
      <c r="E276" s="429"/>
      <c r="F276" s="429"/>
      <c r="G276" s="429"/>
      <c r="H276" s="429"/>
      <c r="I276" s="429"/>
      <c r="J276" s="429"/>
      <c r="K276" s="429"/>
      <c r="L276" s="429"/>
      <c r="M276" s="429"/>
      <c r="N276" s="403">
        <v>0</v>
      </c>
      <c r="O276" s="430">
        <v>0</v>
      </c>
      <c r="P276" s="404">
        <v>0</v>
      </c>
      <c r="Q276" s="430">
        <v>0</v>
      </c>
      <c r="R276" s="358"/>
      <c r="S276" s="361"/>
      <c r="T276" s="348"/>
    </row>
    <row r="277" spans="1:20" s="349" customFormat="1" x14ac:dyDescent="0.3">
      <c r="A277" s="365"/>
      <c r="B277" s="403" t="s">
        <v>123</v>
      </c>
      <c r="C277" s="429"/>
      <c r="D277" s="429"/>
      <c r="E277" s="429"/>
      <c r="F277" s="429"/>
      <c r="G277" s="429"/>
      <c r="H277" s="429"/>
      <c r="I277" s="429"/>
      <c r="J277" s="429"/>
      <c r="K277" s="429"/>
      <c r="L277" s="429"/>
      <c r="M277" s="429"/>
      <c r="N277" s="403">
        <v>0</v>
      </c>
      <c r="O277" s="430">
        <v>0</v>
      </c>
      <c r="P277" s="404">
        <v>0</v>
      </c>
      <c r="Q277" s="430">
        <v>0</v>
      </c>
      <c r="R277" s="358"/>
      <c r="S277" s="361"/>
      <c r="T277" s="348"/>
    </row>
    <row r="278" spans="1:20" s="349" customFormat="1" x14ac:dyDescent="0.3">
      <c r="A278" s="365"/>
      <c r="B278" s="403"/>
      <c r="C278" s="429"/>
      <c r="D278" s="429"/>
      <c r="E278" s="429"/>
      <c r="F278" s="429"/>
      <c r="G278" s="429"/>
      <c r="H278" s="429"/>
      <c r="I278" s="429"/>
      <c r="J278" s="429"/>
      <c r="K278" s="429"/>
      <c r="L278" s="429"/>
      <c r="M278" s="429"/>
      <c r="N278" s="403"/>
      <c r="O278" s="430"/>
      <c r="P278" s="404"/>
      <c r="Q278" s="430"/>
      <c r="R278" s="358"/>
      <c r="S278" s="361"/>
      <c r="T278" s="348"/>
    </row>
    <row r="279" spans="1:20" s="349" customFormat="1" x14ac:dyDescent="0.3">
      <c r="A279" s="365"/>
      <c r="B279" s="358" t="s">
        <v>94</v>
      </c>
      <c r="C279" s="358"/>
      <c r="D279" s="431"/>
      <c r="E279" s="431"/>
      <c r="F279" s="431"/>
      <c r="G279" s="431"/>
      <c r="H279" s="431"/>
      <c r="I279" s="431"/>
      <c r="J279" s="431"/>
      <c r="K279" s="431"/>
      <c r="L279" s="431"/>
      <c r="M279" s="431"/>
      <c r="N279" s="403">
        <f>SUM(N270:N278)</f>
        <v>0</v>
      </c>
      <c r="O279" s="430">
        <f>SUM(O270:O278)</f>
        <v>0</v>
      </c>
      <c r="P279" s="404">
        <f>SUM(P270:P278)</f>
        <v>0</v>
      </c>
      <c r="Q279" s="430">
        <f>SUM(Q270:Q278)</f>
        <v>0</v>
      </c>
      <c r="R279" s="358"/>
      <c r="S279" s="361"/>
      <c r="T279" s="348"/>
    </row>
    <row r="280" spans="1:20" x14ac:dyDescent="0.3">
      <c r="A280" s="249"/>
      <c r="B280" s="277"/>
      <c r="C280" s="277"/>
      <c r="D280" s="337"/>
      <c r="E280" s="337"/>
      <c r="F280" s="337"/>
      <c r="G280" s="337"/>
      <c r="H280" s="337"/>
      <c r="I280" s="337"/>
      <c r="J280" s="337"/>
      <c r="K280" s="337"/>
      <c r="L280" s="337"/>
      <c r="M280" s="337"/>
      <c r="N280" s="287"/>
      <c r="O280" s="338"/>
      <c r="P280" s="339"/>
      <c r="Q280" s="338"/>
      <c r="R280" s="277"/>
      <c r="S280" s="252"/>
      <c r="T280" s="247"/>
    </row>
    <row r="281" spans="1:20" x14ac:dyDescent="0.3">
      <c r="A281" s="443"/>
      <c r="B281" s="452" t="s">
        <v>125</v>
      </c>
      <c r="C281" s="447"/>
      <c r="D281" s="475"/>
      <c r="E281" s="475"/>
      <c r="F281" s="475"/>
      <c r="G281" s="475"/>
      <c r="H281" s="475"/>
      <c r="I281" s="475"/>
      <c r="J281" s="475"/>
      <c r="K281" s="475"/>
      <c r="L281" s="475"/>
      <c r="M281" s="475"/>
      <c r="N281" s="469" t="s">
        <v>83</v>
      </c>
      <c r="O281" s="453" t="s">
        <v>84</v>
      </c>
      <c r="P281" s="469" t="s">
        <v>89</v>
      </c>
      <c r="Q281" s="453" t="s">
        <v>84</v>
      </c>
      <c r="R281" s="447"/>
      <c r="S281" s="445"/>
      <c r="T281" s="247"/>
    </row>
    <row r="282" spans="1:20" s="349" customFormat="1" x14ac:dyDescent="0.3">
      <c r="A282" s="344"/>
      <c r="B282" s="408" t="s">
        <v>72</v>
      </c>
      <c r="C282" s="393"/>
      <c r="D282" s="474"/>
      <c r="E282" s="474"/>
      <c r="F282" s="474"/>
      <c r="G282" s="474"/>
      <c r="H282" s="474"/>
      <c r="I282" s="474"/>
      <c r="J282" s="474"/>
      <c r="K282" s="474"/>
      <c r="L282" s="474"/>
      <c r="M282" s="474"/>
      <c r="N282" s="408">
        <v>0</v>
      </c>
      <c r="O282" s="472">
        <v>0</v>
      </c>
      <c r="P282" s="411">
        <v>0</v>
      </c>
      <c r="Q282" s="472">
        <v>0</v>
      </c>
      <c r="R282" s="393"/>
      <c r="S282" s="347"/>
      <c r="T282" s="348"/>
    </row>
    <row r="283" spans="1:20" s="349" customFormat="1" x14ac:dyDescent="0.3">
      <c r="A283" s="365"/>
      <c r="B283" s="403" t="s">
        <v>73</v>
      </c>
      <c r="C283" s="358"/>
      <c r="D283" s="431"/>
      <c r="E283" s="431"/>
      <c r="F283" s="431"/>
      <c r="G283" s="431"/>
      <c r="H283" s="431"/>
      <c r="I283" s="431"/>
      <c r="J283" s="431"/>
      <c r="K283" s="431"/>
      <c r="L283" s="431"/>
      <c r="M283" s="431"/>
      <c r="N283" s="403">
        <v>0</v>
      </c>
      <c r="O283" s="430">
        <v>0</v>
      </c>
      <c r="P283" s="404">
        <v>0</v>
      </c>
      <c r="Q283" s="430">
        <v>0</v>
      </c>
      <c r="R283" s="358"/>
      <c r="S283" s="361"/>
      <c r="T283" s="348"/>
    </row>
    <row r="284" spans="1:20" s="349" customFormat="1" x14ac:dyDescent="0.3">
      <c r="A284" s="365"/>
      <c r="B284" s="403" t="s">
        <v>74</v>
      </c>
      <c r="C284" s="358"/>
      <c r="D284" s="431"/>
      <c r="E284" s="431"/>
      <c r="F284" s="431"/>
      <c r="G284" s="431"/>
      <c r="H284" s="431"/>
      <c r="I284" s="431"/>
      <c r="J284" s="431"/>
      <c r="K284" s="431"/>
      <c r="L284" s="431"/>
      <c r="M284" s="431"/>
      <c r="N284" s="403">
        <v>0</v>
      </c>
      <c r="O284" s="430">
        <v>0</v>
      </c>
      <c r="P284" s="404">
        <v>0</v>
      </c>
      <c r="Q284" s="430">
        <v>0</v>
      </c>
      <c r="R284" s="358"/>
      <c r="S284" s="361"/>
      <c r="T284" s="348"/>
    </row>
    <row r="285" spans="1:20" s="349" customFormat="1" x14ac:dyDescent="0.3">
      <c r="A285" s="365"/>
      <c r="B285" s="403" t="s">
        <v>119</v>
      </c>
      <c r="C285" s="358"/>
      <c r="D285" s="431"/>
      <c r="E285" s="431"/>
      <c r="F285" s="431"/>
      <c r="G285" s="431"/>
      <c r="H285" s="431"/>
      <c r="I285" s="431"/>
      <c r="J285" s="431"/>
      <c r="K285" s="431"/>
      <c r="L285" s="431"/>
      <c r="M285" s="431"/>
      <c r="N285" s="403">
        <v>0</v>
      </c>
      <c r="O285" s="430">
        <v>0</v>
      </c>
      <c r="P285" s="404">
        <v>0</v>
      </c>
      <c r="Q285" s="430">
        <v>0</v>
      </c>
      <c r="R285" s="358"/>
      <c r="S285" s="361"/>
      <c r="T285" s="348"/>
    </row>
    <row r="286" spans="1:20" s="349" customFormat="1" x14ac:dyDescent="0.3">
      <c r="A286" s="365"/>
      <c r="B286" s="403" t="s">
        <v>120</v>
      </c>
      <c r="C286" s="358"/>
      <c r="D286" s="431"/>
      <c r="E286" s="431"/>
      <c r="F286" s="431"/>
      <c r="G286" s="431"/>
      <c r="H286" s="431"/>
      <c r="I286" s="431"/>
      <c r="J286" s="431"/>
      <c r="K286" s="431"/>
      <c r="L286" s="431"/>
      <c r="M286" s="431"/>
      <c r="N286" s="403">
        <v>0</v>
      </c>
      <c r="O286" s="430">
        <v>0</v>
      </c>
      <c r="P286" s="404">
        <v>0</v>
      </c>
      <c r="Q286" s="430">
        <v>0</v>
      </c>
      <c r="R286" s="358"/>
      <c r="S286" s="361"/>
      <c r="T286" s="348"/>
    </row>
    <row r="287" spans="1:20" s="349" customFormat="1" x14ac:dyDescent="0.3">
      <c r="A287" s="365"/>
      <c r="B287" s="403" t="s">
        <v>121</v>
      </c>
      <c r="C287" s="358"/>
      <c r="D287" s="431"/>
      <c r="E287" s="431"/>
      <c r="F287" s="431"/>
      <c r="G287" s="431"/>
      <c r="H287" s="431"/>
      <c r="I287" s="431"/>
      <c r="J287" s="431"/>
      <c r="K287" s="431"/>
      <c r="L287" s="431"/>
      <c r="M287" s="431"/>
      <c r="N287" s="403">
        <v>0</v>
      </c>
      <c r="O287" s="430">
        <v>0</v>
      </c>
      <c r="P287" s="404">
        <v>0</v>
      </c>
      <c r="Q287" s="430">
        <v>0</v>
      </c>
      <c r="R287" s="358"/>
      <c r="S287" s="361"/>
      <c r="T287" s="348"/>
    </row>
    <row r="288" spans="1:20" s="349" customFormat="1" x14ac:dyDescent="0.3">
      <c r="A288" s="365"/>
      <c r="B288" s="403" t="s">
        <v>122</v>
      </c>
      <c r="C288" s="358"/>
      <c r="D288" s="431"/>
      <c r="E288" s="431"/>
      <c r="F288" s="431"/>
      <c r="G288" s="431"/>
      <c r="H288" s="431"/>
      <c r="I288" s="431"/>
      <c r="J288" s="431"/>
      <c r="K288" s="431"/>
      <c r="L288" s="431"/>
      <c r="M288" s="431"/>
      <c r="N288" s="403">
        <v>0</v>
      </c>
      <c r="O288" s="430">
        <v>0</v>
      </c>
      <c r="P288" s="404">
        <v>0</v>
      </c>
      <c r="Q288" s="430">
        <v>0</v>
      </c>
      <c r="R288" s="358"/>
      <c r="S288" s="361"/>
      <c r="T288" s="348"/>
    </row>
    <row r="289" spans="1:20" s="349" customFormat="1" x14ac:dyDescent="0.3">
      <c r="A289" s="365"/>
      <c r="B289" s="403" t="s">
        <v>123</v>
      </c>
      <c r="C289" s="358"/>
      <c r="D289" s="431"/>
      <c r="E289" s="431"/>
      <c r="F289" s="431"/>
      <c r="G289" s="431"/>
      <c r="H289" s="431"/>
      <c r="I289" s="431"/>
      <c r="J289" s="431"/>
      <c r="K289" s="431"/>
      <c r="L289" s="431"/>
      <c r="M289" s="431"/>
      <c r="N289" s="403">
        <v>0</v>
      </c>
      <c r="O289" s="430">
        <v>0</v>
      </c>
      <c r="P289" s="404">
        <v>0</v>
      </c>
      <c r="Q289" s="430">
        <v>0</v>
      </c>
      <c r="R289" s="358"/>
      <c r="S289" s="361"/>
      <c r="T289" s="348"/>
    </row>
    <row r="290" spans="1:20" s="349" customFormat="1" x14ac:dyDescent="0.3">
      <c r="A290" s="365"/>
      <c r="B290" s="403"/>
      <c r="C290" s="358"/>
      <c r="D290" s="431"/>
      <c r="E290" s="431"/>
      <c r="F290" s="431"/>
      <c r="G290" s="431"/>
      <c r="H290" s="431"/>
      <c r="I290" s="431"/>
      <c r="J290" s="431"/>
      <c r="K290" s="431"/>
      <c r="L290" s="431"/>
      <c r="M290" s="431"/>
      <c r="N290" s="403"/>
      <c r="O290" s="430"/>
      <c r="P290" s="404"/>
      <c r="Q290" s="430"/>
      <c r="R290" s="358"/>
      <c r="S290" s="361"/>
      <c r="T290" s="348"/>
    </row>
    <row r="291" spans="1:20" s="349" customFormat="1" x14ac:dyDescent="0.3">
      <c r="A291" s="365"/>
      <c r="B291" s="358" t="s">
        <v>94</v>
      </c>
      <c r="C291" s="358"/>
      <c r="D291" s="431"/>
      <c r="E291" s="431"/>
      <c r="F291" s="431"/>
      <c r="G291" s="431"/>
      <c r="H291" s="431"/>
      <c r="I291" s="431"/>
      <c r="J291" s="431"/>
      <c r="K291" s="431"/>
      <c r="L291" s="431"/>
      <c r="M291" s="431"/>
      <c r="N291" s="403">
        <f>SUM(N282:N289)</f>
        <v>0</v>
      </c>
      <c r="O291" s="430">
        <f>SUM(O282:O289)</f>
        <v>0</v>
      </c>
      <c r="P291" s="404">
        <f>SUM(P282:P289)</f>
        <v>0</v>
      </c>
      <c r="Q291" s="430">
        <f>SUM(Q282:Q289)</f>
        <v>0</v>
      </c>
      <c r="R291" s="358"/>
      <c r="S291" s="361"/>
      <c r="T291" s="348"/>
    </row>
    <row r="292" spans="1:20" s="349" customFormat="1" x14ac:dyDescent="0.3">
      <c r="A292" s="365"/>
      <c r="B292" s="358"/>
      <c r="C292" s="358"/>
      <c r="D292" s="431"/>
      <c r="E292" s="431"/>
      <c r="F292" s="431"/>
      <c r="G292" s="431"/>
      <c r="H292" s="431"/>
      <c r="I292" s="431"/>
      <c r="J292" s="431"/>
      <c r="K292" s="431"/>
      <c r="L292" s="431"/>
      <c r="M292" s="431"/>
      <c r="N292" s="403"/>
      <c r="O292" s="430"/>
      <c r="P292" s="404"/>
      <c r="Q292" s="430"/>
      <c r="R292" s="358"/>
      <c r="S292" s="361"/>
      <c r="T292" s="348"/>
    </row>
    <row r="293" spans="1:20" s="349" customFormat="1" x14ac:dyDescent="0.3">
      <c r="A293" s="365"/>
      <c r="B293" s="362" t="s">
        <v>177</v>
      </c>
      <c r="C293" s="358"/>
      <c r="D293" s="431"/>
      <c r="E293" s="431"/>
      <c r="F293" s="431"/>
      <c r="G293" s="431"/>
      <c r="H293" s="431"/>
      <c r="I293" s="431"/>
      <c r="J293" s="431"/>
      <c r="K293" s="431"/>
      <c r="L293" s="431"/>
      <c r="M293" s="431"/>
      <c r="N293" s="432">
        <f>N291+N279+N267</f>
        <v>364</v>
      </c>
      <c r="O293" s="430"/>
      <c r="P293" s="433">
        <f>+P291+P279+P267</f>
        <v>57441</v>
      </c>
      <c r="Q293" s="430"/>
      <c r="R293" s="358"/>
      <c r="S293" s="361"/>
      <c r="T293" s="348"/>
    </row>
    <row r="294" spans="1:20" s="349" customFormat="1" x14ac:dyDescent="0.3">
      <c r="A294" s="365"/>
      <c r="B294" s="362" t="s">
        <v>217</v>
      </c>
      <c r="C294" s="362"/>
      <c r="D294" s="434"/>
      <c r="E294" s="434"/>
      <c r="F294" s="434"/>
      <c r="G294" s="434"/>
      <c r="H294" s="434"/>
      <c r="I294" s="434"/>
      <c r="J294" s="434"/>
      <c r="K294" s="434"/>
      <c r="L294" s="434"/>
      <c r="M294" s="434"/>
      <c r="N294" s="432"/>
      <c r="O294" s="435"/>
      <c r="P294" s="433">
        <f>+R180</f>
        <v>0</v>
      </c>
      <c r="Q294" s="430"/>
      <c r="R294" s="358"/>
      <c r="S294" s="361"/>
      <c r="T294" s="348"/>
    </row>
    <row r="295" spans="1:20" s="349" customFormat="1" x14ac:dyDescent="0.3">
      <c r="A295" s="365"/>
      <c r="B295" s="362" t="s">
        <v>126</v>
      </c>
      <c r="C295" s="362"/>
      <c r="D295" s="434"/>
      <c r="E295" s="434"/>
      <c r="F295" s="434"/>
      <c r="G295" s="434"/>
      <c r="H295" s="434"/>
      <c r="I295" s="434"/>
      <c r="J295" s="434"/>
      <c r="K295" s="434"/>
      <c r="L295" s="434"/>
      <c r="M295" s="434"/>
      <c r="N295" s="432"/>
      <c r="O295" s="435"/>
      <c r="P295" s="433">
        <f>+P293+P294</f>
        <v>57441</v>
      </c>
      <c r="Q295" s="430"/>
      <c r="R295" s="358"/>
      <c r="S295" s="361"/>
      <c r="T295" s="348"/>
    </row>
    <row r="296" spans="1:20" s="349" customFormat="1" x14ac:dyDescent="0.3">
      <c r="A296" s="365"/>
      <c r="B296" s="362" t="s">
        <v>176</v>
      </c>
      <c r="C296" s="358"/>
      <c r="D296" s="431"/>
      <c r="E296" s="431"/>
      <c r="F296" s="431"/>
      <c r="G296" s="431"/>
      <c r="H296" s="431"/>
      <c r="I296" s="431"/>
      <c r="J296" s="431"/>
      <c r="K296" s="431"/>
      <c r="L296" s="431"/>
      <c r="M296" s="431"/>
      <c r="N296" s="432"/>
      <c r="O296" s="430"/>
      <c r="P296" s="433">
        <f>+R80</f>
        <v>57441</v>
      </c>
      <c r="Q296" s="430"/>
      <c r="R296" s="358"/>
      <c r="S296" s="361"/>
      <c r="T296" s="348"/>
    </row>
    <row r="297" spans="1:20" s="349" customFormat="1" x14ac:dyDescent="0.3">
      <c r="A297" s="365"/>
      <c r="B297" s="362"/>
      <c r="C297" s="358"/>
      <c r="D297" s="431"/>
      <c r="E297" s="431"/>
      <c r="F297" s="431"/>
      <c r="G297" s="431"/>
      <c r="H297" s="431"/>
      <c r="I297" s="431"/>
      <c r="J297" s="431"/>
      <c r="K297" s="431"/>
      <c r="L297" s="431"/>
      <c r="M297" s="431"/>
      <c r="N297" s="432"/>
      <c r="O297" s="430"/>
      <c r="P297" s="433"/>
      <c r="Q297" s="430"/>
      <c r="R297" s="358"/>
      <c r="S297" s="361"/>
      <c r="T297" s="348"/>
    </row>
    <row r="298" spans="1:20" s="349" customFormat="1" x14ac:dyDescent="0.3">
      <c r="A298" s="365"/>
      <c r="B298" s="362" t="s">
        <v>202</v>
      </c>
      <c r="C298" s="358"/>
      <c r="D298" s="431"/>
      <c r="E298" s="431"/>
      <c r="F298" s="431"/>
      <c r="G298" s="431"/>
      <c r="H298" s="431"/>
      <c r="I298" s="431"/>
      <c r="J298" s="431"/>
      <c r="K298" s="431"/>
      <c r="L298" s="431"/>
      <c r="M298" s="431"/>
      <c r="N298" s="432"/>
      <c r="O298" s="430"/>
      <c r="P298" s="436">
        <f>(L33+R147)/R33</f>
        <v>0.26117341597572907</v>
      </c>
      <c r="Q298" s="430"/>
      <c r="R298" s="358"/>
      <c r="S298" s="361"/>
      <c r="T298" s="348"/>
    </row>
    <row r="299" spans="1:20" s="349" customFormat="1" x14ac:dyDescent="0.3">
      <c r="A299" s="344"/>
      <c r="B299" s="346"/>
      <c r="C299" s="346"/>
      <c r="D299" s="437"/>
      <c r="E299" s="437"/>
      <c r="F299" s="437"/>
      <c r="G299" s="437"/>
      <c r="H299" s="437"/>
      <c r="I299" s="437"/>
      <c r="J299" s="437"/>
      <c r="K299" s="437"/>
      <c r="L299" s="437"/>
      <c r="M299" s="437"/>
      <c r="N299" s="437"/>
      <c r="O299" s="437"/>
      <c r="P299" s="438"/>
      <c r="Q299" s="437"/>
      <c r="R299" s="346"/>
      <c r="S299" s="347"/>
      <c r="T299" s="348"/>
    </row>
    <row r="300" spans="1:20" s="349" customFormat="1" x14ac:dyDescent="0.3">
      <c r="A300" s="344"/>
      <c r="B300" s="350" t="s">
        <v>75</v>
      </c>
      <c r="C300" s="346"/>
      <c r="D300" s="439" t="s">
        <v>79</v>
      </c>
      <c r="E300" s="350"/>
      <c r="F300" s="350" t="s">
        <v>80</v>
      </c>
      <c r="G300" s="346"/>
      <c r="H300" s="350"/>
      <c r="I300" s="346"/>
      <c r="J300" s="346"/>
      <c r="K300" s="346"/>
      <c r="L300" s="346"/>
      <c r="M300" s="346"/>
      <c r="N300" s="346"/>
      <c r="O300" s="346"/>
      <c r="P300" s="346"/>
      <c r="Q300" s="346"/>
      <c r="R300" s="346"/>
      <c r="S300" s="347"/>
      <c r="T300" s="348"/>
    </row>
    <row r="301" spans="1:20" s="349" customFormat="1" x14ac:dyDescent="0.3">
      <c r="A301" s="344"/>
      <c r="B301" s="346"/>
      <c r="C301" s="346"/>
      <c r="D301" s="346"/>
      <c r="E301" s="346"/>
      <c r="F301" s="346"/>
      <c r="G301" s="346"/>
      <c r="H301" s="346"/>
      <c r="I301" s="346"/>
      <c r="J301" s="346"/>
      <c r="K301" s="346"/>
      <c r="L301" s="346"/>
      <c r="M301" s="346"/>
      <c r="N301" s="346"/>
      <c r="O301" s="346"/>
      <c r="P301" s="346"/>
      <c r="Q301" s="346"/>
      <c r="R301" s="346"/>
      <c r="S301" s="347"/>
      <c r="T301" s="348"/>
    </row>
    <row r="302" spans="1:20" s="349" customFormat="1" x14ac:dyDescent="0.3">
      <c r="A302" s="344"/>
      <c r="B302" s="350" t="s">
        <v>193</v>
      </c>
      <c r="C302" s="350"/>
      <c r="D302" s="440" t="s">
        <v>147</v>
      </c>
      <c r="E302" s="350"/>
      <c r="F302" s="441" t="s">
        <v>292</v>
      </c>
      <c r="G302" s="350"/>
      <c r="H302" s="350"/>
      <c r="I302" s="346"/>
      <c r="J302" s="346"/>
      <c r="K302" s="346"/>
      <c r="L302" s="346"/>
      <c r="M302" s="346"/>
      <c r="N302" s="346"/>
      <c r="O302" s="346"/>
      <c r="P302" s="346"/>
      <c r="Q302" s="346"/>
      <c r="R302" s="346"/>
      <c r="S302" s="347"/>
      <c r="T302" s="348"/>
    </row>
    <row r="303" spans="1:20" s="349" customFormat="1" x14ac:dyDescent="0.3">
      <c r="A303" s="344"/>
      <c r="B303" s="350" t="s">
        <v>194</v>
      </c>
      <c r="C303" s="350"/>
      <c r="D303" s="440" t="s">
        <v>114</v>
      </c>
      <c r="E303" s="350"/>
      <c r="F303" s="441" t="s">
        <v>293</v>
      </c>
      <c r="G303" s="350"/>
      <c r="H303" s="350"/>
      <c r="I303" s="346"/>
      <c r="J303" s="346"/>
      <c r="K303" s="346"/>
      <c r="L303" s="346"/>
      <c r="M303" s="346"/>
      <c r="N303" s="346"/>
      <c r="O303" s="346"/>
      <c r="P303" s="346"/>
      <c r="Q303" s="346"/>
      <c r="R303" s="346"/>
      <c r="S303" s="347"/>
      <c r="T303" s="348"/>
    </row>
    <row r="304" spans="1:20" x14ac:dyDescent="0.3">
      <c r="A304" s="340"/>
      <c r="B304" s="259"/>
      <c r="C304" s="259"/>
      <c r="D304" s="260"/>
      <c r="E304" s="260"/>
      <c r="F304" s="260"/>
      <c r="G304" s="260"/>
      <c r="H304" s="260"/>
      <c r="I304" s="260"/>
      <c r="J304" s="260"/>
      <c r="K304" s="260"/>
      <c r="L304" s="260"/>
      <c r="M304" s="260"/>
      <c r="N304" s="260"/>
      <c r="O304" s="260"/>
      <c r="P304" s="260"/>
      <c r="Q304" s="260"/>
      <c r="R304" s="260"/>
      <c r="S304" s="261"/>
      <c r="T304" s="247"/>
    </row>
    <row r="305" spans="1:20" x14ac:dyDescent="0.3">
      <c r="A305" s="340"/>
      <c r="B305" s="259"/>
      <c r="C305" s="259"/>
      <c r="D305" s="260"/>
      <c r="E305" s="260"/>
      <c r="F305" s="260"/>
      <c r="G305" s="260"/>
      <c r="H305" s="260"/>
      <c r="I305" s="260"/>
      <c r="J305" s="260"/>
      <c r="K305" s="260"/>
      <c r="L305" s="260"/>
      <c r="M305" s="260"/>
      <c r="N305" s="260"/>
      <c r="O305" s="260"/>
      <c r="P305" s="260"/>
      <c r="Q305" s="260"/>
      <c r="R305" s="260"/>
      <c r="S305" s="261"/>
      <c r="T305" s="247"/>
    </row>
    <row r="306" spans="1:20" ht="18.600000000000001" thickBot="1" x14ac:dyDescent="0.4">
      <c r="A306" s="340"/>
      <c r="B306" s="442" t="str">
        <f>B205</f>
        <v>PM22 INVESTOR REPORT QUARTER ENDING FEBRUARY 2019</v>
      </c>
      <c r="C306" s="259"/>
      <c r="D306" s="260"/>
      <c r="E306" s="260"/>
      <c r="F306" s="260"/>
      <c r="G306" s="260"/>
      <c r="H306" s="260"/>
      <c r="I306" s="260"/>
      <c r="J306" s="260"/>
      <c r="K306" s="260"/>
      <c r="L306" s="260"/>
      <c r="M306" s="260"/>
      <c r="N306" s="260"/>
      <c r="O306" s="260"/>
      <c r="P306" s="260"/>
      <c r="Q306" s="260"/>
      <c r="R306" s="260"/>
      <c r="S306" s="311"/>
      <c r="T306" s="247"/>
    </row>
    <row r="307" spans="1:20" x14ac:dyDescent="0.3">
      <c r="A307" s="341"/>
      <c r="B307" s="341"/>
      <c r="C307" s="341"/>
      <c r="D307" s="341"/>
      <c r="E307" s="341"/>
      <c r="F307" s="341"/>
      <c r="G307" s="341"/>
      <c r="H307" s="341"/>
      <c r="I307" s="341"/>
      <c r="J307" s="341"/>
      <c r="K307" s="341"/>
      <c r="L307" s="341"/>
      <c r="M307" s="341"/>
      <c r="N307" s="341"/>
      <c r="O307" s="341"/>
      <c r="P307" s="341"/>
      <c r="Q307" s="341"/>
      <c r="R307" s="341"/>
      <c r="S307" s="341"/>
    </row>
  </sheetData>
  <hyperlinks>
    <hyperlink ref="K9" r:id="rId1"/>
    <hyperlink ref="N243"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CB31"/>
  </sheetPr>
  <dimension ref="A1:IR309"/>
  <sheetViews>
    <sheetView showGridLines="0" tabSelected="1" showOutlineSymbols="0" zoomScale="70" zoomScaleNormal="70" workbookViewId="0"/>
  </sheetViews>
  <sheetFormatPr defaultColWidth="9.6328125" defaultRowHeight="15.6" x14ac:dyDescent="0.3"/>
  <cols>
    <col min="1" max="1" width="4" style="248" customWidth="1"/>
    <col min="2" max="2" width="71.1796875" style="248" customWidth="1"/>
    <col min="3" max="3" width="2.1796875" style="248" customWidth="1"/>
    <col min="4" max="4" width="16.1796875" style="248" customWidth="1"/>
    <col min="5" max="5" width="2.90625" style="248" customWidth="1"/>
    <col min="6" max="6" width="16.1796875" style="248" customWidth="1"/>
    <col min="7" max="7" width="2.1796875" style="248" customWidth="1"/>
    <col min="8" max="8" width="17.90625" style="248" customWidth="1"/>
    <col min="9" max="9" width="2.36328125" style="248" customWidth="1"/>
    <col min="10" max="10" width="14.90625" style="248" customWidth="1"/>
    <col min="11" max="11" width="2.36328125" style="248" customWidth="1"/>
    <col min="12" max="12" width="15.54296875" style="248" customWidth="1"/>
    <col min="13" max="13" width="2.1796875" style="248" customWidth="1"/>
    <col min="14" max="14" width="15.54296875" style="248" customWidth="1"/>
    <col min="15" max="16" width="12.6328125" style="248" customWidth="1"/>
    <col min="17" max="17" width="7.81640625" style="248" customWidth="1"/>
    <col min="18" max="18" width="14.6328125" style="248" customWidth="1"/>
    <col min="19" max="19" width="11.81640625" style="248" customWidth="1"/>
    <col min="20" max="16384" width="9.6328125" style="248"/>
  </cols>
  <sheetData>
    <row r="1" spans="1:20" ht="21" x14ac:dyDescent="0.4">
      <c r="A1" s="244"/>
      <c r="B1" s="343" t="s">
        <v>221</v>
      </c>
      <c r="C1" s="245"/>
      <c r="D1" s="245"/>
      <c r="E1" s="245"/>
      <c r="F1" s="245"/>
      <c r="G1" s="245"/>
      <c r="H1" s="245"/>
      <c r="I1" s="245"/>
      <c r="J1" s="245"/>
      <c r="K1" s="245"/>
      <c r="L1" s="245"/>
      <c r="M1" s="245"/>
      <c r="N1" s="245"/>
      <c r="O1" s="245"/>
      <c r="P1" s="245"/>
      <c r="Q1" s="245"/>
      <c r="R1" s="245"/>
      <c r="S1" s="246"/>
      <c r="T1" s="247"/>
    </row>
    <row r="2" spans="1:20" x14ac:dyDescent="0.3">
      <c r="A2" s="249"/>
      <c r="B2" s="250"/>
      <c r="C2" s="251"/>
      <c r="D2" s="251"/>
      <c r="E2" s="251"/>
      <c r="F2" s="251"/>
      <c r="G2" s="251"/>
      <c r="H2" s="251"/>
      <c r="I2" s="251"/>
      <c r="J2" s="251"/>
      <c r="K2" s="251"/>
      <c r="L2" s="251"/>
      <c r="M2" s="251"/>
      <c r="N2" s="251"/>
      <c r="O2" s="251"/>
      <c r="P2" s="251"/>
      <c r="Q2" s="251"/>
      <c r="R2" s="251"/>
      <c r="S2" s="252"/>
      <c r="T2" s="247"/>
    </row>
    <row r="3" spans="1:20" x14ac:dyDescent="0.3">
      <c r="A3" s="253"/>
      <c r="B3" s="254" t="s">
        <v>222</v>
      </c>
      <c r="C3" s="251"/>
      <c r="D3" s="251"/>
      <c r="E3" s="251"/>
      <c r="F3" s="251"/>
      <c r="G3" s="251"/>
      <c r="H3" s="251"/>
      <c r="I3" s="251"/>
      <c r="J3" s="251"/>
      <c r="K3" s="251"/>
      <c r="L3" s="251"/>
      <c r="M3" s="251"/>
      <c r="N3" s="251"/>
      <c r="O3" s="251"/>
      <c r="P3" s="251"/>
      <c r="Q3" s="251"/>
      <c r="R3" s="251"/>
      <c r="S3" s="252"/>
      <c r="T3" s="247"/>
    </row>
    <row r="4" spans="1:20" x14ac:dyDescent="0.3">
      <c r="A4" s="249"/>
      <c r="B4" s="250"/>
      <c r="C4" s="251"/>
      <c r="D4" s="251"/>
      <c r="E4" s="251"/>
      <c r="F4" s="251"/>
      <c r="G4" s="251"/>
      <c r="H4" s="251"/>
      <c r="I4" s="251"/>
      <c r="J4" s="251"/>
      <c r="K4" s="251"/>
      <c r="L4" s="251"/>
      <c r="M4" s="251"/>
      <c r="N4" s="251"/>
      <c r="O4" s="251"/>
      <c r="P4" s="251"/>
      <c r="Q4" s="251"/>
      <c r="R4" s="251"/>
      <c r="S4" s="252"/>
      <c r="T4" s="247"/>
    </row>
    <row r="5" spans="1:20" s="349" customFormat="1" x14ac:dyDescent="0.3">
      <c r="A5" s="344"/>
      <c r="B5" s="345" t="s">
        <v>109</v>
      </c>
      <c r="C5" s="346"/>
      <c r="D5" s="346"/>
      <c r="E5" s="346"/>
      <c r="F5" s="346"/>
      <c r="G5" s="346"/>
      <c r="H5" s="346"/>
      <c r="I5" s="346"/>
      <c r="J5" s="346"/>
      <c r="K5" s="346"/>
      <c r="L5" s="346"/>
      <c r="M5" s="346"/>
      <c r="N5" s="346"/>
      <c r="O5" s="346"/>
      <c r="P5" s="346"/>
      <c r="Q5" s="346"/>
      <c r="R5" s="346"/>
      <c r="S5" s="347"/>
      <c r="T5" s="348"/>
    </row>
    <row r="6" spans="1:20" s="349" customFormat="1" x14ac:dyDescent="0.3">
      <c r="A6" s="344"/>
      <c r="B6" s="345" t="s">
        <v>111</v>
      </c>
      <c r="C6" s="346"/>
      <c r="D6" s="346"/>
      <c r="E6" s="346"/>
      <c r="F6" s="346"/>
      <c r="G6" s="346"/>
      <c r="H6" s="346"/>
      <c r="I6" s="346"/>
      <c r="J6" s="346"/>
      <c r="K6" s="346"/>
      <c r="L6" s="346"/>
      <c r="M6" s="346"/>
      <c r="N6" s="346"/>
      <c r="O6" s="346"/>
      <c r="P6" s="346"/>
      <c r="Q6" s="346"/>
      <c r="R6" s="346"/>
      <c r="S6" s="347"/>
      <c r="T6" s="348"/>
    </row>
    <row r="7" spans="1:20" s="349" customFormat="1" x14ac:dyDescent="0.3">
      <c r="A7" s="344"/>
      <c r="B7" s="345" t="s">
        <v>110</v>
      </c>
      <c r="C7" s="346"/>
      <c r="D7" s="346"/>
      <c r="E7" s="346"/>
      <c r="F7" s="346"/>
      <c r="G7" s="346"/>
      <c r="H7" s="346"/>
      <c r="I7" s="346"/>
      <c r="J7" s="346"/>
      <c r="K7" s="346"/>
      <c r="L7" s="346"/>
      <c r="M7" s="346"/>
      <c r="N7" s="346"/>
      <c r="O7" s="346"/>
      <c r="P7" s="346"/>
      <c r="Q7" s="346"/>
      <c r="R7" s="346"/>
      <c r="S7" s="347"/>
      <c r="T7" s="348"/>
    </row>
    <row r="8" spans="1:20" x14ac:dyDescent="0.3">
      <c r="A8" s="249"/>
      <c r="B8" s="255"/>
      <c r="C8" s="251"/>
      <c r="D8" s="251"/>
      <c r="E8" s="251"/>
      <c r="F8" s="251"/>
      <c r="G8" s="251"/>
      <c r="H8" s="251"/>
      <c r="I8" s="251"/>
      <c r="J8" s="251"/>
      <c r="K8" s="251"/>
      <c r="L8" s="251"/>
      <c r="M8" s="251"/>
      <c r="N8" s="251"/>
      <c r="O8" s="251"/>
      <c r="P8" s="251"/>
      <c r="Q8" s="251"/>
      <c r="R8" s="251"/>
      <c r="S8" s="252"/>
      <c r="T8" s="247"/>
    </row>
    <row r="9" spans="1:20" ht="18" x14ac:dyDescent="0.35">
      <c r="A9" s="249"/>
      <c r="B9" s="256" t="s">
        <v>127</v>
      </c>
      <c r="C9" s="251"/>
      <c r="D9" s="251"/>
      <c r="E9" s="257"/>
      <c r="F9" s="251"/>
      <c r="G9" s="251"/>
      <c r="H9" s="257"/>
      <c r="I9" s="251"/>
      <c r="J9" s="257"/>
      <c r="K9" s="243" t="s">
        <v>291</v>
      </c>
      <c r="L9" s="257"/>
      <c r="M9" s="251"/>
      <c r="N9" s="251"/>
      <c r="O9" s="251"/>
      <c r="P9" s="251"/>
      <c r="Q9" s="251"/>
      <c r="R9" s="251"/>
      <c r="S9" s="252"/>
      <c r="T9" s="247"/>
    </row>
    <row r="10" spans="1:20" x14ac:dyDescent="0.3">
      <c r="A10" s="249"/>
      <c r="B10" s="255"/>
      <c r="C10" s="258"/>
      <c r="D10" s="251"/>
      <c r="E10" s="251"/>
      <c r="F10" s="251"/>
      <c r="G10" s="251"/>
      <c r="H10" s="251"/>
      <c r="I10" s="251"/>
      <c r="J10" s="251"/>
      <c r="K10" s="251"/>
      <c r="L10" s="251"/>
      <c r="M10" s="251"/>
      <c r="N10" s="251"/>
      <c r="O10" s="251"/>
      <c r="P10" s="251"/>
      <c r="Q10" s="251"/>
      <c r="R10" s="251"/>
      <c r="S10" s="252"/>
      <c r="T10" s="247"/>
    </row>
    <row r="11" spans="1:20" s="349" customFormat="1" x14ac:dyDescent="0.3">
      <c r="A11" s="344"/>
      <c r="B11" s="350" t="s">
        <v>0</v>
      </c>
      <c r="C11" s="346"/>
      <c r="D11" s="346"/>
      <c r="E11" s="346"/>
      <c r="F11" s="346"/>
      <c r="G11" s="346"/>
      <c r="H11" s="346"/>
      <c r="I11" s="346"/>
      <c r="J11" s="346"/>
      <c r="K11" s="346"/>
      <c r="L11" s="346"/>
      <c r="M11" s="346"/>
      <c r="N11" s="346"/>
      <c r="O11" s="346"/>
      <c r="P11" s="346"/>
      <c r="Q11" s="346"/>
      <c r="R11" s="346"/>
      <c r="S11" s="347"/>
      <c r="T11" s="348"/>
    </row>
    <row r="12" spans="1:20" ht="16.2" thickBot="1" x14ac:dyDescent="0.35">
      <c r="A12" s="249"/>
      <c r="B12" s="258"/>
      <c r="C12" s="251"/>
      <c r="D12" s="251"/>
      <c r="E12" s="251"/>
      <c r="F12" s="251"/>
      <c r="G12" s="251"/>
      <c r="H12" s="251"/>
      <c r="I12" s="251"/>
      <c r="J12" s="251"/>
      <c r="K12" s="251"/>
      <c r="L12" s="251"/>
      <c r="M12" s="251"/>
      <c r="N12" s="251"/>
      <c r="O12" s="251"/>
      <c r="P12" s="251"/>
      <c r="Q12" s="251"/>
      <c r="R12" s="251"/>
      <c r="S12" s="252"/>
      <c r="T12" s="247"/>
    </row>
    <row r="13" spans="1:20" x14ac:dyDescent="0.3">
      <c r="A13" s="244"/>
      <c r="B13" s="245"/>
      <c r="C13" s="245"/>
      <c r="D13" s="245"/>
      <c r="E13" s="245"/>
      <c r="F13" s="245"/>
      <c r="G13" s="245"/>
      <c r="H13" s="245"/>
      <c r="I13" s="245"/>
      <c r="J13" s="245"/>
      <c r="K13" s="245"/>
      <c r="L13" s="245"/>
      <c r="M13" s="245"/>
      <c r="N13" s="245"/>
      <c r="O13" s="245"/>
      <c r="P13" s="245"/>
      <c r="Q13" s="245"/>
      <c r="R13" s="245"/>
      <c r="S13" s="246"/>
      <c r="T13" s="247"/>
    </row>
    <row r="14" spans="1:20" s="349" customFormat="1" x14ac:dyDescent="0.3">
      <c r="A14" s="344"/>
      <c r="B14" s="350" t="s">
        <v>1</v>
      </c>
      <c r="C14" s="346"/>
      <c r="D14" s="346"/>
      <c r="E14" s="346"/>
      <c r="F14" s="346"/>
      <c r="G14" s="346"/>
      <c r="H14" s="346"/>
      <c r="I14" s="346"/>
      <c r="J14" s="346"/>
      <c r="K14" s="346"/>
      <c r="L14" s="346"/>
      <c r="M14" s="346"/>
      <c r="N14" s="346"/>
      <c r="O14" s="346"/>
      <c r="P14" s="346"/>
      <c r="Q14" s="346"/>
      <c r="R14" s="351" t="s">
        <v>223</v>
      </c>
      <c r="S14" s="347"/>
      <c r="T14" s="348"/>
    </row>
    <row r="15" spans="1:20" s="349" customFormat="1" x14ac:dyDescent="0.3">
      <c r="A15" s="344"/>
      <c r="B15" s="350" t="s">
        <v>2</v>
      </c>
      <c r="C15" s="346"/>
      <c r="D15" s="352"/>
      <c r="E15" s="352"/>
      <c r="F15" s="352"/>
      <c r="G15" s="352"/>
      <c r="H15" s="352"/>
      <c r="I15" s="352"/>
      <c r="J15" s="352"/>
      <c r="K15" s="352"/>
      <c r="L15" s="352"/>
      <c r="M15" s="352"/>
      <c r="N15" s="353"/>
      <c r="O15" s="353"/>
      <c r="P15" s="353" t="s">
        <v>154</v>
      </c>
      <c r="Q15" s="353">
        <v>1</v>
      </c>
      <c r="R15" s="351"/>
      <c r="S15" s="347"/>
      <c r="T15" s="348"/>
    </row>
    <row r="16" spans="1:20" s="349" customFormat="1" x14ac:dyDescent="0.3">
      <c r="A16" s="344"/>
      <c r="B16" s="350" t="s">
        <v>3</v>
      </c>
      <c r="C16" s="346"/>
      <c r="D16" s="352"/>
      <c r="E16" s="352"/>
      <c r="F16" s="352"/>
      <c r="G16" s="352"/>
      <c r="H16" s="352"/>
      <c r="I16" s="352"/>
      <c r="J16" s="352"/>
      <c r="K16" s="352"/>
      <c r="L16" s="352"/>
      <c r="M16" s="352"/>
      <c r="N16" s="353"/>
      <c r="O16" s="353"/>
      <c r="P16" s="353" t="s">
        <v>154</v>
      </c>
      <c r="Q16" s="353">
        <v>0</v>
      </c>
      <c r="R16" s="351"/>
      <c r="S16" s="347"/>
      <c r="T16" s="348"/>
    </row>
    <row r="17" spans="1:23" s="349" customFormat="1" x14ac:dyDescent="0.3">
      <c r="A17" s="344"/>
      <c r="B17" s="350" t="s">
        <v>4</v>
      </c>
      <c r="C17" s="346"/>
      <c r="D17" s="346"/>
      <c r="E17" s="346"/>
      <c r="F17" s="346"/>
      <c r="G17" s="346"/>
      <c r="H17" s="346"/>
      <c r="I17" s="346"/>
      <c r="J17" s="346"/>
      <c r="K17" s="346"/>
      <c r="L17" s="346"/>
      <c r="M17" s="346"/>
      <c r="N17" s="346"/>
      <c r="O17" s="346"/>
      <c r="P17" s="346"/>
      <c r="Q17" s="346"/>
      <c r="R17" s="354">
        <v>42088</v>
      </c>
      <c r="S17" s="347"/>
      <c r="T17" s="348"/>
    </row>
    <row r="18" spans="1:23" s="349" customFormat="1" x14ac:dyDescent="0.3">
      <c r="A18" s="344"/>
      <c r="B18" s="350" t="s">
        <v>5</v>
      </c>
      <c r="C18" s="346"/>
      <c r="D18" s="346"/>
      <c r="E18" s="346"/>
      <c r="F18" s="346"/>
      <c r="G18" s="346"/>
      <c r="H18" s="346"/>
      <c r="I18" s="346"/>
      <c r="J18" s="346"/>
      <c r="K18" s="346"/>
      <c r="L18" s="346"/>
      <c r="M18" s="346"/>
      <c r="N18" s="346"/>
      <c r="O18" s="346"/>
      <c r="P18" s="346"/>
      <c r="Q18" s="346"/>
      <c r="R18" s="354">
        <v>43637</v>
      </c>
      <c r="S18" s="347"/>
      <c r="T18" s="348"/>
    </row>
    <row r="19" spans="1:23" s="349" customFormat="1" x14ac:dyDescent="0.3">
      <c r="A19" s="344"/>
      <c r="B19" s="346"/>
      <c r="C19" s="346"/>
      <c r="D19" s="346"/>
      <c r="E19" s="346"/>
      <c r="F19" s="346"/>
      <c r="G19" s="346"/>
      <c r="H19" s="346"/>
      <c r="I19" s="346"/>
      <c r="J19" s="346"/>
      <c r="K19" s="346"/>
      <c r="L19" s="346"/>
      <c r="M19" s="346"/>
      <c r="N19" s="346"/>
      <c r="O19" s="346"/>
      <c r="P19" s="346"/>
      <c r="Q19" s="346"/>
      <c r="R19" s="355"/>
      <c r="S19" s="347"/>
      <c r="T19" s="348"/>
    </row>
    <row r="20" spans="1:23" s="349" customFormat="1" x14ac:dyDescent="0.3">
      <c r="A20" s="344"/>
      <c r="B20" s="356" t="s">
        <v>6</v>
      </c>
      <c r="C20" s="346"/>
      <c r="D20" s="346"/>
      <c r="E20" s="346"/>
      <c r="F20" s="346"/>
      <c r="G20" s="346"/>
      <c r="H20" s="346"/>
      <c r="I20" s="346"/>
      <c r="J20" s="346"/>
      <c r="K20" s="346"/>
      <c r="L20" s="346"/>
      <c r="M20" s="346"/>
      <c r="N20" s="346"/>
      <c r="O20" s="346"/>
      <c r="P20" s="355" t="s">
        <v>85</v>
      </c>
      <c r="Q20" s="346"/>
      <c r="R20" s="346"/>
      <c r="S20" s="347"/>
      <c r="T20" s="348"/>
    </row>
    <row r="21" spans="1:23" x14ac:dyDescent="0.3">
      <c r="A21" s="249"/>
      <c r="B21" s="251"/>
      <c r="C21" s="251"/>
      <c r="D21" s="251"/>
      <c r="E21" s="251"/>
      <c r="F21" s="251"/>
      <c r="G21" s="251"/>
      <c r="H21" s="251"/>
      <c r="I21" s="251"/>
      <c r="J21" s="251"/>
      <c r="K21" s="251"/>
      <c r="L21" s="251"/>
      <c r="M21" s="251"/>
      <c r="N21" s="251"/>
      <c r="O21" s="251"/>
      <c r="P21" s="251"/>
      <c r="Q21" s="251"/>
      <c r="R21" s="262"/>
      <c r="S21" s="252"/>
      <c r="T21" s="247"/>
    </row>
    <row r="22" spans="1:23" x14ac:dyDescent="0.3">
      <c r="A22" s="443"/>
      <c r="B22" s="447"/>
      <c r="C22" s="448"/>
      <c r="D22" s="448" t="s">
        <v>232</v>
      </c>
      <c r="E22" s="448"/>
      <c r="F22" s="448" t="s">
        <v>233</v>
      </c>
      <c r="G22" s="448"/>
      <c r="H22" s="448" t="s">
        <v>179</v>
      </c>
      <c r="I22" s="448"/>
      <c r="J22" s="448" t="s">
        <v>180</v>
      </c>
      <c r="K22" s="448"/>
      <c r="L22" s="448" t="s">
        <v>234</v>
      </c>
      <c r="M22" s="448"/>
      <c r="N22" s="448"/>
      <c r="O22" s="449"/>
      <c r="P22" s="449"/>
      <c r="Q22" s="447"/>
      <c r="R22" s="447"/>
      <c r="S22" s="445"/>
      <c r="T22" s="247"/>
    </row>
    <row r="23" spans="1:23" s="349" customFormat="1" x14ac:dyDescent="0.3">
      <c r="A23" s="344"/>
      <c r="B23" s="393" t="s">
        <v>226</v>
      </c>
      <c r="C23" s="446"/>
      <c r="D23" s="446" t="s">
        <v>112</v>
      </c>
      <c r="E23" s="446"/>
      <c r="F23" s="446" t="s">
        <v>112</v>
      </c>
      <c r="G23" s="446"/>
      <c r="H23" s="446" t="s">
        <v>178</v>
      </c>
      <c r="I23" s="446"/>
      <c r="J23" s="446" t="s">
        <v>249</v>
      </c>
      <c r="K23" s="446"/>
      <c r="L23" s="446" t="s">
        <v>153</v>
      </c>
      <c r="M23" s="446"/>
      <c r="N23" s="446"/>
      <c r="O23" s="446"/>
      <c r="P23" s="446"/>
      <c r="Q23" s="393"/>
      <c r="R23" s="393"/>
      <c r="S23" s="347"/>
      <c r="T23" s="348"/>
    </row>
    <row r="24" spans="1:23" s="349" customFormat="1" x14ac:dyDescent="0.3">
      <c r="A24" s="357"/>
      <c r="B24" s="358" t="s">
        <v>197</v>
      </c>
      <c r="C24" s="359"/>
      <c r="D24" s="360" t="s">
        <v>199</v>
      </c>
      <c r="E24" s="360"/>
      <c r="F24" s="360" t="s">
        <v>199</v>
      </c>
      <c r="G24" s="360"/>
      <c r="H24" s="360" t="s">
        <v>200</v>
      </c>
      <c r="I24" s="360"/>
      <c r="J24" s="360" t="s">
        <v>201</v>
      </c>
      <c r="K24" s="360"/>
      <c r="L24" s="360" t="s">
        <v>153</v>
      </c>
      <c r="M24" s="360"/>
      <c r="N24" s="360"/>
      <c r="O24" s="359"/>
      <c r="P24" s="360"/>
      <c r="Q24" s="358"/>
      <c r="R24" s="358"/>
      <c r="S24" s="361"/>
      <c r="T24" s="348"/>
    </row>
    <row r="25" spans="1:23" s="349" customFormat="1" x14ac:dyDescent="0.3">
      <c r="A25" s="357"/>
      <c r="B25" s="362" t="s">
        <v>227</v>
      </c>
      <c r="C25" s="359"/>
      <c r="D25" s="359" t="s">
        <v>112</v>
      </c>
      <c r="E25" s="359"/>
      <c r="F25" s="359" t="s">
        <v>112</v>
      </c>
      <c r="G25" s="359"/>
      <c r="H25" s="359" t="s">
        <v>112</v>
      </c>
      <c r="I25" s="359"/>
      <c r="J25" s="359" t="s">
        <v>112</v>
      </c>
      <c r="K25" s="359"/>
      <c r="L25" s="359" t="s">
        <v>153</v>
      </c>
      <c r="M25" s="359"/>
      <c r="N25" s="359"/>
      <c r="O25" s="359"/>
      <c r="P25" s="360"/>
      <c r="Q25" s="358"/>
      <c r="R25" s="358"/>
      <c r="S25" s="361"/>
      <c r="T25" s="348"/>
      <c r="U25" s="363"/>
      <c r="W25" s="364"/>
    </row>
    <row r="26" spans="1:23" s="349" customFormat="1" x14ac:dyDescent="0.3">
      <c r="A26" s="365"/>
      <c r="B26" s="362" t="s">
        <v>198</v>
      </c>
      <c r="C26" s="360"/>
      <c r="D26" s="359" t="s">
        <v>199</v>
      </c>
      <c r="E26" s="359"/>
      <c r="F26" s="359" t="s">
        <v>199</v>
      </c>
      <c r="G26" s="359"/>
      <c r="H26" s="359" t="s">
        <v>199</v>
      </c>
      <c r="I26" s="359"/>
      <c r="J26" s="359" t="s">
        <v>199</v>
      </c>
      <c r="K26" s="359"/>
      <c r="L26" s="359" t="s">
        <v>153</v>
      </c>
      <c r="M26" s="359"/>
      <c r="N26" s="359"/>
      <c r="O26" s="360"/>
      <c r="P26" s="366"/>
      <c r="Q26" s="358"/>
      <c r="R26" s="358"/>
      <c r="S26" s="361"/>
      <c r="T26" s="348"/>
      <c r="U26" s="363"/>
      <c r="W26" s="364"/>
    </row>
    <row r="27" spans="1:23" s="349" customFormat="1" x14ac:dyDescent="0.3">
      <c r="A27" s="365"/>
      <c r="B27" s="358" t="s">
        <v>7</v>
      </c>
      <c r="C27" s="367"/>
      <c r="D27" s="360" t="s">
        <v>228</v>
      </c>
      <c r="E27" s="360"/>
      <c r="F27" s="360" t="s">
        <v>242</v>
      </c>
      <c r="G27" s="360"/>
      <c r="H27" s="360" t="s">
        <v>243</v>
      </c>
      <c r="I27" s="360"/>
      <c r="J27" s="360" t="s">
        <v>244</v>
      </c>
      <c r="K27" s="360"/>
      <c r="L27" s="360" t="s">
        <v>245</v>
      </c>
      <c r="M27" s="360"/>
      <c r="N27" s="360"/>
      <c r="O27" s="368"/>
      <c r="P27" s="368"/>
      <c r="Q27" s="367"/>
      <c r="R27" s="368"/>
      <c r="S27" s="369"/>
      <c r="T27" s="348"/>
      <c r="U27" s="363"/>
      <c r="W27" s="364"/>
    </row>
    <row r="28" spans="1:23" s="349" customFormat="1" x14ac:dyDescent="0.3">
      <c r="A28" s="357"/>
      <c r="B28" s="358" t="s">
        <v>106</v>
      </c>
      <c r="C28" s="370"/>
      <c r="D28" s="371">
        <v>164000</v>
      </c>
      <c r="E28" s="372"/>
      <c r="F28" s="373">
        <v>151700</v>
      </c>
      <c r="G28" s="374"/>
      <c r="H28" s="373">
        <v>12000</v>
      </c>
      <c r="I28" s="374"/>
      <c r="J28" s="373">
        <v>12000</v>
      </c>
      <c r="K28" s="368"/>
      <c r="L28" s="373">
        <v>7500</v>
      </c>
      <c r="M28" s="368"/>
      <c r="N28" s="372"/>
      <c r="O28" s="375"/>
      <c r="P28" s="375"/>
      <c r="Q28" s="370"/>
      <c r="R28" s="368"/>
      <c r="S28" s="369"/>
      <c r="T28" s="348"/>
    </row>
    <row r="29" spans="1:23" s="349" customFormat="1" x14ac:dyDescent="0.3">
      <c r="A29" s="365"/>
      <c r="B29" s="358" t="s">
        <v>105</v>
      </c>
      <c r="C29" s="367"/>
      <c r="D29" s="371">
        <f>D28*D35</f>
        <v>15844.105599999999</v>
      </c>
      <c r="E29" s="372"/>
      <c r="F29" s="373">
        <f>F28*F35</f>
        <v>14655.79768</v>
      </c>
      <c r="G29" s="373"/>
      <c r="H29" s="373">
        <f>H28</f>
        <v>12000</v>
      </c>
      <c r="I29" s="373"/>
      <c r="J29" s="373">
        <f>J28</f>
        <v>12000</v>
      </c>
      <c r="K29" s="368"/>
      <c r="L29" s="373">
        <f>L28</f>
        <v>7500</v>
      </c>
      <c r="M29" s="368"/>
      <c r="N29" s="372"/>
      <c r="O29" s="368"/>
      <c r="P29" s="368"/>
      <c r="Q29" s="367"/>
      <c r="R29" s="368"/>
      <c r="S29" s="369"/>
      <c r="T29" s="348"/>
    </row>
    <row r="30" spans="1:23" s="349" customFormat="1" x14ac:dyDescent="0.3">
      <c r="A30" s="365"/>
      <c r="B30" s="362" t="s">
        <v>107</v>
      </c>
      <c r="C30" s="367"/>
      <c r="D30" s="376">
        <f>D28*D34</f>
        <v>0</v>
      </c>
      <c r="E30" s="377"/>
      <c r="F30" s="377">
        <f t="shared" ref="F30" si="0">F28*F34</f>
        <v>0</v>
      </c>
      <c r="G30" s="377"/>
      <c r="H30" s="377">
        <f t="shared" ref="H30" si="1">H28*H34</f>
        <v>0</v>
      </c>
      <c r="I30" s="377"/>
      <c r="J30" s="377">
        <f t="shared" ref="J30" si="2">J28*J34</f>
        <v>0</v>
      </c>
      <c r="K30" s="377"/>
      <c r="L30" s="377">
        <f t="shared" ref="L30" si="3">L28*L34</f>
        <v>0</v>
      </c>
      <c r="M30" s="375"/>
      <c r="N30" s="378"/>
      <c r="O30" s="368"/>
      <c r="P30" s="368"/>
      <c r="Q30" s="367"/>
      <c r="R30" s="375"/>
      <c r="S30" s="369"/>
      <c r="T30" s="348"/>
    </row>
    <row r="31" spans="1:23" s="349" customFormat="1" x14ac:dyDescent="0.3">
      <c r="A31" s="365"/>
      <c r="B31" s="358" t="s">
        <v>229</v>
      </c>
      <c r="C31" s="367"/>
      <c r="D31" s="373">
        <v>116809</v>
      </c>
      <c r="E31" s="373"/>
      <c r="F31" s="373">
        <v>151700</v>
      </c>
      <c r="G31" s="373"/>
      <c r="H31" s="373">
        <v>12000</v>
      </c>
      <c r="I31" s="373"/>
      <c r="J31" s="373">
        <v>12000</v>
      </c>
      <c r="K31" s="373"/>
      <c r="L31" s="373">
        <v>7500</v>
      </c>
      <c r="M31" s="368"/>
      <c r="N31" s="378"/>
      <c r="O31" s="368"/>
      <c r="P31" s="368"/>
      <c r="Q31" s="367"/>
      <c r="R31" s="368">
        <f>SUM(D31:L31)</f>
        <v>300009</v>
      </c>
      <c r="S31" s="369"/>
      <c r="T31" s="348"/>
    </row>
    <row r="32" spans="1:23" s="349" customFormat="1" x14ac:dyDescent="0.3">
      <c r="A32" s="365"/>
      <c r="B32" s="358" t="s">
        <v>230</v>
      </c>
      <c r="C32" s="367"/>
      <c r="D32" s="373">
        <f>D31*D35</f>
        <v>11284.9642136</v>
      </c>
      <c r="E32" s="373"/>
      <c r="F32" s="373">
        <f>F31*F35</f>
        <v>14655.79768</v>
      </c>
      <c r="G32" s="373"/>
      <c r="H32" s="373">
        <f>H31</f>
        <v>12000</v>
      </c>
      <c r="I32" s="373"/>
      <c r="J32" s="373">
        <f>+J31</f>
        <v>12000</v>
      </c>
      <c r="K32" s="373"/>
      <c r="L32" s="373">
        <f>L31</f>
        <v>7500</v>
      </c>
      <c r="M32" s="368"/>
      <c r="N32" s="378"/>
      <c r="O32" s="368"/>
      <c r="P32" s="368"/>
      <c r="Q32" s="367"/>
      <c r="R32" s="368">
        <f>SUM(D32:L32)</f>
        <v>57440.7618936</v>
      </c>
      <c r="S32" s="369"/>
      <c r="T32" s="348"/>
    </row>
    <row r="33" spans="1:20" s="349" customFormat="1" x14ac:dyDescent="0.3">
      <c r="A33" s="365"/>
      <c r="B33" s="362" t="s">
        <v>231</v>
      </c>
      <c r="C33" s="367"/>
      <c r="D33" s="377">
        <f>D31*D34</f>
        <v>0</v>
      </c>
      <c r="E33" s="377"/>
      <c r="F33" s="377">
        <f>F31*F34</f>
        <v>0</v>
      </c>
      <c r="G33" s="377"/>
      <c r="H33" s="377">
        <f t="shared" ref="H33:L33" si="4">H31*H34</f>
        <v>0</v>
      </c>
      <c r="I33" s="377"/>
      <c r="J33" s="377">
        <f t="shared" si="4"/>
        <v>0</v>
      </c>
      <c r="K33" s="377"/>
      <c r="L33" s="377">
        <f t="shared" si="4"/>
        <v>0</v>
      </c>
      <c r="M33" s="375"/>
      <c r="N33" s="378"/>
      <c r="O33" s="368"/>
      <c r="P33" s="368"/>
      <c r="Q33" s="367"/>
      <c r="R33" s="375">
        <f>SUM(D33:L33)</f>
        <v>0</v>
      </c>
      <c r="S33" s="369"/>
      <c r="T33" s="348"/>
    </row>
    <row r="34" spans="1:20" s="273" customFormat="1" x14ac:dyDescent="0.3">
      <c r="A34" s="265"/>
      <c r="B34" s="266" t="s">
        <v>103</v>
      </c>
      <c r="C34" s="267"/>
      <c r="D34" s="268">
        <v>0</v>
      </c>
      <c r="E34" s="268"/>
      <c r="F34" s="268">
        <v>0</v>
      </c>
      <c r="G34" s="268"/>
      <c r="H34" s="268">
        <v>0</v>
      </c>
      <c r="I34" s="268"/>
      <c r="J34" s="268">
        <v>0</v>
      </c>
      <c r="K34" s="268"/>
      <c r="L34" s="268">
        <v>0</v>
      </c>
      <c r="M34" s="268"/>
      <c r="N34" s="268"/>
      <c r="O34" s="269"/>
      <c r="P34" s="269"/>
      <c r="Q34" s="267"/>
      <c r="R34" s="270"/>
      <c r="S34" s="271"/>
      <c r="T34" s="272"/>
    </row>
    <row r="35" spans="1:20" s="273" customFormat="1" x14ac:dyDescent="0.3">
      <c r="A35" s="265"/>
      <c r="B35" s="266" t="s">
        <v>104</v>
      </c>
      <c r="C35" s="267"/>
      <c r="D35" s="268">
        <v>9.6610399999999999E-2</v>
      </c>
      <c r="E35" s="268"/>
      <c r="F35" s="268">
        <v>9.6610399999999999E-2</v>
      </c>
      <c r="G35" s="268"/>
      <c r="H35" s="268">
        <v>1</v>
      </c>
      <c r="I35" s="268"/>
      <c r="J35" s="268">
        <v>1</v>
      </c>
      <c r="K35" s="268"/>
      <c r="L35" s="268">
        <v>1</v>
      </c>
      <c r="M35" s="268"/>
      <c r="N35" s="268"/>
      <c r="O35" s="274"/>
      <c r="P35" s="275"/>
      <c r="Q35" s="267"/>
      <c r="R35" s="274"/>
      <c r="S35" s="271"/>
      <c r="T35" s="272"/>
    </row>
    <row r="36" spans="1:20" s="349" customFormat="1" x14ac:dyDescent="0.3">
      <c r="A36" s="365"/>
      <c r="B36" s="358" t="s">
        <v>8</v>
      </c>
      <c r="C36" s="358"/>
      <c r="D36" s="366" t="s">
        <v>240</v>
      </c>
      <c r="E36" s="366"/>
      <c r="F36" s="366" t="s">
        <v>220</v>
      </c>
      <c r="G36" s="366"/>
      <c r="H36" s="366" t="s">
        <v>247</v>
      </c>
      <c r="I36" s="366"/>
      <c r="J36" s="366" t="s">
        <v>250</v>
      </c>
      <c r="K36" s="366"/>
      <c r="L36" s="366" t="s">
        <v>252</v>
      </c>
      <c r="M36" s="366"/>
      <c r="N36" s="366"/>
      <c r="O36" s="379"/>
      <c r="P36" s="380"/>
      <c r="Q36" s="358"/>
      <c r="R36" s="358"/>
      <c r="S36" s="361"/>
      <c r="T36" s="348"/>
    </row>
    <row r="37" spans="1:20" s="349" customFormat="1" x14ac:dyDescent="0.3">
      <c r="A37" s="365"/>
      <c r="B37" s="358" t="s">
        <v>9</v>
      </c>
      <c r="C37" s="381"/>
      <c r="D37" s="380">
        <v>1.9E-3</v>
      </c>
      <c r="E37" s="380"/>
      <c r="F37" s="380">
        <v>1.6446300000000001E-2</v>
      </c>
      <c r="G37" s="380"/>
      <c r="H37" s="380">
        <v>2.1946299999999998E-2</v>
      </c>
      <c r="I37" s="380"/>
      <c r="J37" s="380">
        <v>2.4946300000000001E-2</v>
      </c>
      <c r="K37" s="380"/>
      <c r="L37" s="380">
        <v>2.8446300000000001E-2</v>
      </c>
      <c r="M37" s="379"/>
      <c r="N37" s="380"/>
      <c r="O37" s="366"/>
      <c r="P37" s="366"/>
      <c r="Q37" s="358"/>
      <c r="R37" s="379"/>
      <c r="S37" s="361"/>
      <c r="T37" s="348"/>
    </row>
    <row r="38" spans="1:20" s="349" customFormat="1" x14ac:dyDescent="0.3">
      <c r="A38" s="365"/>
      <c r="B38" s="358" t="s">
        <v>10</v>
      </c>
      <c r="C38" s="381"/>
      <c r="D38" s="380">
        <v>1.89E-3</v>
      </c>
      <c r="E38" s="380"/>
      <c r="F38" s="380">
        <v>1.70638E-2</v>
      </c>
      <c r="G38" s="380"/>
      <c r="H38" s="380">
        <v>2.2563799999999998E-2</v>
      </c>
      <c r="I38" s="380"/>
      <c r="J38" s="380">
        <v>2.5563800000000001E-2</v>
      </c>
      <c r="K38" s="380"/>
      <c r="L38" s="380">
        <v>2.9063800000000001E-2</v>
      </c>
      <c r="M38" s="379"/>
      <c r="N38" s="380"/>
      <c r="O38" s="366"/>
      <c r="P38" s="366"/>
      <c r="Q38" s="358"/>
      <c r="R38" s="358"/>
      <c r="S38" s="361"/>
      <c r="T38" s="348"/>
    </row>
    <row r="39" spans="1:20" s="349" customFormat="1" x14ac:dyDescent="0.3">
      <c r="A39" s="365"/>
      <c r="B39" s="358" t="s">
        <v>235</v>
      </c>
      <c r="C39" s="381"/>
      <c r="D39" s="382" t="s">
        <v>260</v>
      </c>
      <c r="E39" s="380"/>
      <c r="F39" s="380" t="s">
        <v>220</v>
      </c>
      <c r="G39" s="380"/>
      <c r="H39" s="380" t="s">
        <v>247</v>
      </c>
      <c r="I39" s="380"/>
      <c r="J39" s="366" t="s">
        <v>250</v>
      </c>
      <c r="K39" s="380"/>
      <c r="L39" s="380" t="s">
        <v>252</v>
      </c>
      <c r="M39" s="379"/>
      <c r="N39" s="380"/>
      <c r="O39" s="366"/>
      <c r="P39" s="366"/>
      <c r="Q39" s="358"/>
      <c r="R39" s="358"/>
      <c r="S39" s="361"/>
      <c r="T39" s="348"/>
    </row>
    <row r="40" spans="1:20" s="349" customFormat="1" x14ac:dyDescent="0.3">
      <c r="A40" s="365"/>
      <c r="B40" s="358" t="s">
        <v>236</v>
      </c>
      <c r="C40" s="381"/>
      <c r="D40" s="380">
        <v>1.88463E-2</v>
      </c>
      <c r="E40" s="380"/>
      <c r="F40" s="380">
        <f>+F37</f>
        <v>1.6446300000000001E-2</v>
      </c>
      <c r="G40" s="380"/>
      <c r="H40" s="380">
        <f>+H37</f>
        <v>2.1946299999999998E-2</v>
      </c>
      <c r="I40" s="380"/>
      <c r="J40" s="380">
        <f>+J37</f>
        <v>2.4946300000000001E-2</v>
      </c>
      <c r="K40" s="380"/>
      <c r="L40" s="380">
        <f>+L37</f>
        <v>2.8446300000000001E-2</v>
      </c>
      <c r="M40" s="379"/>
      <c r="N40" s="380"/>
      <c r="O40" s="366"/>
      <c r="P40" s="366"/>
      <c r="Q40" s="358"/>
      <c r="R40" s="379">
        <f>SUMPRODUCT(D40:L40,D32:L32)/R32</f>
        <v>2.1409394233337528E-2</v>
      </c>
      <c r="S40" s="361"/>
      <c r="T40" s="348"/>
    </row>
    <row r="41" spans="1:20" s="349" customFormat="1" x14ac:dyDescent="0.3">
      <c r="A41" s="365"/>
      <c r="B41" s="358" t="s">
        <v>237</v>
      </c>
      <c r="C41" s="381"/>
      <c r="D41" s="380">
        <v>1.94638E-2</v>
      </c>
      <c r="E41" s="380"/>
      <c r="F41" s="380">
        <f>+F38</f>
        <v>1.70638E-2</v>
      </c>
      <c r="G41" s="380"/>
      <c r="H41" s="380">
        <f>+H38</f>
        <v>2.2563799999999998E-2</v>
      </c>
      <c r="I41" s="380"/>
      <c r="J41" s="380">
        <f>+J38</f>
        <v>2.5563800000000001E-2</v>
      </c>
      <c r="K41" s="380"/>
      <c r="L41" s="380">
        <f>+L38</f>
        <v>2.9063800000000001E-2</v>
      </c>
      <c r="M41" s="379"/>
      <c r="N41" s="380"/>
      <c r="O41" s="366"/>
      <c r="P41" s="366"/>
      <c r="Q41" s="358"/>
      <c r="R41" s="358"/>
      <c r="S41" s="361"/>
      <c r="T41" s="348"/>
    </row>
    <row r="42" spans="1:20" s="349" customFormat="1" x14ac:dyDescent="0.3">
      <c r="A42" s="365"/>
      <c r="B42" s="358" t="s">
        <v>238</v>
      </c>
      <c r="C42" s="358"/>
      <c r="D42" s="381">
        <v>43631</v>
      </c>
      <c r="E42" s="381"/>
      <c r="F42" s="381">
        <v>43631</v>
      </c>
      <c r="G42" s="381"/>
      <c r="H42" s="381">
        <v>43631</v>
      </c>
      <c r="I42" s="381"/>
      <c r="J42" s="381">
        <v>43631</v>
      </c>
      <c r="K42" s="381"/>
      <c r="L42" s="381">
        <v>43631</v>
      </c>
      <c r="M42" s="381"/>
      <c r="N42" s="381"/>
      <c r="O42" s="366"/>
      <c r="P42" s="366"/>
      <c r="Q42" s="358"/>
      <c r="R42" s="358"/>
      <c r="S42" s="361"/>
      <c r="T42" s="348"/>
    </row>
    <row r="43" spans="1:20" s="349" customFormat="1" x14ac:dyDescent="0.3">
      <c r="A43" s="365"/>
      <c r="B43" s="358" t="s">
        <v>11</v>
      </c>
      <c r="C43" s="358"/>
      <c r="D43" s="381">
        <v>43631</v>
      </c>
      <c r="E43" s="381"/>
      <c r="F43" s="381">
        <v>43631</v>
      </c>
      <c r="G43" s="366"/>
      <c r="H43" s="381">
        <v>43631</v>
      </c>
      <c r="I43" s="366"/>
      <c r="J43" s="381">
        <v>43631</v>
      </c>
      <c r="K43" s="366"/>
      <c r="L43" s="381" t="s">
        <v>97</v>
      </c>
      <c r="M43" s="366"/>
      <c r="N43" s="381"/>
      <c r="O43" s="366"/>
      <c r="P43" s="366"/>
      <c r="Q43" s="358"/>
      <c r="R43" s="358"/>
      <c r="S43" s="361"/>
      <c r="T43" s="348"/>
    </row>
    <row r="44" spans="1:20" s="349" customFormat="1" x14ac:dyDescent="0.3">
      <c r="A44" s="365"/>
      <c r="B44" s="358" t="s">
        <v>98</v>
      </c>
      <c r="C44" s="358"/>
      <c r="D44" s="366" t="s">
        <v>241</v>
      </c>
      <c r="E44" s="366"/>
      <c r="F44" s="366" t="s">
        <v>246</v>
      </c>
      <c r="G44" s="366"/>
      <c r="H44" s="366" t="s">
        <v>248</v>
      </c>
      <c r="I44" s="366"/>
      <c r="J44" s="366" t="s">
        <v>251</v>
      </c>
      <c r="K44" s="366"/>
      <c r="L44" s="366" t="s">
        <v>97</v>
      </c>
      <c r="M44" s="366"/>
      <c r="N44" s="366"/>
      <c r="O44" s="383"/>
      <c r="P44" s="383"/>
      <c r="Q44" s="383"/>
      <c r="R44" s="383"/>
      <c r="S44" s="361"/>
      <c r="T44" s="348"/>
    </row>
    <row r="45" spans="1:20" s="349" customFormat="1" x14ac:dyDescent="0.3">
      <c r="A45" s="365"/>
      <c r="B45" s="358" t="s">
        <v>239</v>
      </c>
      <c r="C45" s="358"/>
      <c r="D45" s="366" t="s">
        <v>273</v>
      </c>
      <c r="E45" s="366"/>
      <c r="F45" s="366" t="s">
        <v>246</v>
      </c>
      <c r="G45" s="366"/>
      <c r="H45" s="366" t="s">
        <v>248</v>
      </c>
      <c r="I45" s="366"/>
      <c r="J45" s="366" t="s">
        <v>251</v>
      </c>
      <c r="K45" s="366"/>
      <c r="L45" s="366" t="s">
        <v>97</v>
      </c>
      <c r="M45" s="366"/>
      <c r="N45" s="366"/>
      <c r="O45" s="383"/>
      <c r="P45" s="383"/>
      <c r="Q45" s="383"/>
      <c r="R45" s="383"/>
      <c r="S45" s="361"/>
      <c r="T45" s="348"/>
    </row>
    <row r="46" spans="1:20" s="349" customFormat="1" x14ac:dyDescent="0.3">
      <c r="A46" s="365"/>
      <c r="B46" s="358"/>
      <c r="C46" s="358"/>
      <c r="D46" s="366"/>
      <c r="E46" s="366"/>
      <c r="F46" s="366"/>
      <c r="G46" s="366"/>
      <c r="H46" s="366"/>
      <c r="I46" s="366"/>
      <c r="J46" s="366"/>
      <c r="K46" s="366"/>
      <c r="L46" s="366"/>
      <c r="M46" s="366"/>
      <c r="N46" s="366"/>
      <c r="O46" s="358"/>
      <c r="P46" s="358"/>
      <c r="Q46" s="358"/>
      <c r="R46" s="379" t="s">
        <v>130</v>
      </c>
      <c r="S46" s="361"/>
      <c r="T46" s="348"/>
    </row>
    <row r="47" spans="1:20" s="349" customFormat="1" x14ac:dyDescent="0.3">
      <c r="A47" s="365"/>
      <c r="B47" s="358" t="s">
        <v>253</v>
      </c>
      <c r="C47" s="358"/>
      <c r="D47" s="366"/>
      <c r="E47" s="366"/>
      <c r="F47" s="366"/>
      <c r="G47" s="366"/>
      <c r="H47" s="366"/>
      <c r="I47" s="366"/>
      <c r="J47" s="366"/>
      <c r="K47" s="366"/>
      <c r="L47" s="366"/>
      <c r="M47" s="366"/>
      <c r="N47" s="366"/>
      <c r="O47" s="358"/>
      <c r="P47" s="358"/>
      <c r="Q47" s="358"/>
      <c r="R47" s="384">
        <f>SUM(H31:L31)/(D31+F31)</f>
        <v>0.11731450342446621</v>
      </c>
      <c r="S47" s="361"/>
      <c r="T47" s="348"/>
    </row>
    <row r="48" spans="1:20" s="349" customFormat="1" x14ac:dyDescent="0.3">
      <c r="A48" s="365"/>
      <c r="B48" s="358" t="s">
        <v>254</v>
      </c>
      <c r="C48" s="358"/>
      <c r="D48" s="358"/>
      <c r="E48" s="358"/>
      <c r="F48" s="358"/>
      <c r="G48" s="358"/>
      <c r="H48" s="358"/>
      <c r="I48" s="358"/>
      <c r="J48" s="358"/>
      <c r="K48" s="358"/>
      <c r="L48" s="358"/>
      <c r="M48" s="358"/>
      <c r="N48" s="358"/>
      <c r="O48" s="358"/>
      <c r="P48" s="358"/>
      <c r="Q48" s="358"/>
      <c r="R48" s="384" t="s">
        <v>97</v>
      </c>
      <c r="S48" s="361"/>
      <c r="T48" s="348"/>
    </row>
    <row r="49" spans="1:21" s="349" customFormat="1" x14ac:dyDescent="0.3">
      <c r="A49" s="365"/>
      <c r="B49" s="358" t="s">
        <v>255</v>
      </c>
      <c r="C49" s="358"/>
      <c r="D49" s="358"/>
      <c r="E49" s="358"/>
      <c r="F49" s="358"/>
      <c r="G49" s="358"/>
      <c r="H49" s="358"/>
      <c r="I49" s="358"/>
      <c r="J49" s="358"/>
      <c r="K49" s="358"/>
      <c r="L49" s="358"/>
      <c r="M49" s="358"/>
      <c r="N49" s="358"/>
      <c r="O49" s="358"/>
      <c r="P49" s="366"/>
      <c r="Q49" s="366"/>
      <c r="R49" s="368" t="s">
        <v>149</v>
      </c>
      <c r="S49" s="361"/>
      <c r="T49" s="348"/>
    </row>
    <row r="50" spans="1:21" s="349" customFormat="1" x14ac:dyDescent="0.3">
      <c r="A50" s="365"/>
      <c r="B50" s="358"/>
      <c r="C50" s="358"/>
      <c r="D50" s="358"/>
      <c r="E50" s="358"/>
      <c r="F50" s="358"/>
      <c r="G50" s="358"/>
      <c r="H50" s="358"/>
      <c r="I50" s="358"/>
      <c r="J50" s="358"/>
      <c r="K50" s="358"/>
      <c r="L50" s="358"/>
      <c r="M50" s="358"/>
      <c r="N50" s="358"/>
      <c r="O50" s="358"/>
      <c r="P50" s="358"/>
      <c r="Q50" s="358"/>
      <c r="R50" s="385"/>
      <c r="S50" s="361"/>
      <c r="T50" s="348"/>
    </row>
    <row r="51" spans="1:21" s="349" customFormat="1" x14ac:dyDescent="0.3">
      <c r="A51" s="365"/>
      <c r="B51" s="358" t="s">
        <v>225</v>
      </c>
      <c r="C51" s="358"/>
      <c r="D51" s="358"/>
      <c r="E51" s="358"/>
      <c r="F51" s="358"/>
      <c r="G51" s="358"/>
      <c r="H51" s="358"/>
      <c r="I51" s="358"/>
      <c r="J51" s="358"/>
      <c r="K51" s="358"/>
      <c r="L51" s="358"/>
      <c r="M51" s="358"/>
      <c r="N51" s="358"/>
      <c r="O51" s="358"/>
      <c r="P51" s="358"/>
      <c r="Q51" s="358"/>
      <c r="R51" s="386" t="s">
        <v>91</v>
      </c>
      <c r="S51" s="361"/>
      <c r="T51" s="348"/>
    </row>
    <row r="52" spans="1:21" s="349" customFormat="1" x14ac:dyDescent="0.3">
      <c r="A52" s="365"/>
      <c r="B52" s="362" t="s">
        <v>131</v>
      </c>
      <c r="C52" s="362"/>
      <c r="D52" s="362"/>
      <c r="E52" s="362"/>
      <c r="F52" s="362"/>
      <c r="G52" s="362"/>
      <c r="H52" s="362"/>
      <c r="I52" s="362"/>
      <c r="J52" s="362"/>
      <c r="K52" s="362"/>
      <c r="L52" s="362"/>
      <c r="M52" s="362"/>
      <c r="N52" s="362"/>
      <c r="O52" s="362"/>
      <c r="P52" s="387"/>
      <c r="Q52" s="387"/>
      <c r="R52" s="388">
        <v>43633</v>
      </c>
      <c r="S52" s="361"/>
      <c r="T52" s="348"/>
    </row>
    <row r="53" spans="1:21" s="349" customFormat="1" x14ac:dyDescent="0.3">
      <c r="A53" s="365"/>
      <c r="B53" s="358" t="s">
        <v>99</v>
      </c>
      <c r="C53" s="358"/>
      <c r="D53" s="389"/>
      <c r="E53" s="389"/>
      <c r="F53" s="389"/>
      <c r="G53" s="389"/>
      <c r="H53" s="389"/>
      <c r="I53" s="389"/>
      <c r="J53" s="389"/>
      <c r="K53" s="389"/>
      <c r="L53" s="389"/>
      <c r="M53" s="389"/>
      <c r="N53" s="358">
        <f>+R53-P53+1</f>
        <v>88</v>
      </c>
      <c r="O53" s="358"/>
      <c r="P53" s="390">
        <v>43451</v>
      </c>
      <c r="Q53" s="391"/>
      <c r="R53" s="390">
        <v>43538</v>
      </c>
      <c r="S53" s="361"/>
      <c r="T53" s="348"/>
    </row>
    <row r="54" spans="1:21" s="349" customFormat="1" x14ac:dyDescent="0.3">
      <c r="A54" s="365"/>
      <c r="B54" s="358" t="s">
        <v>100</v>
      </c>
      <c r="C54" s="358"/>
      <c r="D54" s="358"/>
      <c r="E54" s="358"/>
      <c r="F54" s="358"/>
      <c r="G54" s="358"/>
      <c r="H54" s="358"/>
      <c r="I54" s="358"/>
      <c r="J54" s="358"/>
      <c r="K54" s="358"/>
      <c r="L54" s="358"/>
      <c r="M54" s="358"/>
      <c r="N54" s="358">
        <f>+R54-P54+1</f>
        <v>94</v>
      </c>
      <c r="O54" s="358"/>
      <c r="P54" s="390">
        <v>43539</v>
      </c>
      <c r="Q54" s="391"/>
      <c r="R54" s="390">
        <v>43632</v>
      </c>
      <c r="S54" s="361"/>
      <c r="T54" s="348"/>
    </row>
    <row r="55" spans="1:21" s="349" customFormat="1" x14ac:dyDescent="0.3">
      <c r="A55" s="365"/>
      <c r="B55" s="358" t="s">
        <v>261</v>
      </c>
      <c r="C55" s="358"/>
      <c r="D55" s="358"/>
      <c r="E55" s="358"/>
      <c r="F55" s="358"/>
      <c r="G55" s="358"/>
      <c r="H55" s="358"/>
      <c r="I55" s="358"/>
      <c r="J55" s="358"/>
      <c r="K55" s="358"/>
      <c r="L55" s="358"/>
      <c r="M55" s="358"/>
      <c r="N55" s="358"/>
      <c r="O55" s="358"/>
      <c r="P55" s="390"/>
      <c r="Q55" s="391"/>
      <c r="R55" s="390" t="s">
        <v>263</v>
      </c>
      <c r="S55" s="361"/>
      <c r="T55" s="348"/>
    </row>
    <row r="56" spans="1:21" s="349" customFormat="1" x14ac:dyDescent="0.3">
      <c r="A56" s="365"/>
      <c r="B56" s="358" t="s">
        <v>262</v>
      </c>
      <c r="C56" s="358"/>
      <c r="D56" s="358"/>
      <c r="E56" s="358"/>
      <c r="F56" s="358"/>
      <c r="G56" s="358"/>
      <c r="H56" s="358"/>
      <c r="I56" s="358"/>
      <c r="J56" s="358"/>
      <c r="K56" s="358"/>
      <c r="L56" s="358"/>
      <c r="M56" s="358"/>
      <c r="N56" s="358"/>
      <c r="O56" s="358"/>
      <c r="P56" s="390"/>
      <c r="Q56" s="391"/>
      <c r="R56" s="390" t="s">
        <v>118</v>
      </c>
      <c r="S56" s="361"/>
      <c r="T56" s="348"/>
      <c r="U56" s="392"/>
    </row>
    <row r="57" spans="1:21" s="349" customFormat="1" x14ac:dyDescent="0.3">
      <c r="A57" s="365"/>
      <c r="B57" s="358" t="s">
        <v>12</v>
      </c>
      <c r="C57" s="358"/>
      <c r="D57" s="358"/>
      <c r="E57" s="358"/>
      <c r="F57" s="358"/>
      <c r="G57" s="358"/>
      <c r="H57" s="358"/>
      <c r="I57" s="358"/>
      <c r="J57" s="358"/>
      <c r="K57" s="358"/>
      <c r="L57" s="358"/>
      <c r="M57" s="358"/>
      <c r="N57" s="358"/>
      <c r="O57" s="358"/>
      <c r="P57" s="390"/>
      <c r="Q57" s="391"/>
      <c r="R57" s="390">
        <v>43619</v>
      </c>
      <c r="S57" s="361"/>
      <c r="T57" s="348"/>
    </row>
    <row r="58" spans="1:21" s="349" customFormat="1" x14ac:dyDescent="0.3">
      <c r="A58" s="344"/>
      <c r="B58" s="393"/>
      <c r="C58" s="393"/>
      <c r="D58" s="393"/>
      <c r="E58" s="393"/>
      <c r="F58" s="393"/>
      <c r="G58" s="393"/>
      <c r="H58" s="393"/>
      <c r="I58" s="393"/>
      <c r="J58" s="393"/>
      <c r="K58" s="393"/>
      <c r="L58" s="393"/>
      <c r="M58" s="393"/>
      <c r="N58" s="393"/>
      <c r="O58" s="393"/>
      <c r="P58" s="394"/>
      <c r="Q58" s="395"/>
      <c r="R58" s="394"/>
      <c r="S58" s="347"/>
      <c r="T58" s="348"/>
    </row>
    <row r="59" spans="1:21" s="349" customFormat="1" x14ac:dyDescent="0.3">
      <c r="A59" s="344"/>
      <c r="B59" s="346"/>
      <c r="C59" s="346"/>
      <c r="D59" s="346"/>
      <c r="E59" s="346"/>
      <c r="F59" s="346"/>
      <c r="G59" s="346"/>
      <c r="H59" s="346"/>
      <c r="I59" s="346"/>
      <c r="J59" s="346"/>
      <c r="K59" s="346"/>
      <c r="L59" s="346"/>
      <c r="M59" s="346"/>
      <c r="N59" s="346"/>
      <c r="O59" s="346"/>
      <c r="P59" s="396"/>
      <c r="Q59" s="397"/>
      <c r="R59" s="396"/>
      <c r="S59" s="347"/>
      <c r="T59" s="348"/>
    </row>
    <row r="60" spans="1:21" s="349" customFormat="1" ht="18.600000000000001" thickBot="1" x14ac:dyDescent="0.4">
      <c r="A60" s="398"/>
      <c r="B60" s="399" t="s">
        <v>301</v>
      </c>
      <c r="C60" s="400"/>
      <c r="D60" s="400"/>
      <c r="E60" s="400"/>
      <c r="F60" s="400"/>
      <c r="G60" s="400"/>
      <c r="H60" s="400"/>
      <c r="I60" s="400"/>
      <c r="J60" s="400"/>
      <c r="K60" s="400"/>
      <c r="L60" s="400"/>
      <c r="M60" s="400"/>
      <c r="N60" s="400"/>
      <c r="O60" s="400"/>
      <c r="P60" s="400"/>
      <c r="Q60" s="400"/>
      <c r="R60" s="401"/>
      <c r="S60" s="402"/>
      <c r="T60" s="348"/>
    </row>
    <row r="61" spans="1:21" x14ac:dyDescent="0.3">
      <c r="A61" s="443"/>
      <c r="B61" s="450" t="s">
        <v>13</v>
      </c>
      <c r="C61" s="444"/>
      <c r="D61" s="444"/>
      <c r="E61" s="444"/>
      <c r="F61" s="444"/>
      <c r="G61" s="444"/>
      <c r="H61" s="444"/>
      <c r="I61" s="444"/>
      <c r="J61" s="444"/>
      <c r="K61" s="444"/>
      <c r="L61" s="444"/>
      <c r="M61" s="444"/>
      <c r="N61" s="444"/>
      <c r="O61" s="444"/>
      <c r="P61" s="444"/>
      <c r="Q61" s="444"/>
      <c r="R61" s="451"/>
      <c r="S61" s="444"/>
      <c r="T61" s="247"/>
    </row>
    <row r="62" spans="1:21" x14ac:dyDescent="0.3">
      <c r="A62" s="249"/>
      <c r="B62" s="258"/>
      <c r="C62" s="251"/>
      <c r="D62" s="251"/>
      <c r="E62" s="251"/>
      <c r="F62" s="251"/>
      <c r="G62" s="251"/>
      <c r="H62" s="251"/>
      <c r="I62" s="251"/>
      <c r="J62" s="251"/>
      <c r="K62" s="251"/>
      <c r="L62" s="251"/>
      <c r="M62" s="251"/>
      <c r="N62" s="251"/>
      <c r="O62" s="251"/>
      <c r="P62" s="251"/>
      <c r="Q62" s="251"/>
      <c r="R62" s="279"/>
      <c r="S62" s="252"/>
      <c r="T62" s="247"/>
    </row>
    <row r="63" spans="1:21" s="273" customFormat="1" ht="46.8" x14ac:dyDescent="0.3">
      <c r="A63" s="280"/>
      <c r="B63" s="281" t="s">
        <v>14</v>
      </c>
      <c r="C63" s="282"/>
      <c r="D63" s="282"/>
      <c r="E63" s="282"/>
      <c r="F63" s="282" t="s">
        <v>76</v>
      </c>
      <c r="G63" s="282"/>
      <c r="H63" s="282" t="s">
        <v>78</v>
      </c>
      <c r="I63" s="282"/>
      <c r="J63" s="282" t="s">
        <v>162</v>
      </c>
      <c r="K63" s="282"/>
      <c r="L63" s="282" t="s">
        <v>163</v>
      </c>
      <c r="M63" s="282"/>
      <c r="N63" s="282" t="s">
        <v>81</v>
      </c>
      <c r="O63" s="282"/>
      <c r="P63" s="282" t="s">
        <v>86</v>
      </c>
      <c r="Q63" s="282"/>
      <c r="R63" s="283" t="s">
        <v>92</v>
      </c>
      <c r="S63" s="284"/>
      <c r="T63" s="272"/>
    </row>
    <row r="64" spans="1:21" s="349" customFormat="1" x14ac:dyDescent="0.3">
      <c r="A64" s="365"/>
      <c r="B64" s="358" t="s">
        <v>15</v>
      </c>
      <c r="C64" s="403"/>
      <c r="D64" s="403"/>
      <c r="E64" s="403"/>
      <c r="F64" s="403">
        <v>244234</v>
      </c>
      <c r="G64" s="403"/>
      <c r="H64" s="404">
        <v>57441</v>
      </c>
      <c r="I64" s="403"/>
      <c r="J64" s="404">
        <v>66</v>
      </c>
      <c r="K64" s="403"/>
      <c r="L64" s="403">
        <v>53478</v>
      </c>
      <c r="M64" s="403"/>
      <c r="N64" s="403">
        <v>0</v>
      </c>
      <c r="O64" s="403"/>
      <c r="P64" s="403">
        <f>593+1215+2089</f>
        <v>3897</v>
      </c>
      <c r="Q64" s="403"/>
      <c r="R64" s="404">
        <f>H64-J64-L64+N64-P64</f>
        <v>0</v>
      </c>
      <c r="S64" s="361"/>
      <c r="T64" s="348"/>
    </row>
    <row r="65" spans="1:20" s="349" customFormat="1" x14ac:dyDescent="0.3">
      <c r="A65" s="365"/>
      <c r="B65" s="358" t="s">
        <v>16</v>
      </c>
      <c r="C65" s="403"/>
      <c r="D65" s="403"/>
      <c r="E65" s="403"/>
      <c r="F65" s="403">
        <v>0</v>
      </c>
      <c r="G65" s="403"/>
      <c r="H65" s="404">
        <v>0</v>
      </c>
      <c r="I65" s="403"/>
      <c r="J65" s="404">
        <v>0</v>
      </c>
      <c r="K65" s="403"/>
      <c r="L65" s="403">
        <v>0</v>
      </c>
      <c r="M65" s="403"/>
      <c r="N65" s="403">
        <v>0</v>
      </c>
      <c r="O65" s="403"/>
      <c r="P65" s="403">
        <v>0</v>
      </c>
      <c r="Q65" s="403"/>
      <c r="R65" s="404">
        <f>F65-J65-L65</f>
        <v>0</v>
      </c>
      <c r="S65" s="361"/>
      <c r="T65" s="348"/>
    </row>
    <row r="66" spans="1:20" s="349" customFormat="1" x14ac:dyDescent="0.3">
      <c r="A66" s="365"/>
      <c r="B66" s="358"/>
      <c r="C66" s="403"/>
      <c r="D66" s="403"/>
      <c r="E66" s="403"/>
      <c r="F66" s="403"/>
      <c r="G66" s="403"/>
      <c r="H66" s="404"/>
      <c r="I66" s="403"/>
      <c r="J66" s="404"/>
      <c r="K66" s="403"/>
      <c r="L66" s="403"/>
      <c r="M66" s="403"/>
      <c r="N66" s="403"/>
      <c r="O66" s="403"/>
      <c r="P66" s="403"/>
      <c r="Q66" s="403"/>
      <c r="R66" s="404"/>
      <c r="S66" s="361"/>
      <c r="T66" s="348"/>
    </row>
    <row r="67" spans="1:20" s="349" customFormat="1" x14ac:dyDescent="0.3">
      <c r="A67" s="365"/>
      <c r="B67" s="358" t="s">
        <v>17</v>
      </c>
      <c r="C67" s="403"/>
      <c r="D67" s="403"/>
      <c r="E67" s="403"/>
      <c r="F67" s="403">
        <f>SUM(F64:F66)</f>
        <v>244234</v>
      </c>
      <c r="G67" s="403"/>
      <c r="H67" s="403">
        <f>H64+H65</f>
        <v>57441</v>
      </c>
      <c r="I67" s="403"/>
      <c r="J67" s="403">
        <f>J64+J65</f>
        <v>66</v>
      </c>
      <c r="K67" s="403"/>
      <c r="L67" s="403">
        <f>SUM(L64:L66)</f>
        <v>53478</v>
      </c>
      <c r="M67" s="403"/>
      <c r="N67" s="403">
        <f>SUM(N64:N66)</f>
        <v>0</v>
      </c>
      <c r="O67" s="403"/>
      <c r="P67" s="403">
        <f>SUM(P64:P66)</f>
        <v>3897</v>
      </c>
      <c r="Q67" s="403"/>
      <c r="R67" s="403">
        <f>SUM(R64:R66)</f>
        <v>0</v>
      </c>
      <c r="S67" s="361"/>
      <c r="T67" s="348"/>
    </row>
    <row r="68" spans="1:20" x14ac:dyDescent="0.3">
      <c r="A68" s="249"/>
      <c r="B68" s="277"/>
      <c r="C68" s="287"/>
      <c r="D68" s="287"/>
      <c r="E68" s="287"/>
      <c r="F68" s="287"/>
      <c r="G68" s="287"/>
      <c r="H68" s="287"/>
      <c r="I68" s="287"/>
      <c r="J68" s="287"/>
      <c r="K68" s="287"/>
      <c r="L68" s="287"/>
      <c r="M68" s="287"/>
      <c r="N68" s="287"/>
      <c r="O68" s="287"/>
      <c r="P68" s="287"/>
      <c r="Q68" s="287"/>
      <c r="R68" s="288"/>
      <c r="S68" s="252"/>
      <c r="T68" s="247"/>
    </row>
    <row r="69" spans="1:20" x14ac:dyDescent="0.3">
      <c r="A69" s="249"/>
      <c r="B69" s="254" t="s">
        <v>18</v>
      </c>
      <c r="C69" s="289"/>
      <c r="D69" s="289"/>
      <c r="E69" s="289"/>
      <c r="F69" s="289"/>
      <c r="G69" s="289"/>
      <c r="H69" s="289"/>
      <c r="I69" s="289"/>
      <c r="J69" s="289"/>
      <c r="K69" s="289"/>
      <c r="L69" s="289"/>
      <c r="M69" s="289"/>
      <c r="N69" s="289"/>
      <c r="O69" s="289"/>
      <c r="P69" s="289"/>
      <c r="Q69" s="289"/>
      <c r="R69" s="290"/>
      <c r="S69" s="252"/>
      <c r="T69" s="247"/>
    </row>
    <row r="70" spans="1:20" x14ac:dyDescent="0.3">
      <c r="A70" s="249"/>
      <c r="B70" s="251"/>
      <c r="C70" s="289"/>
      <c r="D70" s="289"/>
      <c r="E70" s="289"/>
      <c r="F70" s="289"/>
      <c r="G70" s="289"/>
      <c r="H70" s="289"/>
      <c r="I70" s="289"/>
      <c r="J70" s="289"/>
      <c r="K70" s="289"/>
      <c r="L70" s="289"/>
      <c r="M70" s="289"/>
      <c r="N70" s="289"/>
      <c r="O70" s="289"/>
      <c r="P70" s="289"/>
      <c r="Q70" s="289"/>
      <c r="R70" s="290"/>
      <c r="S70" s="252"/>
      <c r="T70" s="247"/>
    </row>
    <row r="71" spans="1:20" s="349" customFormat="1" x14ac:dyDescent="0.3">
      <c r="A71" s="365"/>
      <c r="B71" s="358" t="s">
        <v>15</v>
      </c>
      <c r="C71" s="403"/>
      <c r="D71" s="403"/>
      <c r="E71" s="403"/>
      <c r="F71" s="403"/>
      <c r="G71" s="403"/>
      <c r="H71" s="403"/>
      <c r="I71" s="403"/>
      <c r="J71" s="403"/>
      <c r="K71" s="403"/>
      <c r="L71" s="403"/>
      <c r="M71" s="403"/>
      <c r="N71" s="403"/>
      <c r="O71" s="403"/>
      <c r="P71" s="403"/>
      <c r="Q71" s="403"/>
      <c r="R71" s="403"/>
      <c r="S71" s="361"/>
      <c r="T71" s="348"/>
    </row>
    <row r="72" spans="1:20" s="349" customFormat="1" x14ac:dyDescent="0.3">
      <c r="A72" s="365"/>
      <c r="B72" s="358" t="s">
        <v>16</v>
      </c>
      <c r="C72" s="403"/>
      <c r="D72" s="403"/>
      <c r="E72" s="403"/>
      <c r="F72" s="403"/>
      <c r="G72" s="403"/>
      <c r="H72" s="403"/>
      <c r="I72" s="403"/>
      <c r="J72" s="403"/>
      <c r="K72" s="403"/>
      <c r="L72" s="403"/>
      <c r="M72" s="403"/>
      <c r="N72" s="403"/>
      <c r="O72" s="403"/>
      <c r="P72" s="403"/>
      <c r="Q72" s="403"/>
      <c r="R72" s="403"/>
      <c r="S72" s="361"/>
      <c r="T72" s="348"/>
    </row>
    <row r="73" spans="1:20" s="349" customFormat="1" x14ac:dyDescent="0.3">
      <c r="A73" s="365"/>
      <c r="B73" s="358"/>
      <c r="C73" s="403"/>
      <c r="D73" s="403"/>
      <c r="E73" s="403"/>
      <c r="F73" s="403"/>
      <c r="G73" s="403"/>
      <c r="H73" s="403"/>
      <c r="I73" s="403"/>
      <c r="J73" s="403"/>
      <c r="K73" s="403"/>
      <c r="L73" s="403"/>
      <c r="M73" s="403"/>
      <c r="N73" s="403"/>
      <c r="O73" s="403"/>
      <c r="P73" s="403"/>
      <c r="Q73" s="403"/>
      <c r="R73" s="403"/>
      <c r="S73" s="361"/>
      <c r="T73" s="348"/>
    </row>
    <row r="74" spans="1:20" s="349" customFormat="1" x14ac:dyDescent="0.3">
      <c r="A74" s="365"/>
      <c r="B74" s="358" t="s">
        <v>17</v>
      </c>
      <c r="C74" s="403"/>
      <c r="D74" s="403"/>
      <c r="E74" s="403"/>
      <c r="F74" s="403"/>
      <c r="G74" s="403"/>
      <c r="H74" s="403"/>
      <c r="I74" s="403"/>
      <c r="J74" s="403"/>
      <c r="K74" s="403"/>
      <c r="L74" s="403"/>
      <c r="M74" s="403"/>
      <c r="N74" s="403"/>
      <c r="O74" s="403"/>
      <c r="P74" s="403"/>
      <c r="Q74" s="403"/>
      <c r="R74" s="403"/>
      <c r="S74" s="361"/>
      <c r="T74" s="348"/>
    </row>
    <row r="75" spans="1:20" s="349" customFormat="1" x14ac:dyDescent="0.3">
      <c r="A75" s="365"/>
      <c r="B75" s="358"/>
      <c r="C75" s="403"/>
      <c r="D75" s="403"/>
      <c r="E75" s="403"/>
      <c r="F75" s="403"/>
      <c r="G75" s="403"/>
      <c r="H75" s="403"/>
      <c r="I75" s="403"/>
      <c r="J75" s="403"/>
      <c r="K75" s="403"/>
      <c r="L75" s="403"/>
      <c r="M75" s="403"/>
      <c r="N75" s="403"/>
      <c r="O75" s="403"/>
      <c r="P75" s="403"/>
      <c r="Q75" s="403"/>
      <c r="R75" s="403"/>
      <c r="S75" s="361"/>
      <c r="T75" s="348"/>
    </row>
    <row r="76" spans="1:20" s="349" customFormat="1" x14ac:dyDescent="0.3">
      <c r="A76" s="365"/>
      <c r="B76" s="358" t="s">
        <v>19</v>
      </c>
      <c r="C76" s="403"/>
      <c r="D76" s="403"/>
      <c r="E76" s="403"/>
      <c r="F76" s="403">
        <v>0</v>
      </c>
      <c r="G76" s="403"/>
      <c r="H76" s="403">
        <v>0</v>
      </c>
      <c r="I76" s="403"/>
      <c r="J76" s="403"/>
      <c r="K76" s="403"/>
      <c r="L76" s="403"/>
      <c r="M76" s="403"/>
      <c r="N76" s="403"/>
      <c r="O76" s="403"/>
      <c r="P76" s="403"/>
      <c r="Q76" s="403"/>
      <c r="R76" s="404">
        <v>0</v>
      </c>
      <c r="S76" s="361"/>
      <c r="T76" s="348"/>
    </row>
    <row r="77" spans="1:20" s="349" customFormat="1" x14ac:dyDescent="0.3">
      <c r="A77" s="365"/>
      <c r="B77" s="358" t="s">
        <v>196</v>
      </c>
      <c r="C77" s="403"/>
      <c r="D77" s="403"/>
      <c r="E77" s="403"/>
      <c r="F77" s="403">
        <v>53165</v>
      </c>
      <c r="G77" s="403"/>
      <c r="H77" s="403">
        <v>0</v>
      </c>
      <c r="I77" s="403"/>
      <c r="J77" s="403">
        <v>0</v>
      </c>
      <c r="K77" s="403"/>
      <c r="L77" s="403">
        <v>0</v>
      </c>
      <c r="M77" s="403"/>
      <c r="N77" s="403"/>
      <c r="O77" s="403"/>
      <c r="P77" s="403"/>
      <c r="Q77" s="403"/>
      <c r="R77" s="403">
        <v>0</v>
      </c>
      <c r="S77" s="361"/>
      <c r="T77" s="348"/>
    </row>
    <row r="78" spans="1:20" s="349" customFormat="1" x14ac:dyDescent="0.3">
      <c r="A78" s="365"/>
      <c r="B78" s="358" t="s">
        <v>206</v>
      </c>
      <c r="C78" s="403"/>
      <c r="D78" s="403"/>
      <c r="E78" s="403"/>
      <c r="F78" s="403">
        <v>2610</v>
      </c>
      <c r="G78" s="403"/>
      <c r="H78" s="403">
        <v>0</v>
      </c>
      <c r="I78" s="403"/>
      <c r="J78" s="403"/>
      <c r="K78" s="403"/>
      <c r="L78" s="403"/>
      <c r="M78" s="403"/>
      <c r="N78" s="403">
        <v>0</v>
      </c>
      <c r="O78" s="403"/>
      <c r="P78" s="403"/>
      <c r="Q78" s="403"/>
      <c r="R78" s="403">
        <f>H78+N78</f>
        <v>0</v>
      </c>
      <c r="S78" s="361"/>
      <c r="T78" s="348"/>
    </row>
    <row r="79" spans="1:20" s="349" customFormat="1" x14ac:dyDescent="0.3">
      <c r="A79" s="365"/>
      <c r="B79" s="358" t="s">
        <v>20</v>
      </c>
      <c r="C79" s="403"/>
      <c r="D79" s="403"/>
      <c r="E79" s="403"/>
      <c r="F79" s="403">
        <v>0</v>
      </c>
      <c r="G79" s="403"/>
      <c r="H79" s="403">
        <v>0</v>
      </c>
      <c r="I79" s="403"/>
      <c r="J79" s="403"/>
      <c r="K79" s="403"/>
      <c r="L79" s="403"/>
      <c r="M79" s="403"/>
      <c r="N79" s="403"/>
      <c r="O79" s="403"/>
      <c r="P79" s="403"/>
      <c r="Q79" s="403"/>
      <c r="R79" s="403">
        <v>0</v>
      </c>
      <c r="S79" s="361"/>
      <c r="T79" s="348"/>
    </row>
    <row r="80" spans="1:20" s="349" customFormat="1" x14ac:dyDescent="0.3">
      <c r="A80" s="365"/>
      <c r="B80" s="358" t="s">
        <v>21</v>
      </c>
      <c r="C80" s="403"/>
      <c r="D80" s="403"/>
      <c r="E80" s="403"/>
      <c r="F80" s="403">
        <f>SUM(F67:F79)</f>
        <v>300009</v>
      </c>
      <c r="G80" s="403"/>
      <c r="H80" s="403">
        <f>SUM(H67:H79)</f>
        <v>57441</v>
      </c>
      <c r="I80" s="403"/>
      <c r="J80" s="403"/>
      <c r="K80" s="403"/>
      <c r="L80" s="403"/>
      <c r="M80" s="403"/>
      <c r="N80" s="403"/>
      <c r="O80" s="403"/>
      <c r="P80" s="403"/>
      <c r="Q80" s="403"/>
      <c r="R80" s="403">
        <f>SUM(R67:R79)</f>
        <v>0</v>
      </c>
      <c r="S80" s="361"/>
      <c r="T80" s="348"/>
    </row>
    <row r="81" spans="1:20" x14ac:dyDescent="0.3">
      <c r="A81" s="249"/>
      <c r="B81" s="277"/>
      <c r="C81" s="287"/>
      <c r="D81" s="287"/>
      <c r="E81" s="287"/>
      <c r="F81" s="287"/>
      <c r="G81" s="287"/>
      <c r="H81" s="287"/>
      <c r="I81" s="287"/>
      <c r="J81" s="287"/>
      <c r="K81" s="287"/>
      <c r="L81" s="287"/>
      <c r="M81" s="287"/>
      <c r="N81" s="287"/>
      <c r="O81" s="287"/>
      <c r="P81" s="287"/>
      <c r="Q81" s="287"/>
      <c r="R81" s="288"/>
      <c r="S81" s="252"/>
      <c r="T81" s="247"/>
    </row>
    <row r="82" spans="1:20" x14ac:dyDescent="0.3">
      <c r="A82" s="249"/>
      <c r="B82" s="251"/>
      <c r="C82" s="251"/>
      <c r="D82" s="251"/>
      <c r="E82" s="251"/>
      <c r="F82" s="251"/>
      <c r="G82" s="251"/>
      <c r="H82" s="251"/>
      <c r="I82" s="251"/>
      <c r="J82" s="251"/>
      <c r="K82" s="251"/>
      <c r="L82" s="251"/>
      <c r="M82" s="251"/>
      <c r="N82" s="251"/>
      <c r="O82" s="251"/>
      <c r="P82" s="251"/>
      <c r="Q82" s="251"/>
      <c r="R82" s="251"/>
      <c r="S82" s="252"/>
      <c r="T82" s="247"/>
    </row>
    <row r="83" spans="1:20" x14ac:dyDescent="0.3">
      <c r="A83" s="443"/>
      <c r="B83" s="452" t="s">
        <v>22</v>
      </c>
      <c r="C83" s="452"/>
      <c r="D83" s="453"/>
      <c r="E83" s="453"/>
      <c r="F83" s="453"/>
      <c r="G83" s="453"/>
      <c r="H83" s="454" t="s">
        <v>77</v>
      </c>
      <c r="I83" s="453"/>
      <c r="J83" s="455">
        <f>+P208</f>
        <v>43616</v>
      </c>
      <c r="K83" s="453"/>
      <c r="L83" s="453"/>
      <c r="M83" s="453"/>
      <c r="N83" s="453"/>
      <c r="O83" s="453"/>
      <c r="P83" s="453" t="s">
        <v>87</v>
      </c>
      <c r="Q83" s="453"/>
      <c r="R83" s="453" t="s">
        <v>93</v>
      </c>
      <c r="S83" s="445"/>
      <c r="T83" s="247"/>
    </row>
    <row r="84" spans="1:20" s="349" customFormat="1" x14ac:dyDescent="0.3">
      <c r="A84" s="344"/>
      <c r="B84" s="393" t="s">
        <v>23</v>
      </c>
      <c r="C84" s="393"/>
      <c r="D84" s="393"/>
      <c r="E84" s="393"/>
      <c r="F84" s="393"/>
      <c r="G84" s="393"/>
      <c r="H84" s="393"/>
      <c r="I84" s="393"/>
      <c r="J84" s="393"/>
      <c r="K84" s="393"/>
      <c r="L84" s="393"/>
      <c r="M84" s="393"/>
      <c r="N84" s="393"/>
      <c r="O84" s="393"/>
      <c r="P84" s="408">
        <v>0</v>
      </c>
      <c r="Q84" s="393"/>
      <c r="R84" s="411">
        <v>0</v>
      </c>
      <c r="S84" s="347"/>
      <c r="T84" s="348"/>
    </row>
    <row r="85" spans="1:20" s="349" customFormat="1" x14ac:dyDescent="0.3">
      <c r="A85" s="365"/>
      <c r="B85" s="358" t="s">
        <v>218</v>
      </c>
      <c r="C85" s="358"/>
      <c r="D85" s="383"/>
      <c r="E85" s="383"/>
      <c r="F85" s="383"/>
      <c r="G85" s="405"/>
      <c r="H85" s="383"/>
      <c r="I85" s="358"/>
      <c r="J85" s="406"/>
      <c r="K85" s="358"/>
      <c r="L85" s="358"/>
      <c r="M85" s="358"/>
      <c r="N85" s="358"/>
      <c r="O85" s="358"/>
      <c r="P85" s="403">
        <f>-N78</f>
        <v>0</v>
      </c>
      <c r="Q85" s="358"/>
      <c r="R85" s="404"/>
      <c r="S85" s="361"/>
      <c r="T85" s="348"/>
    </row>
    <row r="86" spans="1:20" s="349" customFormat="1" x14ac:dyDescent="0.3">
      <c r="A86" s="365"/>
      <c r="B86" s="358" t="s">
        <v>219</v>
      </c>
      <c r="C86" s="358"/>
      <c r="D86" s="383"/>
      <c r="E86" s="383"/>
      <c r="F86" s="383"/>
      <c r="G86" s="405"/>
      <c r="H86" s="383"/>
      <c r="I86" s="358"/>
      <c r="J86" s="406"/>
      <c r="K86" s="358"/>
      <c r="L86" s="358"/>
      <c r="M86" s="358"/>
      <c r="N86" s="358"/>
      <c r="O86" s="358"/>
      <c r="P86" s="403">
        <v>0</v>
      </c>
      <c r="Q86" s="358"/>
      <c r="R86" s="404"/>
      <c r="S86" s="361"/>
      <c r="T86" s="348"/>
    </row>
    <row r="87" spans="1:20" s="349" customFormat="1" x14ac:dyDescent="0.3">
      <c r="A87" s="365"/>
      <c r="B87" s="358" t="s">
        <v>24</v>
      </c>
      <c r="C87" s="358"/>
      <c r="D87" s="383"/>
      <c r="E87" s="383"/>
      <c r="F87" s="383"/>
      <c r="G87" s="405"/>
      <c r="H87" s="383"/>
      <c r="I87" s="358"/>
      <c r="J87" s="406"/>
      <c r="K87" s="358"/>
      <c r="L87" s="358"/>
      <c r="M87" s="358"/>
      <c r="N87" s="358"/>
      <c r="O87" s="358"/>
      <c r="P87" s="403">
        <f>+J64+L64+P64</f>
        <v>57441</v>
      </c>
      <c r="Q87" s="358"/>
      <c r="R87" s="404"/>
      <c r="S87" s="361"/>
      <c r="T87" s="348"/>
    </row>
    <row r="88" spans="1:20" s="349" customFormat="1" x14ac:dyDescent="0.3">
      <c r="A88" s="365"/>
      <c r="B88" s="358" t="s">
        <v>135</v>
      </c>
      <c r="C88" s="358"/>
      <c r="D88" s="383"/>
      <c r="E88" s="383"/>
      <c r="F88" s="383"/>
      <c r="G88" s="405"/>
      <c r="H88" s="383"/>
      <c r="I88" s="358"/>
      <c r="J88" s="406"/>
      <c r="K88" s="358"/>
      <c r="L88" s="358"/>
      <c r="M88" s="358"/>
      <c r="N88" s="358"/>
      <c r="O88" s="358"/>
      <c r="P88" s="403"/>
      <c r="Q88" s="358"/>
      <c r="R88" s="404">
        <f>808-158</f>
        <v>650</v>
      </c>
      <c r="S88" s="361"/>
      <c r="T88" s="348"/>
    </row>
    <row r="89" spans="1:20" s="349" customFormat="1" x14ac:dyDescent="0.3">
      <c r="A89" s="365"/>
      <c r="B89" s="358" t="s">
        <v>133</v>
      </c>
      <c r="C89" s="358"/>
      <c r="D89" s="383"/>
      <c r="E89" s="383"/>
      <c r="F89" s="383"/>
      <c r="G89" s="405"/>
      <c r="H89" s="383"/>
      <c r="I89" s="358"/>
      <c r="J89" s="406"/>
      <c r="K89" s="358"/>
      <c r="L89" s="358"/>
      <c r="M89" s="358"/>
      <c r="N89" s="358"/>
      <c r="O89" s="358"/>
      <c r="P89" s="403"/>
      <c r="Q89" s="358"/>
      <c r="R89" s="404">
        <v>21</v>
      </c>
      <c r="S89" s="361"/>
      <c r="T89" s="348"/>
    </row>
    <row r="90" spans="1:20" s="349" customFormat="1" x14ac:dyDescent="0.3">
      <c r="A90" s="365"/>
      <c r="B90" s="358" t="s">
        <v>134</v>
      </c>
      <c r="C90" s="358"/>
      <c r="D90" s="383"/>
      <c r="E90" s="383"/>
      <c r="F90" s="383"/>
      <c r="G90" s="405"/>
      <c r="H90" s="383"/>
      <c r="I90" s="358"/>
      <c r="J90" s="406"/>
      <c r="K90" s="358"/>
      <c r="L90" s="358"/>
      <c r="M90" s="358"/>
      <c r="N90" s="358"/>
      <c r="O90" s="358"/>
      <c r="P90" s="403"/>
      <c r="Q90" s="358"/>
      <c r="R90" s="404">
        <v>26</v>
      </c>
      <c r="S90" s="361"/>
      <c r="T90" s="348"/>
    </row>
    <row r="91" spans="1:20" s="349" customFormat="1" x14ac:dyDescent="0.3">
      <c r="A91" s="365"/>
      <c r="B91" s="358" t="s">
        <v>143</v>
      </c>
      <c r="C91" s="358"/>
      <c r="D91" s="383"/>
      <c r="E91" s="383"/>
      <c r="F91" s="383"/>
      <c r="G91" s="405"/>
      <c r="H91" s="383"/>
      <c r="I91" s="358"/>
      <c r="J91" s="406"/>
      <c r="K91" s="358"/>
      <c r="L91" s="358"/>
      <c r="M91" s="358"/>
      <c r="N91" s="358"/>
      <c r="O91" s="358"/>
      <c r="P91" s="403"/>
      <c r="Q91" s="358"/>
      <c r="R91" s="404">
        <v>0</v>
      </c>
      <c r="S91" s="361"/>
      <c r="T91" s="348"/>
    </row>
    <row r="92" spans="1:20" s="349" customFormat="1" x14ac:dyDescent="0.3">
      <c r="A92" s="365"/>
      <c r="B92" s="358" t="s">
        <v>145</v>
      </c>
      <c r="C92" s="358"/>
      <c r="D92" s="383"/>
      <c r="E92" s="383"/>
      <c r="F92" s="383"/>
      <c r="G92" s="405"/>
      <c r="H92" s="383"/>
      <c r="I92" s="358"/>
      <c r="J92" s="406"/>
      <c r="K92" s="358"/>
      <c r="L92" s="358"/>
      <c r="M92" s="358"/>
      <c r="N92" s="358"/>
      <c r="O92" s="358"/>
      <c r="P92" s="403"/>
      <c r="Q92" s="358"/>
      <c r="R92" s="404">
        <v>646</v>
      </c>
      <c r="S92" s="361"/>
      <c r="T92" s="348"/>
    </row>
    <row r="93" spans="1:20" s="349" customFormat="1" x14ac:dyDescent="0.3">
      <c r="A93" s="365"/>
      <c r="B93" s="358" t="s">
        <v>164</v>
      </c>
      <c r="C93" s="358"/>
      <c r="D93" s="383"/>
      <c r="E93" s="383"/>
      <c r="F93" s="383"/>
      <c r="G93" s="405"/>
      <c r="H93" s="383"/>
      <c r="I93" s="358"/>
      <c r="J93" s="406"/>
      <c r="K93" s="358"/>
      <c r="L93" s="358"/>
      <c r="M93" s="358"/>
      <c r="N93" s="358"/>
      <c r="O93" s="358"/>
      <c r="P93" s="403"/>
      <c r="Q93" s="358"/>
      <c r="R93" s="404">
        <v>0</v>
      </c>
      <c r="S93" s="361"/>
      <c r="T93" s="348"/>
    </row>
    <row r="94" spans="1:20" s="349" customFormat="1" x14ac:dyDescent="0.3">
      <c r="A94" s="365"/>
      <c r="B94" s="358" t="s">
        <v>165</v>
      </c>
      <c r="C94" s="358"/>
      <c r="D94" s="383"/>
      <c r="E94" s="383"/>
      <c r="F94" s="383"/>
      <c r="G94" s="405"/>
      <c r="H94" s="383"/>
      <c r="I94" s="358"/>
      <c r="J94" s="406"/>
      <c r="K94" s="358"/>
      <c r="L94" s="358"/>
      <c r="M94" s="358"/>
      <c r="N94" s="358"/>
      <c r="O94" s="358"/>
      <c r="P94" s="403"/>
      <c r="Q94" s="358"/>
      <c r="R94" s="404">
        <v>0</v>
      </c>
      <c r="S94" s="361"/>
      <c r="T94" s="348"/>
    </row>
    <row r="95" spans="1:20" s="349" customFormat="1" x14ac:dyDescent="0.3">
      <c r="A95" s="365"/>
      <c r="B95" s="358" t="s">
        <v>166</v>
      </c>
      <c r="C95" s="358"/>
      <c r="D95" s="358"/>
      <c r="E95" s="358"/>
      <c r="F95" s="358"/>
      <c r="G95" s="358"/>
      <c r="H95" s="358"/>
      <c r="I95" s="358"/>
      <c r="J95" s="358"/>
      <c r="K95" s="358"/>
      <c r="L95" s="358"/>
      <c r="M95" s="358"/>
      <c r="N95" s="358"/>
      <c r="O95" s="358"/>
      <c r="P95" s="403"/>
      <c r="Q95" s="358"/>
      <c r="R95" s="404">
        <v>0</v>
      </c>
      <c r="S95" s="361"/>
      <c r="T95" s="348"/>
    </row>
    <row r="96" spans="1:20" s="349" customFormat="1" x14ac:dyDescent="0.3">
      <c r="A96" s="365"/>
      <c r="B96" s="358" t="s">
        <v>264</v>
      </c>
      <c r="C96" s="358"/>
      <c r="D96" s="358"/>
      <c r="E96" s="358"/>
      <c r="F96" s="358"/>
      <c r="G96" s="358"/>
      <c r="H96" s="358"/>
      <c r="I96" s="358"/>
      <c r="J96" s="358"/>
      <c r="K96" s="358"/>
      <c r="L96" s="358"/>
      <c r="M96" s="358"/>
      <c r="N96" s="358"/>
      <c r="O96" s="358"/>
      <c r="P96" s="403"/>
      <c r="Q96" s="358"/>
      <c r="R96" s="404">
        <v>0</v>
      </c>
      <c r="S96" s="361"/>
      <c r="T96" s="348"/>
    </row>
    <row r="97" spans="1:21" s="349" customFormat="1" x14ac:dyDescent="0.3">
      <c r="A97" s="365"/>
      <c r="B97" s="358" t="s">
        <v>302</v>
      </c>
      <c r="C97" s="358"/>
      <c r="D97" s="358"/>
      <c r="E97" s="358"/>
      <c r="F97" s="358"/>
      <c r="G97" s="358"/>
      <c r="H97" s="358"/>
      <c r="I97" s="358"/>
      <c r="J97" s="358"/>
      <c r="K97" s="358"/>
      <c r="L97" s="358"/>
      <c r="M97" s="358"/>
      <c r="N97" s="358"/>
      <c r="O97" s="358"/>
      <c r="P97" s="403"/>
      <c r="Q97" s="358"/>
      <c r="R97" s="404">
        <f>-R141</f>
        <v>7502</v>
      </c>
      <c r="S97" s="361"/>
      <c r="T97" s="348"/>
    </row>
    <row r="98" spans="1:21" s="349" customFormat="1" x14ac:dyDescent="0.3">
      <c r="A98" s="365"/>
      <c r="B98" s="358" t="s">
        <v>25</v>
      </c>
      <c r="C98" s="358"/>
      <c r="D98" s="358"/>
      <c r="E98" s="358"/>
      <c r="F98" s="358"/>
      <c r="G98" s="358"/>
      <c r="H98" s="358"/>
      <c r="I98" s="358"/>
      <c r="J98" s="358"/>
      <c r="K98" s="358"/>
      <c r="L98" s="358"/>
      <c r="M98" s="358"/>
      <c r="N98" s="358"/>
      <c r="O98" s="358"/>
      <c r="P98" s="403">
        <f>SUM(P84:P96)</f>
        <v>57441</v>
      </c>
      <c r="Q98" s="358"/>
      <c r="R98" s="403">
        <f>SUM(R84:R97)</f>
        <v>8845</v>
      </c>
      <c r="S98" s="361"/>
      <c r="T98" s="348"/>
    </row>
    <row r="99" spans="1:21" s="349" customFormat="1" x14ac:dyDescent="0.3">
      <c r="A99" s="365"/>
      <c r="B99" s="358" t="s">
        <v>26</v>
      </c>
      <c r="C99" s="358"/>
      <c r="D99" s="358"/>
      <c r="E99" s="358"/>
      <c r="F99" s="358"/>
      <c r="G99" s="358"/>
      <c r="H99" s="358"/>
      <c r="I99" s="358"/>
      <c r="J99" s="358"/>
      <c r="K99" s="358"/>
      <c r="L99" s="358"/>
      <c r="M99" s="358"/>
      <c r="N99" s="358"/>
      <c r="O99" s="358"/>
      <c r="P99" s="403">
        <f>-R99</f>
        <v>0</v>
      </c>
      <c r="Q99" s="358"/>
      <c r="R99" s="404">
        <v>0</v>
      </c>
      <c r="S99" s="361"/>
      <c r="T99" s="348"/>
    </row>
    <row r="100" spans="1:21" s="349" customFormat="1" x14ac:dyDescent="0.3">
      <c r="A100" s="365"/>
      <c r="B100" s="358" t="s">
        <v>150</v>
      </c>
      <c r="C100" s="358"/>
      <c r="D100" s="358"/>
      <c r="E100" s="358"/>
      <c r="F100" s="358"/>
      <c r="G100" s="358"/>
      <c r="H100" s="358"/>
      <c r="I100" s="358"/>
      <c r="J100" s="358"/>
      <c r="K100" s="358"/>
      <c r="L100" s="358"/>
      <c r="M100" s="358"/>
      <c r="N100" s="358"/>
      <c r="O100" s="358"/>
      <c r="P100" s="403"/>
      <c r="Q100" s="358"/>
      <c r="R100" s="404">
        <v>0</v>
      </c>
      <c r="S100" s="361"/>
      <c r="T100" s="348"/>
    </row>
    <row r="101" spans="1:21" s="349" customFormat="1" x14ac:dyDescent="0.3">
      <c r="A101" s="365"/>
      <c r="B101" s="358" t="s">
        <v>27</v>
      </c>
      <c r="C101" s="358"/>
      <c r="D101" s="358"/>
      <c r="E101" s="358"/>
      <c r="F101" s="358"/>
      <c r="G101" s="358"/>
      <c r="H101" s="358"/>
      <c r="I101" s="358"/>
      <c r="J101" s="358"/>
      <c r="K101" s="358"/>
      <c r="L101" s="358"/>
      <c r="M101" s="358"/>
      <c r="N101" s="358"/>
      <c r="O101" s="358"/>
      <c r="P101" s="403">
        <f>P98+P99</f>
        <v>57441</v>
      </c>
      <c r="Q101" s="358"/>
      <c r="R101" s="403">
        <f>R98+R99+R100</f>
        <v>8845</v>
      </c>
      <c r="S101" s="361"/>
      <c r="T101" s="348"/>
    </row>
    <row r="102" spans="1:21" x14ac:dyDescent="0.3">
      <c r="A102" s="276"/>
      <c r="B102" s="293" t="s">
        <v>28</v>
      </c>
      <c r="C102" s="291"/>
      <c r="D102" s="291"/>
      <c r="E102" s="291"/>
      <c r="F102" s="291"/>
      <c r="G102" s="291"/>
      <c r="H102" s="291"/>
      <c r="I102" s="291"/>
      <c r="J102" s="291"/>
      <c r="K102" s="291"/>
      <c r="L102" s="291"/>
      <c r="M102" s="291"/>
      <c r="N102" s="291"/>
      <c r="O102" s="291"/>
      <c r="P102" s="285"/>
      <c r="Q102" s="263"/>
      <c r="R102" s="286"/>
      <c r="S102" s="292"/>
      <c r="T102" s="247"/>
    </row>
    <row r="103" spans="1:21" s="349" customFormat="1" x14ac:dyDescent="0.3">
      <c r="A103" s="365">
        <v>1</v>
      </c>
      <c r="B103" s="358" t="s">
        <v>175</v>
      </c>
      <c r="C103" s="358"/>
      <c r="D103" s="358"/>
      <c r="E103" s="358"/>
      <c r="F103" s="358"/>
      <c r="G103" s="358"/>
      <c r="H103" s="358"/>
      <c r="I103" s="358"/>
      <c r="J103" s="358"/>
      <c r="K103" s="358"/>
      <c r="L103" s="358"/>
      <c r="M103" s="358"/>
      <c r="N103" s="358"/>
      <c r="O103" s="358"/>
      <c r="P103" s="403"/>
      <c r="Q103" s="358"/>
      <c r="R103" s="404">
        <v>0</v>
      </c>
      <c r="S103" s="361"/>
      <c r="T103" s="348"/>
    </row>
    <row r="104" spans="1:21" s="349" customFormat="1" x14ac:dyDescent="0.3">
      <c r="A104" s="365">
        <v>2</v>
      </c>
      <c r="B104" s="358" t="s">
        <v>195</v>
      </c>
      <c r="C104" s="358"/>
      <c r="D104" s="358"/>
      <c r="E104" s="358"/>
      <c r="F104" s="358"/>
      <c r="G104" s="358"/>
      <c r="H104" s="358"/>
      <c r="I104" s="358"/>
      <c r="J104" s="358"/>
      <c r="K104" s="358"/>
      <c r="L104" s="358"/>
      <c r="M104" s="358"/>
      <c r="N104" s="358"/>
      <c r="O104" s="358"/>
      <c r="P104" s="358"/>
      <c r="Q104" s="358"/>
      <c r="R104" s="404">
        <v>-3</v>
      </c>
      <c r="S104" s="361"/>
      <c r="T104" s="348"/>
    </row>
    <row r="105" spans="1:21" s="349" customFormat="1" x14ac:dyDescent="0.3">
      <c r="A105" s="365">
        <v>3</v>
      </c>
      <c r="B105" s="358" t="s">
        <v>287</v>
      </c>
      <c r="C105" s="358"/>
      <c r="D105" s="358"/>
      <c r="E105" s="358"/>
      <c r="F105" s="358"/>
      <c r="G105" s="358"/>
      <c r="H105" s="358"/>
      <c r="I105" s="358"/>
      <c r="J105" s="358"/>
      <c r="K105" s="358"/>
      <c r="L105" s="358"/>
      <c r="M105" s="358"/>
      <c r="N105" s="358"/>
      <c r="O105" s="358"/>
      <c r="P105" s="358"/>
      <c r="Q105" s="358"/>
      <c r="R105" s="404">
        <f>-22-4-3</f>
        <v>-29</v>
      </c>
      <c r="S105" s="361"/>
      <c r="T105" s="348"/>
    </row>
    <row r="106" spans="1:21" s="349" customFormat="1" x14ac:dyDescent="0.3">
      <c r="A106" s="365">
        <v>4</v>
      </c>
      <c r="B106" s="358" t="s">
        <v>96</v>
      </c>
      <c r="C106" s="358"/>
      <c r="D106" s="358"/>
      <c r="E106" s="358"/>
      <c r="F106" s="358"/>
      <c r="G106" s="358"/>
      <c r="H106" s="358"/>
      <c r="I106" s="358"/>
      <c r="J106" s="358"/>
      <c r="K106" s="358"/>
      <c r="L106" s="358"/>
      <c r="M106" s="358"/>
      <c r="N106" s="358"/>
      <c r="O106" s="358"/>
      <c r="P106" s="358"/>
      <c r="Q106" s="358"/>
      <c r="R106" s="404">
        <v>-7</v>
      </c>
      <c r="S106" s="361"/>
      <c r="T106" s="348"/>
    </row>
    <row r="107" spans="1:21" s="349" customFormat="1" x14ac:dyDescent="0.3">
      <c r="A107" s="365" t="s">
        <v>274</v>
      </c>
      <c r="B107" s="358" t="s">
        <v>272</v>
      </c>
      <c r="C107" s="358"/>
      <c r="D107" s="358"/>
      <c r="E107" s="358"/>
      <c r="F107" s="358"/>
      <c r="G107" s="358"/>
      <c r="H107" s="358"/>
      <c r="I107" s="358"/>
      <c r="J107" s="358"/>
      <c r="K107" s="358"/>
      <c r="L107" s="358"/>
      <c r="M107" s="358"/>
      <c r="N107" s="358"/>
      <c r="O107" s="358"/>
      <c r="P107" s="358"/>
      <c r="Q107" s="358"/>
      <c r="R107" s="404">
        <v>-55</v>
      </c>
      <c r="S107" s="361"/>
      <c r="T107" s="348"/>
      <c r="U107" s="407"/>
    </row>
    <row r="108" spans="1:21" s="349" customFormat="1" x14ac:dyDescent="0.3">
      <c r="A108" s="365" t="s">
        <v>275</v>
      </c>
      <c r="B108" s="358" t="s">
        <v>266</v>
      </c>
      <c r="C108" s="358"/>
      <c r="D108" s="358"/>
      <c r="E108" s="358"/>
      <c r="F108" s="358"/>
      <c r="G108" s="358"/>
      <c r="H108" s="358"/>
      <c r="I108" s="358"/>
      <c r="J108" s="358"/>
      <c r="K108" s="358"/>
      <c r="L108" s="358"/>
      <c r="M108" s="358"/>
      <c r="N108" s="358"/>
      <c r="O108" s="358"/>
      <c r="P108" s="358"/>
      <c r="Q108" s="358"/>
      <c r="R108" s="404">
        <v>-62</v>
      </c>
      <c r="S108" s="361"/>
      <c r="T108" s="348"/>
      <c r="U108" s="407"/>
    </row>
    <row r="109" spans="1:21" s="349" customFormat="1" x14ac:dyDescent="0.3">
      <c r="A109" s="365">
        <v>6</v>
      </c>
      <c r="B109" s="358" t="s">
        <v>189</v>
      </c>
      <c r="C109" s="358"/>
      <c r="D109" s="358"/>
      <c r="E109" s="358"/>
      <c r="F109" s="358"/>
      <c r="G109" s="358"/>
      <c r="H109" s="358"/>
      <c r="I109" s="358"/>
      <c r="J109" s="358"/>
      <c r="K109" s="358"/>
      <c r="L109" s="358"/>
      <c r="M109" s="358"/>
      <c r="N109" s="358"/>
      <c r="O109" s="358"/>
      <c r="P109" s="358"/>
      <c r="Q109" s="358"/>
      <c r="R109" s="404">
        <v>-68</v>
      </c>
      <c r="S109" s="361"/>
      <c r="T109" s="348"/>
      <c r="U109" s="407"/>
    </row>
    <row r="110" spans="1:21" s="349" customFormat="1" x14ac:dyDescent="0.3">
      <c r="A110" s="365">
        <v>7</v>
      </c>
      <c r="B110" s="358" t="s">
        <v>190</v>
      </c>
      <c r="C110" s="358"/>
      <c r="D110" s="358"/>
      <c r="E110" s="358"/>
      <c r="F110" s="358"/>
      <c r="G110" s="358"/>
      <c r="H110" s="358"/>
      <c r="I110" s="358"/>
      <c r="J110" s="358"/>
      <c r="K110" s="358"/>
      <c r="L110" s="358"/>
      <c r="M110" s="358"/>
      <c r="N110" s="358"/>
      <c r="O110" s="358"/>
      <c r="P110" s="358"/>
      <c r="Q110" s="358"/>
      <c r="R110" s="404">
        <v>-77</v>
      </c>
      <c r="S110" s="361"/>
      <c r="T110" s="348"/>
      <c r="U110" s="407"/>
    </row>
    <row r="111" spans="1:21" s="349" customFormat="1" x14ac:dyDescent="0.3">
      <c r="A111" s="365">
        <v>8</v>
      </c>
      <c r="B111" s="358" t="s">
        <v>156</v>
      </c>
      <c r="C111" s="358"/>
      <c r="D111" s="358"/>
      <c r="E111" s="358"/>
      <c r="F111" s="358"/>
      <c r="G111" s="358"/>
      <c r="H111" s="358"/>
      <c r="I111" s="358"/>
      <c r="J111" s="358"/>
      <c r="K111" s="358"/>
      <c r="L111" s="358"/>
      <c r="M111" s="358"/>
      <c r="N111" s="358"/>
      <c r="O111" s="358"/>
      <c r="P111" s="358"/>
      <c r="Q111" s="358"/>
      <c r="R111" s="404">
        <v>0</v>
      </c>
      <c r="S111" s="361"/>
      <c r="T111" s="348"/>
      <c r="U111" s="407"/>
    </row>
    <row r="112" spans="1:21" s="349" customFormat="1" x14ac:dyDescent="0.3">
      <c r="A112" s="365">
        <v>9</v>
      </c>
      <c r="B112" s="358" t="s">
        <v>37</v>
      </c>
      <c r="C112" s="358"/>
      <c r="D112" s="358"/>
      <c r="E112" s="358"/>
      <c r="F112" s="358"/>
      <c r="G112" s="358"/>
      <c r="H112" s="358"/>
      <c r="I112" s="358"/>
      <c r="J112" s="358"/>
      <c r="K112" s="358"/>
      <c r="L112" s="358"/>
      <c r="M112" s="358"/>
      <c r="N112" s="358"/>
      <c r="O112" s="358"/>
      <c r="P112" s="403">
        <f>-R112</f>
        <v>0</v>
      </c>
      <c r="Q112" s="358"/>
      <c r="R112" s="404">
        <v>0</v>
      </c>
      <c r="S112" s="361"/>
      <c r="T112" s="348"/>
    </row>
    <row r="113" spans="1:20" s="349" customFormat="1" x14ac:dyDescent="0.3">
      <c r="A113" s="365">
        <v>10</v>
      </c>
      <c r="B113" s="358" t="s">
        <v>101</v>
      </c>
      <c r="C113" s="358"/>
      <c r="D113" s="358"/>
      <c r="E113" s="358"/>
      <c r="F113" s="358"/>
      <c r="G113" s="358"/>
      <c r="H113" s="358"/>
      <c r="I113" s="358"/>
      <c r="J113" s="358"/>
      <c r="K113" s="358"/>
      <c r="L113" s="358"/>
      <c r="M113" s="358"/>
      <c r="N113" s="358"/>
      <c r="O113" s="358"/>
      <c r="P113" s="358"/>
      <c r="Q113" s="358"/>
      <c r="R113" s="404">
        <v>0</v>
      </c>
      <c r="S113" s="361"/>
      <c r="T113" s="348"/>
    </row>
    <row r="114" spans="1:20" s="349" customFormat="1" x14ac:dyDescent="0.3">
      <c r="A114" s="365">
        <v>11</v>
      </c>
      <c r="B114" s="358" t="s">
        <v>29</v>
      </c>
      <c r="C114" s="358"/>
      <c r="D114" s="358"/>
      <c r="E114" s="358"/>
      <c r="F114" s="358"/>
      <c r="G114" s="358"/>
      <c r="H114" s="358"/>
      <c r="I114" s="358"/>
      <c r="J114" s="358"/>
      <c r="K114" s="358"/>
      <c r="L114" s="358"/>
      <c r="M114" s="358"/>
      <c r="N114" s="358"/>
      <c r="O114" s="358"/>
      <c r="P114" s="358"/>
      <c r="Q114" s="358"/>
      <c r="R114" s="404">
        <v>-16</v>
      </c>
      <c r="S114" s="361"/>
      <c r="T114" s="348"/>
    </row>
    <row r="115" spans="1:20" s="349" customFormat="1" x14ac:dyDescent="0.3">
      <c r="A115" s="365">
        <v>12</v>
      </c>
      <c r="B115" s="358" t="s">
        <v>138</v>
      </c>
      <c r="C115" s="358"/>
      <c r="D115" s="358"/>
      <c r="E115" s="358"/>
      <c r="F115" s="358"/>
      <c r="G115" s="358"/>
      <c r="H115" s="358"/>
      <c r="I115" s="358"/>
      <c r="J115" s="358"/>
      <c r="K115" s="358"/>
      <c r="L115" s="358"/>
      <c r="M115" s="358"/>
      <c r="N115" s="358"/>
      <c r="O115" s="358"/>
      <c r="P115" s="358"/>
      <c r="Q115" s="358"/>
      <c r="R115" s="404">
        <v>0</v>
      </c>
      <c r="S115" s="361"/>
      <c r="T115" s="348"/>
    </row>
    <row r="116" spans="1:20" s="349" customFormat="1" x14ac:dyDescent="0.3">
      <c r="A116" s="365">
        <v>13</v>
      </c>
      <c r="B116" s="358" t="s">
        <v>267</v>
      </c>
      <c r="C116" s="358"/>
      <c r="D116" s="358"/>
      <c r="E116" s="358"/>
      <c r="F116" s="358"/>
      <c r="G116" s="358"/>
      <c r="H116" s="358"/>
      <c r="I116" s="358"/>
      <c r="J116" s="358"/>
      <c r="K116" s="358"/>
      <c r="L116" s="358"/>
      <c r="M116" s="358"/>
      <c r="N116" s="358"/>
      <c r="O116" s="358"/>
      <c r="P116" s="358"/>
      <c r="Q116" s="358"/>
      <c r="R116" s="404">
        <v>-55</v>
      </c>
      <c r="S116" s="361"/>
      <c r="T116" s="348"/>
    </row>
    <row r="117" spans="1:20" s="349" customFormat="1" x14ac:dyDescent="0.3">
      <c r="A117" s="365">
        <v>14</v>
      </c>
      <c r="B117" s="358" t="s">
        <v>157</v>
      </c>
      <c r="C117" s="358"/>
      <c r="D117" s="358"/>
      <c r="E117" s="358"/>
      <c r="F117" s="358"/>
      <c r="G117" s="358"/>
      <c r="H117" s="358"/>
      <c r="I117" s="358"/>
      <c r="J117" s="358"/>
      <c r="K117" s="358"/>
      <c r="L117" s="358"/>
      <c r="M117" s="358"/>
      <c r="N117" s="358"/>
      <c r="O117" s="358"/>
      <c r="P117" s="358"/>
      <c r="Q117" s="358"/>
      <c r="R117" s="404">
        <v>0</v>
      </c>
      <c r="S117" s="361"/>
      <c r="T117" s="348"/>
    </row>
    <row r="118" spans="1:20" s="349" customFormat="1" x14ac:dyDescent="0.3">
      <c r="A118" s="365">
        <v>15</v>
      </c>
      <c r="B118" s="358" t="s">
        <v>207</v>
      </c>
      <c r="C118" s="358"/>
      <c r="D118" s="358"/>
      <c r="E118" s="358"/>
      <c r="F118" s="358"/>
      <c r="G118" s="358"/>
      <c r="H118" s="358"/>
      <c r="I118" s="358"/>
      <c r="J118" s="358"/>
      <c r="K118" s="358"/>
      <c r="L118" s="358"/>
      <c r="M118" s="358"/>
      <c r="N118" s="358"/>
      <c r="O118" s="358"/>
      <c r="P118" s="358"/>
      <c r="Q118" s="358"/>
      <c r="R118" s="404">
        <v>-21</v>
      </c>
      <c r="S118" s="361"/>
      <c r="T118" s="348"/>
    </row>
    <row r="119" spans="1:20" s="349" customFormat="1" x14ac:dyDescent="0.3">
      <c r="A119" s="365">
        <v>16</v>
      </c>
      <c r="B119" s="358" t="s">
        <v>167</v>
      </c>
      <c r="C119" s="358"/>
      <c r="D119" s="358"/>
      <c r="E119" s="358"/>
      <c r="F119" s="358"/>
      <c r="G119" s="358"/>
      <c r="H119" s="358"/>
      <c r="I119" s="358"/>
      <c r="J119" s="358"/>
      <c r="K119" s="358"/>
      <c r="L119" s="358"/>
      <c r="M119" s="358"/>
      <c r="N119" s="358"/>
      <c r="O119" s="358"/>
      <c r="P119" s="358"/>
      <c r="Q119" s="358"/>
      <c r="R119" s="404">
        <f>-3-237</f>
        <v>-240</v>
      </c>
      <c r="S119" s="361"/>
      <c r="T119" s="348"/>
    </row>
    <row r="120" spans="1:20" s="349" customFormat="1" x14ac:dyDescent="0.3">
      <c r="A120" s="365">
        <v>17</v>
      </c>
      <c r="B120" s="358" t="s">
        <v>268</v>
      </c>
      <c r="C120" s="358"/>
      <c r="D120" s="358"/>
      <c r="E120" s="358"/>
      <c r="F120" s="358"/>
      <c r="G120" s="358"/>
      <c r="H120" s="358"/>
      <c r="I120" s="358"/>
      <c r="J120" s="358"/>
      <c r="K120" s="358"/>
      <c r="L120" s="358"/>
      <c r="M120" s="358"/>
      <c r="N120" s="358"/>
      <c r="O120" s="358"/>
      <c r="P120" s="358"/>
      <c r="Q120" s="358"/>
      <c r="R120" s="404">
        <f>-R101-SUM(R103:R119)</f>
        <v>-8212</v>
      </c>
      <c r="S120" s="361"/>
      <c r="T120" s="348"/>
    </row>
    <row r="121" spans="1:20" x14ac:dyDescent="0.3">
      <c r="A121" s="276"/>
      <c r="B121" s="293" t="s">
        <v>30</v>
      </c>
      <c r="C121" s="291"/>
      <c r="D121" s="291"/>
      <c r="E121" s="291"/>
      <c r="F121" s="291"/>
      <c r="G121" s="291"/>
      <c r="H121" s="291"/>
      <c r="I121" s="291"/>
      <c r="J121" s="291"/>
      <c r="K121" s="291"/>
      <c r="L121" s="291"/>
      <c r="M121" s="291"/>
      <c r="N121" s="291"/>
      <c r="O121" s="291"/>
      <c r="P121" s="263"/>
      <c r="Q121" s="263"/>
      <c r="R121" s="294"/>
      <c r="S121" s="292"/>
      <c r="T121" s="247"/>
    </row>
    <row r="122" spans="1:20" s="349" customFormat="1" x14ac:dyDescent="0.3">
      <c r="A122" s="365"/>
      <c r="B122" s="358" t="s">
        <v>208</v>
      </c>
      <c r="C122" s="358"/>
      <c r="D122" s="358"/>
      <c r="E122" s="358"/>
      <c r="F122" s="358"/>
      <c r="G122" s="358"/>
      <c r="H122" s="358"/>
      <c r="I122" s="358"/>
      <c r="J122" s="358"/>
      <c r="K122" s="358"/>
      <c r="L122" s="358"/>
      <c r="M122" s="358"/>
      <c r="N122" s="358"/>
      <c r="O122" s="358"/>
      <c r="P122" s="403">
        <f>-P190</f>
        <v>0</v>
      </c>
      <c r="Q122" s="403"/>
      <c r="R122" s="404"/>
      <c r="S122" s="361"/>
      <c r="T122" s="348"/>
    </row>
    <row r="123" spans="1:20" s="349" customFormat="1" x14ac:dyDescent="0.3">
      <c r="A123" s="365"/>
      <c r="B123" s="358" t="s">
        <v>209</v>
      </c>
      <c r="C123" s="358"/>
      <c r="D123" s="358"/>
      <c r="E123" s="358"/>
      <c r="F123" s="358"/>
      <c r="G123" s="358"/>
      <c r="H123" s="358"/>
      <c r="I123" s="358"/>
      <c r="J123" s="358"/>
      <c r="K123" s="358"/>
      <c r="L123" s="358"/>
      <c r="M123" s="358"/>
      <c r="N123" s="358"/>
      <c r="O123" s="358"/>
      <c r="P123" s="403">
        <f>-O190</f>
        <v>0</v>
      </c>
      <c r="Q123" s="403"/>
      <c r="R123" s="404"/>
      <c r="S123" s="361"/>
      <c r="T123" s="348"/>
    </row>
    <row r="124" spans="1:20" s="349" customFormat="1" x14ac:dyDescent="0.3">
      <c r="A124" s="365"/>
      <c r="B124" s="358" t="s">
        <v>270</v>
      </c>
      <c r="C124" s="358"/>
      <c r="D124" s="358"/>
      <c r="E124" s="358"/>
      <c r="F124" s="358"/>
      <c r="G124" s="358"/>
      <c r="H124" s="358"/>
      <c r="I124" s="358"/>
      <c r="J124" s="358"/>
      <c r="K124" s="358"/>
      <c r="L124" s="358"/>
      <c r="M124" s="358"/>
      <c r="N124" s="358"/>
      <c r="O124" s="358"/>
      <c r="P124" s="403">
        <v>-11285</v>
      </c>
      <c r="Q124" s="403"/>
      <c r="R124" s="404"/>
      <c r="S124" s="361"/>
      <c r="T124" s="348"/>
    </row>
    <row r="125" spans="1:20" s="349" customFormat="1" x14ac:dyDescent="0.3">
      <c r="A125" s="365"/>
      <c r="B125" s="358" t="s">
        <v>269</v>
      </c>
      <c r="C125" s="358"/>
      <c r="D125" s="358"/>
      <c r="E125" s="358"/>
      <c r="F125" s="358"/>
      <c r="G125" s="358"/>
      <c r="H125" s="358"/>
      <c r="I125" s="358"/>
      <c r="J125" s="358"/>
      <c r="K125" s="358"/>
      <c r="L125" s="358"/>
      <c r="M125" s="358"/>
      <c r="N125" s="358"/>
      <c r="O125" s="358"/>
      <c r="P125" s="403">
        <v>-14656</v>
      </c>
      <c r="Q125" s="403"/>
      <c r="R125" s="404"/>
      <c r="S125" s="361"/>
      <c r="T125" s="348"/>
    </row>
    <row r="126" spans="1:20" s="349" customFormat="1" x14ac:dyDescent="0.3">
      <c r="A126" s="365"/>
      <c r="B126" s="358" t="s">
        <v>181</v>
      </c>
      <c r="C126" s="358"/>
      <c r="D126" s="358"/>
      <c r="E126" s="358"/>
      <c r="F126" s="358"/>
      <c r="G126" s="358"/>
      <c r="H126" s="358"/>
      <c r="I126" s="358"/>
      <c r="J126" s="358"/>
      <c r="K126" s="358"/>
      <c r="L126" s="358"/>
      <c r="M126" s="358"/>
      <c r="N126" s="358"/>
      <c r="O126" s="358"/>
      <c r="P126" s="403">
        <v>-12000</v>
      </c>
      <c r="Q126" s="403"/>
      <c r="R126" s="404"/>
      <c r="S126" s="361"/>
      <c r="T126" s="348"/>
    </row>
    <row r="127" spans="1:20" s="349" customFormat="1" x14ac:dyDescent="0.3">
      <c r="A127" s="365"/>
      <c r="B127" s="358" t="s">
        <v>182</v>
      </c>
      <c r="C127" s="358"/>
      <c r="D127" s="358"/>
      <c r="E127" s="358"/>
      <c r="F127" s="358"/>
      <c r="G127" s="358"/>
      <c r="H127" s="358"/>
      <c r="I127" s="358"/>
      <c r="J127" s="358"/>
      <c r="K127" s="358"/>
      <c r="L127" s="358"/>
      <c r="M127" s="358"/>
      <c r="N127" s="358"/>
      <c r="O127" s="358"/>
      <c r="P127" s="403">
        <v>-12000</v>
      </c>
      <c r="Q127" s="403"/>
      <c r="R127" s="404"/>
      <c r="S127" s="361"/>
      <c r="T127" s="348"/>
    </row>
    <row r="128" spans="1:20" s="349" customFormat="1" x14ac:dyDescent="0.3">
      <c r="A128" s="365"/>
      <c r="B128" s="358" t="s">
        <v>271</v>
      </c>
      <c r="C128" s="358"/>
      <c r="D128" s="358"/>
      <c r="E128" s="358"/>
      <c r="F128" s="358"/>
      <c r="G128" s="358"/>
      <c r="H128" s="358"/>
      <c r="I128" s="358"/>
      <c r="J128" s="358"/>
      <c r="K128" s="358"/>
      <c r="L128" s="358"/>
      <c r="M128" s="358"/>
      <c r="N128" s="358"/>
      <c r="O128" s="358"/>
      <c r="P128" s="403">
        <v>-7500</v>
      </c>
      <c r="Q128" s="403"/>
      <c r="R128" s="404"/>
      <c r="S128" s="361"/>
      <c r="T128" s="348"/>
    </row>
    <row r="129" spans="1:20" s="349" customFormat="1" x14ac:dyDescent="0.3">
      <c r="A129" s="365"/>
      <c r="B129" s="358" t="s">
        <v>31</v>
      </c>
      <c r="C129" s="358"/>
      <c r="D129" s="358"/>
      <c r="E129" s="358"/>
      <c r="F129" s="358"/>
      <c r="G129" s="358"/>
      <c r="H129" s="358"/>
      <c r="I129" s="358"/>
      <c r="J129" s="358"/>
      <c r="K129" s="358"/>
      <c r="L129" s="358"/>
      <c r="M129" s="358"/>
      <c r="N129" s="358"/>
      <c r="O129" s="358"/>
      <c r="P129" s="403">
        <f>SUM(P122:P128)</f>
        <v>-57441</v>
      </c>
      <c r="Q129" s="403"/>
      <c r="R129" s="403">
        <f>SUM(R102:R128)</f>
        <v>-8845</v>
      </c>
      <c r="S129" s="361"/>
      <c r="T129" s="348"/>
    </row>
    <row r="130" spans="1:20" s="349" customFormat="1" x14ac:dyDescent="0.3">
      <c r="A130" s="365"/>
      <c r="B130" s="358" t="s">
        <v>32</v>
      </c>
      <c r="C130" s="358"/>
      <c r="D130" s="358"/>
      <c r="E130" s="358"/>
      <c r="F130" s="358"/>
      <c r="G130" s="358"/>
      <c r="H130" s="358"/>
      <c r="I130" s="358"/>
      <c r="J130" s="358"/>
      <c r="K130" s="358"/>
      <c r="L130" s="358"/>
      <c r="M130" s="358"/>
      <c r="N130" s="358"/>
      <c r="O130" s="358"/>
      <c r="P130" s="403">
        <f>P101+P129+P112</f>
        <v>0</v>
      </c>
      <c r="Q130" s="403"/>
      <c r="R130" s="403">
        <f>R101+R129</f>
        <v>0</v>
      </c>
      <c r="S130" s="361"/>
      <c r="T130" s="348"/>
    </row>
    <row r="131" spans="1:20" s="349" customFormat="1" x14ac:dyDescent="0.3">
      <c r="A131" s="344"/>
      <c r="B131" s="393"/>
      <c r="C131" s="393"/>
      <c r="D131" s="393"/>
      <c r="E131" s="393"/>
      <c r="F131" s="393"/>
      <c r="G131" s="393"/>
      <c r="H131" s="393"/>
      <c r="I131" s="393"/>
      <c r="J131" s="393"/>
      <c r="K131" s="393"/>
      <c r="L131" s="393"/>
      <c r="M131" s="393"/>
      <c r="N131" s="393"/>
      <c r="O131" s="393"/>
      <c r="P131" s="408"/>
      <c r="Q131" s="408"/>
      <c r="R131" s="408"/>
      <c r="S131" s="347"/>
      <c r="T131" s="348"/>
    </row>
    <row r="132" spans="1:20" s="349" customFormat="1" x14ac:dyDescent="0.3">
      <c r="A132" s="344"/>
      <c r="B132" s="346"/>
      <c r="C132" s="346"/>
      <c r="D132" s="346"/>
      <c r="E132" s="346"/>
      <c r="F132" s="346"/>
      <c r="G132" s="346"/>
      <c r="H132" s="346"/>
      <c r="I132" s="346"/>
      <c r="J132" s="346"/>
      <c r="K132" s="346"/>
      <c r="L132" s="346"/>
      <c r="M132" s="346"/>
      <c r="N132" s="346"/>
      <c r="O132" s="346"/>
      <c r="P132" s="346"/>
      <c r="Q132" s="346"/>
      <c r="R132" s="409"/>
      <c r="S132" s="347"/>
      <c r="T132" s="348"/>
    </row>
    <row r="133" spans="1:20" s="349" customFormat="1" ht="18.600000000000001" thickBot="1" x14ac:dyDescent="0.4">
      <c r="A133" s="398"/>
      <c r="B133" s="399" t="str">
        <f>B60</f>
        <v>PM22 INVESTOR REPORT QUARTER ENDING MAY 2019</v>
      </c>
      <c r="C133" s="400"/>
      <c r="D133" s="400"/>
      <c r="E133" s="400"/>
      <c r="F133" s="400"/>
      <c r="G133" s="400"/>
      <c r="H133" s="400"/>
      <c r="I133" s="400"/>
      <c r="J133" s="400"/>
      <c r="K133" s="400"/>
      <c r="L133" s="400"/>
      <c r="M133" s="400"/>
      <c r="N133" s="400"/>
      <c r="O133" s="400"/>
      <c r="P133" s="400"/>
      <c r="Q133" s="400"/>
      <c r="R133" s="410"/>
      <c r="S133" s="402"/>
      <c r="T133" s="348"/>
    </row>
    <row r="134" spans="1:20" x14ac:dyDescent="0.3">
      <c r="A134" s="456"/>
      <c r="B134" s="457" t="s">
        <v>33</v>
      </c>
      <c r="C134" s="458"/>
      <c r="D134" s="458"/>
      <c r="E134" s="458"/>
      <c r="F134" s="458"/>
      <c r="G134" s="458"/>
      <c r="H134" s="458"/>
      <c r="I134" s="458"/>
      <c r="J134" s="458"/>
      <c r="K134" s="458"/>
      <c r="L134" s="458"/>
      <c r="M134" s="458"/>
      <c r="N134" s="458"/>
      <c r="O134" s="458"/>
      <c r="P134" s="458"/>
      <c r="Q134" s="458"/>
      <c r="R134" s="459"/>
      <c r="S134" s="460"/>
      <c r="T134" s="247"/>
    </row>
    <row r="135" spans="1:20" x14ac:dyDescent="0.3">
      <c r="A135" s="249"/>
      <c r="B135" s="295"/>
      <c r="C135" s="251"/>
      <c r="D135" s="251"/>
      <c r="E135" s="251"/>
      <c r="F135" s="251"/>
      <c r="G135" s="251"/>
      <c r="H135" s="251"/>
      <c r="I135" s="251"/>
      <c r="J135" s="251"/>
      <c r="K135" s="251"/>
      <c r="L135" s="251"/>
      <c r="M135" s="251"/>
      <c r="N135" s="251"/>
      <c r="O135" s="251"/>
      <c r="P135" s="251"/>
      <c r="Q135" s="251"/>
      <c r="R135" s="279"/>
      <c r="S135" s="252"/>
      <c r="T135" s="247"/>
    </row>
    <row r="136" spans="1:20" x14ac:dyDescent="0.3">
      <c r="A136" s="249"/>
      <c r="B136" s="296" t="s">
        <v>34</v>
      </c>
      <c r="C136" s="251"/>
      <c r="D136" s="251"/>
      <c r="E136" s="251"/>
      <c r="F136" s="251"/>
      <c r="G136" s="251"/>
      <c r="H136" s="251"/>
      <c r="I136" s="251"/>
      <c r="J136" s="251"/>
      <c r="K136" s="251"/>
      <c r="L136" s="251"/>
      <c r="M136" s="251"/>
      <c r="N136" s="251"/>
      <c r="O136" s="251"/>
      <c r="P136" s="251"/>
      <c r="Q136" s="251"/>
      <c r="R136" s="279"/>
      <c r="S136" s="252"/>
      <c r="T136" s="247"/>
    </row>
    <row r="137" spans="1:20" s="349" customFormat="1" x14ac:dyDescent="0.3">
      <c r="A137" s="365"/>
      <c r="B137" s="358" t="s">
        <v>35</v>
      </c>
      <c r="C137" s="358"/>
      <c r="D137" s="358"/>
      <c r="E137" s="358"/>
      <c r="F137" s="358"/>
      <c r="G137" s="358"/>
      <c r="H137" s="358"/>
      <c r="I137" s="358"/>
      <c r="J137" s="358"/>
      <c r="K137" s="358"/>
      <c r="L137" s="358"/>
      <c r="M137" s="358"/>
      <c r="N137" s="358"/>
      <c r="O137" s="358"/>
      <c r="P137" s="358"/>
      <c r="Q137" s="358"/>
      <c r="R137" s="404">
        <v>7502</v>
      </c>
      <c r="S137" s="361"/>
      <c r="T137" s="348"/>
    </row>
    <row r="138" spans="1:20" s="349" customFormat="1" x14ac:dyDescent="0.3">
      <c r="A138" s="365"/>
      <c r="B138" s="358" t="s">
        <v>36</v>
      </c>
      <c r="C138" s="358"/>
      <c r="D138" s="358"/>
      <c r="E138" s="358"/>
      <c r="F138" s="358"/>
      <c r="G138" s="358"/>
      <c r="H138" s="358"/>
      <c r="I138" s="358"/>
      <c r="J138" s="358"/>
      <c r="K138" s="358"/>
      <c r="L138" s="358"/>
      <c r="M138" s="358"/>
      <c r="N138" s="358"/>
      <c r="O138" s="358"/>
      <c r="P138" s="358"/>
      <c r="Q138" s="358"/>
      <c r="R138" s="404">
        <v>0</v>
      </c>
      <c r="S138" s="361"/>
      <c r="T138" s="348"/>
    </row>
    <row r="139" spans="1:20" s="349" customFormat="1" x14ac:dyDescent="0.3">
      <c r="A139" s="365"/>
      <c r="B139" s="358" t="s">
        <v>169</v>
      </c>
      <c r="C139" s="358"/>
      <c r="D139" s="358"/>
      <c r="E139" s="358"/>
      <c r="F139" s="358"/>
      <c r="G139" s="358"/>
      <c r="H139" s="358"/>
      <c r="I139" s="358"/>
      <c r="J139" s="358"/>
      <c r="K139" s="358"/>
      <c r="L139" s="358"/>
      <c r="M139" s="358"/>
      <c r="N139" s="358"/>
      <c r="O139" s="358"/>
      <c r="P139" s="358"/>
      <c r="Q139" s="358"/>
      <c r="R139" s="404">
        <f>R137-R140</f>
        <v>7502</v>
      </c>
      <c r="S139" s="361"/>
      <c r="T139" s="348"/>
    </row>
    <row r="140" spans="1:20" s="349" customFormat="1" x14ac:dyDescent="0.3">
      <c r="A140" s="365"/>
      <c r="B140" s="358" t="s">
        <v>210</v>
      </c>
      <c r="C140" s="358"/>
      <c r="D140" s="358"/>
      <c r="E140" s="358"/>
      <c r="F140" s="358"/>
      <c r="G140" s="358"/>
      <c r="H140" s="358"/>
      <c r="I140" s="358"/>
      <c r="J140" s="358"/>
      <c r="K140" s="358"/>
      <c r="L140" s="358"/>
      <c r="M140" s="358"/>
      <c r="N140" s="358"/>
      <c r="O140" s="358"/>
      <c r="P140" s="358"/>
      <c r="Q140" s="358"/>
      <c r="R140" s="404">
        <f>SUM(D33:J33)*0.025</f>
        <v>0</v>
      </c>
      <c r="S140" s="361"/>
      <c r="T140" s="348"/>
    </row>
    <row r="141" spans="1:20" s="349" customFormat="1" x14ac:dyDescent="0.3">
      <c r="A141" s="365"/>
      <c r="B141" s="358" t="s">
        <v>303</v>
      </c>
      <c r="C141" s="358"/>
      <c r="D141" s="358"/>
      <c r="E141" s="358"/>
      <c r="F141" s="358"/>
      <c r="G141" s="358"/>
      <c r="H141" s="358"/>
      <c r="I141" s="358"/>
      <c r="J141" s="358"/>
      <c r="K141" s="358"/>
      <c r="L141" s="358"/>
      <c r="M141" s="358"/>
      <c r="N141" s="358"/>
      <c r="O141" s="358"/>
      <c r="P141" s="358"/>
      <c r="Q141" s="358"/>
      <c r="R141" s="404">
        <v>-7502</v>
      </c>
      <c r="S141" s="361"/>
      <c r="T141" s="348"/>
    </row>
    <row r="142" spans="1:20" s="349" customFormat="1" x14ac:dyDescent="0.3">
      <c r="A142" s="365"/>
      <c r="B142" s="358" t="s">
        <v>108</v>
      </c>
      <c r="C142" s="358"/>
      <c r="D142" s="358"/>
      <c r="E142" s="358"/>
      <c r="F142" s="358"/>
      <c r="G142" s="358"/>
      <c r="H142" s="358"/>
      <c r="I142" s="358"/>
      <c r="J142" s="358"/>
      <c r="K142" s="358"/>
      <c r="L142" s="358"/>
      <c r="M142" s="358"/>
      <c r="N142" s="358"/>
      <c r="O142" s="358"/>
      <c r="P142" s="358"/>
      <c r="Q142" s="358"/>
      <c r="R142" s="404"/>
      <c r="S142" s="361"/>
      <c r="T142" s="348"/>
    </row>
    <row r="143" spans="1:20" s="349" customFormat="1" x14ac:dyDescent="0.3">
      <c r="A143" s="365"/>
      <c r="B143" s="358" t="s">
        <v>155</v>
      </c>
      <c r="C143" s="358"/>
      <c r="D143" s="358"/>
      <c r="E143" s="358"/>
      <c r="F143" s="358"/>
      <c r="G143" s="358"/>
      <c r="H143" s="358"/>
      <c r="I143" s="358"/>
      <c r="J143" s="358"/>
      <c r="K143" s="358"/>
      <c r="L143" s="358"/>
      <c r="M143" s="358"/>
      <c r="N143" s="358"/>
      <c r="O143" s="358"/>
      <c r="P143" s="358"/>
      <c r="Q143" s="358"/>
      <c r="R143" s="404">
        <v>0</v>
      </c>
      <c r="S143" s="361"/>
      <c r="T143" s="348"/>
    </row>
    <row r="144" spans="1:20" s="349" customFormat="1" x14ac:dyDescent="0.3">
      <c r="A144" s="365"/>
      <c r="B144" s="358" t="s">
        <v>189</v>
      </c>
      <c r="C144" s="358"/>
      <c r="D144" s="358"/>
      <c r="E144" s="358"/>
      <c r="F144" s="358"/>
      <c r="G144" s="358"/>
      <c r="H144" s="358"/>
      <c r="I144" s="358"/>
      <c r="J144" s="358"/>
      <c r="K144" s="358"/>
      <c r="L144" s="358"/>
      <c r="M144" s="358"/>
      <c r="N144" s="358"/>
      <c r="O144" s="358"/>
      <c r="P144" s="358"/>
      <c r="Q144" s="358"/>
      <c r="R144" s="404">
        <v>0</v>
      </c>
      <c r="S144" s="361"/>
      <c r="T144" s="348"/>
    </row>
    <row r="145" spans="1:21" s="349" customFormat="1" x14ac:dyDescent="0.3">
      <c r="A145" s="365"/>
      <c r="B145" s="358" t="s">
        <v>190</v>
      </c>
      <c r="C145" s="358"/>
      <c r="D145" s="358"/>
      <c r="E145" s="358"/>
      <c r="F145" s="358"/>
      <c r="G145" s="358"/>
      <c r="H145" s="358"/>
      <c r="I145" s="358"/>
      <c r="J145" s="358"/>
      <c r="K145" s="358"/>
      <c r="L145" s="358"/>
      <c r="M145" s="358"/>
      <c r="N145" s="358"/>
      <c r="O145" s="358"/>
      <c r="P145" s="358"/>
      <c r="Q145" s="358"/>
      <c r="R145" s="404">
        <v>0</v>
      </c>
      <c r="S145" s="361"/>
      <c r="T145" s="348"/>
    </row>
    <row r="146" spans="1:21" s="349" customFormat="1" x14ac:dyDescent="0.3">
      <c r="A146" s="365"/>
      <c r="B146" s="358" t="s">
        <v>37</v>
      </c>
      <c r="C146" s="358"/>
      <c r="D146" s="358"/>
      <c r="E146" s="358"/>
      <c r="F146" s="358"/>
      <c r="G146" s="358"/>
      <c r="H146" s="358"/>
      <c r="I146" s="358"/>
      <c r="J146" s="358"/>
      <c r="K146" s="358"/>
      <c r="L146" s="358"/>
      <c r="M146" s="358"/>
      <c r="N146" s="358"/>
      <c r="O146" s="358"/>
      <c r="P146" s="358"/>
      <c r="Q146" s="358"/>
      <c r="R146" s="404">
        <v>0</v>
      </c>
      <c r="S146" s="361"/>
      <c r="T146" s="348"/>
    </row>
    <row r="147" spans="1:21" s="349" customFormat="1" x14ac:dyDescent="0.3">
      <c r="A147" s="365"/>
      <c r="B147" s="358" t="s">
        <v>102</v>
      </c>
      <c r="C147" s="358"/>
      <c r="D147" s="358"/>
      <c r="E147" s="358"/>
      <c r="F147" s="358"/>
      <c r="G147" s="358"/>
      <c r="H147" s="358"/>
      <c r="I147" s="358"/>
      <c r="J147" s="358"/>
      <c r="K147" s="358"/>
      <c r="L147" s="358"/>
      <c r="M147" s="358"/>
      <c r="N147" s="358"/>
      <c r="O147" s="358"/>
      <c r="P147" s="358"/>
      <c r="Q147" s="358"/>
      <c r="R147" s="404">
        <v>0</v>
      </c>
      <c r="S147" s="361"/>
      <c r="T147" s="348"/>
    </row>
    <row r="148" spans="1:21" s="349" customFormat="1" x14ac:dyDescent="0.3">
      <c r="A148" s="365"/>
      <c r="B148" s="358" t="s">
        <v>256</v>
      </c>
      <c r="C148" s="358"/>
      <c r="D148" s="358"/>
      <c r="E148" s="358"/>
      <c r="F148" s="358"/>
      <c r="G148" s="358"/>
      <c r="H148" s="358"/>
      <c r="I148" s="358"/>
      <c r="J148" s="358"/>
      <c r="K148" s="358"/>
      <c r="L148" s="358"/>
      <c r="M148" s="358"/>
      <c r="N148" s="358"/>
      <c r="O148" s="358"/>
      <c r="P148" s="358"/>
      <c r="Q148" s="358"/>
      <c r="R148" s="404">
        <v>0</v>
      </c>
      <c r="S148" s="361"/>
      <c r="T148" s="348"/>
      <c r="U148" s="407"/>
    </row>
    <row r="149" spans="1:21" s="349" customFormat="1" x14ac:dyDescent="0.3">
      <c r="A149" s="365"/>
      <c r="B149" s="358" t="s">
        <v>38</v>
      </c>
      <c r="C149" s="358"/>
      <c r="D149" s="358"/>
      <c r="E149" s="358"/>
      <c r="F149" s="358"/>
      <c r="G149" s="358"/>
      <c r="H149" s="358"/>
      <c r="I149" s="358"/>
      <c r="J149" s="358"/>
      <c r="K149" s="358"/>
      <c r="L149" s="358"/>
      <c r="M149" s="358"/>
      <c r="N149" s="358"/>
      <c r="O149" s="358"/>
      <c r="P149" s="358"/>
      <c r="Q149" s="358"/>
      <c r="R149" s="404">
        <f>SUM(R138:R148)</f>
        <v>0</v>
      </c>
      <c r="S149" s="361"/>
      <c r="T149" s="348"/>
    </row>
    <row r="150" spans="1:21" x14ac:dyDescent="0.3">
      <c r="A150" s="249"/>
      <c r="B150" s="277"/>
      <c r="C150" s="277"/>
      <c r="D150" s="277"/>
      <c r="E150" s="277"/>
      <c r="F150" s="277"/>
      <c r="G150" s="277"/>
      <c r="H150" s="277"/>
      <c r="I150" s="277"/>
      <c r="J150" s="277"/>
      <c r="K150" s="277"/>
      <c r="L150" s="277"/>
      <c r="M150" s="277"/>
      <c r="N150" s="277"/>
      <c r="O150" s="277"/>
      <c r="P150" s="277"/>
      <c r="Q150" s="277"/>
      <c r="R150" s="297"/>
      <c r="S150" s="252"/>
      <c r="T150" s="247"/>
    </row>
    <row r="151" spans="1:21" x14ac:dyDescent="0.3">
      <c r="A151" s="249"/>
      <c r="B151" s="296" t="s">
        <v>203</v>
      </c>
      <c r="C151" s="251"/>
      <c r="D151" s="251"/>
      <c r="E151" s="251"/>
      <c r="F151" s="251"/>
      <c r="G151" s="251"/>
      <c r="H151" s="251"/>
      <c r="I151" s="251"/>
      <c r="J151" s="251"/>
      <c r="K151" s="251"/>
      <c r="L151" s="251"/>
      <c r="M151" s="251"/>
      <c r="N151" s="251"/>
      <c r="O151" s="251"/>
      <c r="P151" s="251"/>
      <c r="Q151" s="251"/>
      <c r="R151" s="279"/>
      <c r="S151" s="252"/>
      <c r="T151" s="247"/>
    </row>
    <row r="152" spans="1:21" s="349" customFormat="1" x14ac:dyDescent="0.3">
      <c r="A152" s="365"/>
      <c r="B152" s="358" t="s">
        <v>278</v>
      </c>
      <c r="C152" s="358"/>
      <c r="D152" s="358"/>
      <c r="E152" s="358"/>
      <c r="F152" s="358"/>
      <c r="G152" s="358"/>
      <c r="H152" s="358"/>
      <c r="I152" s="358"/>
      <c r="J152" s="358"/>
      <c r="K152" s="358"/>
      <c r="L152" s="358"/>
      <c r="M152" s="358"/>
      <c r="N152" s="358"/>
      <c r="O152" s="358"/>
      <c r="P152" s="358"/>
      <c r="Q152" s="358"/>
      <c r="R152" s="404">
        <v>0</v>
      </c>
      <c r="S152" s="361"/>
      <c r="T152" s="348"/>
    </row>
    <row r="153" spans="1:21" s="349" customFormat="1" x14ac:dyDescent="0.3">
      <c r="A153" s="365"/>
      <c r="B153" s="358" t="s">
        <v>191</v>
      </c>
      <c r="C153" s="358"/>
      <c r="D153" s="358"/>
      <c r="E153" s="358"/>
      <c r="F153" s="358"/>
      <c r="G153" s="358"/>
      <c r="H153" s="358"/>
      <c r="I153" s="358"/>
      <c r="J153" s="358"/>
      <c r="K153" s="358"/>
      <c r="L153" s="358"/>
      <c r="M153" s="358"/>
      <c r="N153" s="358"/>
      <c r="O153" s="358"/>
      <c r="P153" s="358"/>
      <c r="Q153" s="358"/>
      <c r="R153" s="404">
        <f>+J77</f>
        <v>0</v>
      </c>
      <c r="S153" s="361"/>
      <c r="T153" s="348"/>
    </row>
    <row r="154" spans="1:21" s="349" customFormat="1" x14ac:dyDescent="0.3">
      <c r="A154" s="365"/>
      <c r="B154" s="358" t="s">
        <v>205</v>
      </c>
      <c r="C154" s="358"/>
      <c r="D154" s="358"/>
      <c r="E154" s="358"/>
      <c r="F154" s="358"/>
      <c r="G154" s="358"/>
      <c r="H154" s="358"/>
      <c r="I154" s="358"/>
      <c r="J154" s="358"/>
      <c r="K154" s="358"/>
      <c r="L154" s="358"/>
      <c r="M154" s="358"/>
      <c r="N154" s="358"/>
      <c r="O154" s="358"/>
      <c r="P154" s="358"/>
      <c r="Q154" s="358"/>
      <c r="R154" s="404">
        <f>R152+R153</f>
        <v>0</v>
      </c>
      <c r="S154" s="361"/>
      <c r="T154" s="348"/>
    </row>
    <row r="155" spans="1:21" s="349" customFormat="1" x14ac:dyDescent="0.3">
      <c r="A155" s="344"/>
      <c r="B155" s="393"/>
      <c r="C155" s="393"/>
      <c r="D155" s="393"/>
      <c r="E155" s="393"/>
      <c r="F155" s="393"/>
      <c r="G155" s="393"/>
      <c r="H155" s="393"/>
      <c r="I155" s="393"/>
      <c r="J155" s="393"/>
      <c r="K155" s="393"/>
      <c r="L155" s="393"/>
      <c r="M155" s="393"/>
      <c r="N155" s="393"/>
      <c r="O155" s="393"/>
      <c r="P155" s="393"/>
      <c r="Q155" s="393"/>
      <c r="R155" s="411"/>
      <c r="S155" s="347"/>
      <c r="T155" s="348"/>
    </row>
    <row r="156" spans="1:21" x14ac:dyDescent="0.3">
      <c r="A156" s="249"/>
      <c r="B156" s="296" t="s">
        <v>211</v>
      </c>
      <c r="C156" s="298"/>
      <c r="D156" s="298"/>
      <c r="E156" s="298"/>
      <c r="F156" s="298"/>
      <c r="G156" s="298"/>
      <c r="H156" s="298"/>
      <c r="I156" s="298"/>
      <c r="J156" s="298"/>
      <c r="K156" s="298"/>
      <c r="L156" s="298"/>
      <c r="M156" s="298"/>
      <c r="N156" s="298"/>
      <c r="O156" s="298"/>
      <c r="P156" s="298"/>
      <c r="Q156" s="298"/>
      <c r="R156" s="299"/>
      <c r="S156" s="252"/>
      <c r="T156" s="247"/>
    </row>
    <row r="157" spans="1:21" s="349" customFormat="1" x14ac:dyDescent="0.3">
      <c r="A157" s="412"/>
      <c r="B157" s="413" t="s">
        <v>277</v>
      </c>
      <c r="C157" s="413"/>
      <c r="D157" s="413"/>
      <c r="E157" s="413"/>
      <c r="F157" s="413"/>
      <c r="G157" s="413"/>
      <c r="H157" s="413"/>
      <c r="I157" s="413"/>
      <c r="J157" s="413"/>
      <c r="K157" s="413"/>
      <c r="L157" s="413"/>
      <c r="M157" s="413"/>
      <c r="N157" s="413"/>
      <c r="O157" s="413"/>
      <c r="P157" s="413"/>
      <c r="Q157" s="413"/>
      <c r="R157" s="414">
        <f>+'Feb 17'!R158</f>
        <v>0</v>
      </c>
      <c r="S157" s="415"/>
      <c r="T157" s="348"/>
    </row>
    <row r="158" spans="1:21" s="349" customFormat="1" x14ac:dyDescent="0.3">
      <c r="A158" s="412"/>
      <c r="B158" s="413" t="s">
        <v>213</v>
      </c>
      <c r="C158" s="413"/>
      <c r="D158" s="413"/>
      <c r="E158" s="413"/>
      <c r="F158" s="413"/>
      <c r="G158" s="413"/>
      <c r="H158" s="413"/>
      <c r="I158" s="413"/>
      <c r="J158" s="413"/>
      <c r="K158" s="413"/>
      <c r="L158" s="413"/>
      <c r="M158" s="413"/>
      <c r="N158" s="413"/>
      <c r="O158" s="413"/>
      <c r="P158" s="413"/>
      <c r="Q158" s="413"/>
      <c r="R158" s="414">
        <f>P86</f>
        <v>0</v>
      </c>
      <c r="S158" s="415"/>
      <c r="T158" s="348"/>
    </row>
    <row r="159" spans="1:21" s="349" customFormat="1" x14ac:dyDescent="0.3">
      <c r="A159" s="412"/>
      <c r="B159" s="413" t="s">
        <v>214</v>
      </c>
      <c r="C159" s="413"/>
      <c r="D159" s="413"/>
      <c r="E159" s="413"/>
      <c r="F159" s="413"/>
      <c r="G159" s="413"/>
      <c r="H159" s="413"/>
      <c r="I159" s="413"/>
      <c r="J159" s="413"/>
      <c r="K159" s="413"/>
      <c r="L159" s="413"/>
      <c r="M159" s="413"/>
      <c r="N159" s="413"/>
      <c r="O159" s="413"/>
      <c r="P159" s="413"/>
      <c r="Q159" s="413"/>
      <c r="R159" s="414">
        <v>0</v>
      </c>
      <c r="S159" s="415"/>
      <c r="T159" s="348"/>
    </row>
    <row r="160" spans="1:21" s="349" customFormat="1" x14ac:dyDescent="0.3">
      <c r="A160" s="412"/>
      <c r="B160" s="413" t="s">
        <v>215</v>
      </c>
      <c r="C160" s="413"/>
      <c r="D160" s="413"/>
      <c r="E160" s="413"/>
      <c r="F160" s="413"/>
      <c r="G160" s="413"/>
      <c r="H160" s="413"/>
      <c r="I160" s="413"/>
      <c r="J160" s="413"/>
      <c r="K160" s="413"/>
      <c r="L160" s="413"/>
      <c r="M160" s="413"/>
      <c r="N160" s="413"/>
      <c r="O160" s="413"/>
      <c r="P160" s="413"/>
      <c r="Q160" s="413"/>
      <c r="R160" s="414">
        <f>R157+R158+R159</f>
        <v>0</v>
      </c>
      <c r="S160" s="415"/>
      <c r="T160" s="348"/>
    </row>
    <row r="161" spans="1:252" x14ac:dyDescent="0.3">
      <c r="A161" s="249"/>
      <c r="B161" s="277"/>
      <c r="C161" s="277"/>
      <c r="D161" s="277"/>
      <c r="E161" s="277"/>
      <c r="F161" s="277"/>
      <c r="G161" s="277"/>
      <c r="H161" s="277"/>
      <c r="I161" s="277"/>
      <c r="J161" s="277"/>
      <c r="K161" s="277"/>
      <c r="L161" s="277"/>
      <c r="M161" s="277"/>
      <c r="N161" s="277"/>
      <c r="O161" s="277"/>
      <c r="P161" s="277"/>
      <c r="Q161" s="277"/>
      <c r="R161" s="297"/>
      <c r="S161" s="252"/>
      <c r="T161" s="247"/>
    </row>
    <row r="162" spans="1:252" x14ac:dyDescent="0.3">
      <c r="A162" s="249"/>
      <c r="B162" s="296" t="s">
        <v>39</v>
      </c>
      <c r="C162" s="251"/>
      <c r="D162" s="251"/>
      <c r="E162" s="251"/>
      <c r="F162" s="251"/>
      <c r="G162" s="251"/>
      <c r="H162" s="251"/>
      <c r="I162" s="251"/>
      <c r="J162" s="251"/>
      <c r="K162" s="251"/>
      <c r="L162" s="251"/>
      <c r="M162" s="251"/>
      <c r="N162" s="251"/>
      <c r="O162" s="251"/>
      <c r="P162" s="251"/>
      <c r="Q162" s="251"/>
      <c r="R162" s="300"/>
      <c r="S162" s="252"/>
      <c r="T162" s="247"/>
    </row>
    <row r="163" spans="1:252" s="349" customFormat="1" x14ac:dyDescent="0.3">
      <c r="A163" s="365"/>
      <c r="B163" s="358" t="s">
        <v>40</v>
      </c>
      <c r="C163" s="358"/>
      <c r="D163" s="358"/>
      <c r="E163" s="358"/>
      <c r="F163" s="358"/>
      <c r="G163" s="358"/>
      <c r="H163" s="358"/>
      <c r="I163" s="358"/>
      <c r="J163" s="358"/>
      <c r="K163" s="358"/>
      <c r="L163" s="358"/>
      <c r="M163" s="358"/>
      <c r="N163" s="358"/>
      <c r="O163" s="358"/>
      <c r="P163" s="358"/>
      <c r="Q163" s="358"/>
      <c r="R163" s="404">
        <v>0</v>
      </c>
      <c r="S163" s="361"/>
      <c r="T163" s="348"/>
    </row>
    <row r="164" spans="1:252" s="349" customFormat="1" x14ac:dyDescent="0.3">
      <c r="A164" s="365"/>
      <c r="B164" s="358" t="s">
        <v>41</v>
      </c>
      <c r="C164" s="358"/>
      <c r="D164" s="358"/>
      <c r="E164" s="358"/>
      <c r="F164" s="358"/>
      <c r="G164" s="358"/>
      <c r="H164" s="358"/>
      <c r="I164" s="358"/>
      <c r="J164" s="358"/>
      <c r="K164" s="358"/>
      <c r="L164" s="358"/>
      <c r="M164" s="358"/>
      <c r="N164" s="358"/>
      <c r="O164" s="358"/>
      <c r="P164" s="358"/>
      <c r="Q164" s="358"/>
      <c r="R164" s="404">
        <v>0</v>
      </c>
      <c r="S164" s="361"/>
      <c r="T164" s="348"/>
    </row>
    <row r="165" spans="1:252" s="349" customFormat="1" x14ac:dyDescent="0.3">
      <c r="A165" s="365"/>
      <c r="B165" s="358" t="s">
        <v>42</v>
      </c>
      <c r="C165" s="358"/>
      <c r="D165" s="358"/>
      <c r="E165" s="358"/>
      <c r="F165" s="358"/>
      <c r="G165" s="358"/>
      <c r="H165" s="358"/>
      <c r="I165" s="358"/>
      <c r="J165" s="358"/>
      <c r="K165" s="358"/>
      <c r="L165" s="358"/>
      <c r="M165" s="358"/>
      <c r="N165" s="358"/>
      <c r="O165" s="358"/>
      <c r="P165" s="358"/>
      <c r="Q165" s="358"/>
      <c r="R165" s="404">
        <f>R164+R163</f>
        <v>0</v>
      </c>
      <c r="S165" s="361"/>
      <c r="T165" s="348"/>
    </row>
    <row r="166" spans="1:252" s="349" customFormat="1" x14ac:dyDescent="0.3">
      <c r="A166" s="365"/>
      <c r="B166" s="358" t="s">
        <v>174</v>
      </c>
      <c r="C166" s="358"/>
      <c r="D166" s="358"/>
      <c r="E166" s="358"/>
      <c r="F166" s="358"/>
      <c r="G166" s="358"/>
      <c r="H166" s="358"/>
      <c r="I166" s="358"/>
      <c r="J166" s="358"/>
      <c r="K166" s="358"/>
      <c r="L166" s="358"/>
      <c r="M166" s="358"/>
      <c r="N166" s="358"/>
      <c r="O166" s="358"/>
      <c r="P166" s="358"/>
      <c r="Q166" s="358"/>
      <c r="R166" s="404">
        <f>R112</f>
        <v>0</v>
      </c>
      <c r="S166" s="361"/>
      <c r="T166" s="348"/>
    </row>
    <row r="167" spans="1:252" s="349" customFormat="1" x14ac:dyDescent="0.3">
      <c r="A167" s="365"/>
      <c r="B167" s="358" t="s">
        <v>43</v>
      </c>
      <c r="C167" s="358"/>
      <c r="D167" s="358"/>
      <c r="E167" s="358"/>
      <c r="F167" s="358"/>
      <c r="G167" s="358"/>
      <c r="H167" s="358"/>
      <c r="I167" s="358"/>
      <c r="J167" s="358"/>
      <c r="K167" s="358"/>
      <c r="L167" s="358"/>
      <c r="M167" s="358"/>
      <c r="N167" s="358"/>
      <c r="O167" s="358"/>
      <c r="P167" s="358"/>
      <c r="Q167" s="358"/>
      <c r="R167" s="404">
        <f>R165+R166</f>
        <v>0</v>
      </c>
      <c r="S167" s="361"/>
      <c r="T167" s="348"/>
    </row>
    <row r="168" spans="1:252" s="349" customFormat="1" x14ac:dyDescent="0.3">
      <c r="A168" s="365"/>
      <c r="B168" s="358" t="s">
        <v>150</v>
      </c>
      <c r="C168" s="358"/>
      <c r="D168" s="358"/>
      <c r="E168" s="358"/>
      <c r="F168" s="358"/>
      <c r="G168" s="358"/>
      <c r="H168" s="358"/>
      <c r="I168" s="358"/>
      <c r="J168" s="358"/>
      <c r="K168" s="358"/>
      <c r="L168" s="358"/>
      <c r="M168" s="358"/>
      <c r="N168" s="358"/>
      <c r="O168" s="358"/>
      <c r="P168" s="358"/>
      <c r="Q168" s="358"/>
      <c r="R168" s="404">
        <f>-R100</f>
        <v>0</v>
      </c>
      <c r="S168" s="361"/>
      <c r="T168" s="348"/>
    </row>
    <row r="169" spans="1:252" ht="16.2" thickBot="1" x14ac:dyDescent="0.35">
      <c r="A169" s="249"/>
      <c r="B169" s="277"/>
      <c r="C169" s="277"/>
      <c r="D169" s="277"/>
      <c r="E169" s="277"/>
      <c r="F169" s="277"/>
      <c r="G169" s="277"/>
      <c r="H169" s="277"/>
      <c r="I169" s="277"/>
      <c r="J169" s="277"/>
      <c r="K169" s="277"/>
      <c r="L169" s="277"/>
      <c r="M169" s="277"/>
      <c r="N169" s="277"/>
      <c r="O169" s="277"/>
      <c r="P169" s="277"/>
      <c r="Q169" s="277"/>
      <c r="R169" s="297"/>
      <c r="S169" s="252"/>
      <c r="T169" s="247"/>
    </row>
    <row r="170" spans="1:252" x14ac:dyDescent="0.3">
      <c r="A170" s="244"/>
      <c r="B170" s="245"/>
      <c r="C170" s="245"/>
      <c r="D170" s="245"/>
      <c r="E170" s="245"/>
      <c r="F170" s="245"/>
      <c r="G170" s="245"/>
      <c r="H170" s="245"/>
      <c r="I170" s="245"/>
      <c r="J170" s="245"/>
      <c r="K170" s="245"/>
      <c r="L170" s="245"/>
      <c r="M170" s="245"/>
      <c r="N170" s="245"/>
      <c r="O170" s="245"/>
      <c r="P170" s="245"/>
      <c r="Q170" s="245"/>
      <c r="R170" s="301"/>
      <c r="S170" s="246"/>
      <c r="T170" s="247"/>
    </row>
    <row r="171" spans="1:252" s="303" customFormat="1" x14ac:dyDescent="0.3">
      <c r="A171" s="249"/>
      <c r="B171" s="296" t="s">
        <v>204</v>
      </c>
      <c r="C171" s="277"/>
      <c r="D171" s="277"/>
      <c r="E171" s="277"/>
      <c r="F171" s="277"/>
      <c r="G171" s="277"/>
      <c r="H171" s="277"/>
      <c r="I171" s="277"/>
      <c r="J171" s="277"/>
      <c r="K171" s="277"/>
      <c r="L171" s="277"/>
      <c r="M171" s="277"/>
      <c r="N171" s="277"/>
      <c r="O171" s="277"/>
      <c r="P171" s="277"/>
      <c r="Q171" s="277"/>
      <c r="R171" s="302"/>
      <c r="S171" s="252"/>
      <c r="T171" s="247"/>
      <c r="U171" s="248"/>
      <c r="V171" s="248"/>
      <c r="W171" s="248"/>
      <c r="X171" s="248"/>
      <c r="Y171" s="248"/>
      <c r="Z171" s="248"/>
      <c r="AA171" s="248"/>
      <c r="AB171" s="248"/>
      <c r="AC171" s="248"/>
      <c r="AD171" s="248"/>
      <c r="AE171" s="248"/>
      <c r="AF171" s="248"/>
      <c r="AG171" s="248"/>
      <c r="AH171" s="248"/>
      <c r="AI171" s="248"/>
      <c r="AJ171" s="248"/>
      <c r="AK171" s="248"/>
      <c r="AL171" s="248"/>
      <c r="AM171" s="248"/>
      <c r="AN171" s="248"/>
      <c r="AO171" s="248"/>
      <c r="AP171" s="248"/>
      <c r="AQ171" s="248"/>
      <c r="AR171" s="248"/>
      <c r="AS171" s="248"/>
      <c r="AT171" s="248"/>
      <c r="AU171" s="248"/>
      <c r="AV171" s="248"/>
      <c r="AW171" s="248"/>
      <c r="AX171" s="248"/>
      <c r="AY171" s="248"/>
      <c r="AZ171" s="248"/>
      <c r="BA171" s="248"/>
      <c r="BB171" s="248"/>
      <c r="BC171" s="248"/>
      <c r="BD171" s="248"/>
      <c r="BE171" s="248"/>
      <c r="BF171" s="248"/>
      <c r="BG171" s="248"/>
      <c r="BH171" s="248"/>
      <c r="BI171" s="248"/>
      <c r="BJ171" s="248"/>
      <c r="BK171" s="248"/>
      <c r="BL171" s="248"/>
      <c r="BM171" s="248"/>
      <c r="BN171" s="248"/>
      <c r="BO171" s="248"/>
      <c r="BP171" s="248"/>
      <c r="BQ171" s="248"/>
      <c r="BR171" s="248"/>
      <c r="BS171" s="248"/>
      <c r="BT171" s="248"/>
      <c r="BU171" s="248"/>
      <c r="BV171" s="248"/>
      <c r="BW171" s="248"/>
      <c r="BX171" s="248"/>
      <c r="BY171" s="248"/>
      <c r="BZ171" s="248"/>
      <c r="CA171" s="248"/>
      <c r="CB171" s="248"/>
      <c r="CC171" s="248"/>
      <c r="CD171" s="248"/>
      <c r="CE171" s="248"/>
      <c r="CF171" s="248"/>
      <c r="CG171" s="248"/>
      <c r="CH171" s="248"/>
      <c r="CI171" s="248"/>
      <c r="CJ171" s="248"/>
      <c r="CK171" s="248"/>
      <c r="CL171" s="248"/>
      <c r="CM171" s="248"/>
      <c r="CN171" s="248"/>
      <c r="CO171" s="248"/>
      <c r="CP171" s="248"/>
      <c r="CQ171" s="248"/>
      <c r="CR171" s="248"/>
      <c r="CS171" s="248"/>
      <c r="CT171" s="248"/>
      <c r="CU171" s="248"/>
      <c r="CV171" s="248"/>
      <c r="CW171" s="248"/>
      <c r="CX171" s="248"/>
      <c r="CY171" s="248"/>
      <c r="CZ171" s="248"/>
      <c r="DA171" s="248"/>
      <c r="DB171" s="248"/>
      <c r="DC171" s="248"/>
      <c r="DD171" s="248"/>
      <c r="DE171" s="248"/>
      <c r="DF171" s="248"/>
      <c r="DG171" s="248"/>
      <c r="DH171" s="248"/>
      <c r="DI171" s="248"/>
      <c r="DJ171" s="248"/>
      <c r="DK171" s="248"/>
      <c r="DL171" s="248"/>
      <c r="DM171" s="248"/>
      <c r="DN171" s="248"/>
      <c r="DO171" s="248"/>
      <c r="DP171" s="248"/>
      <c r="DQ171" s="248"/>
      <c r="DR171" s="248"/>
      <c r="DS171" s="248"/>
      <c r="DT171" s="248"/>
      <c r="DU171" s="248"/>
      <c r="DV171" s="248"/>
      <c r="DW171" s="248"/>
      <c r="DX171" s="248"/>
      <c r="DY171" s="248"/>
      <c r="DZ171" s="248"/>
      <c r="EA171" s="248"/>
      <c r="EB171" s="248"/>
      <c r="EC171" s="248"/>
      <c r="ED171" s="248"/>
      <c r="EE171" s="248"/>
      <c r="EF171" s="248"/>
      <c r="EG171" s="248"/>
      <c r="EH171" s="248"/>
      <c r="EI171" s="248"/>
      <c r="EJ171" s="248"/>
      <c r="EK171" s="248"/>
      <c r="EL171" s="248"/>
      <c r="EM171" s="248"/>
      <c r="EN171" s="248"/>
      <c r="EO171" s="248"/>
      <c r="EP171" s="248"/>
      <c r="EQ171" s="248"/>
      <c r="ER171" s="248"/>
      <c r="ES171" s="248"/>
      <c r="ET171" s="248"/>
      <c r="EU171" s="248"/>
      <c r="EV171" s="248"/>
      <c r="EW171" s="248"/>
      <c r="EX171" s="248"/>
      <c r="EY171" s="248"/>
      <c r="EZ171" s="248"/>
      <c r="FA171" s="248"/>
      <c r="FB171" s="248"/>
      <c r="FC171" s="248"/>
      <c r="FD171" s="248"/>
      <c r="FE171" s="248"/>
      <c r="FF171" s="248"/>
      <c r="FG171" s="248"/>
      <c r="FH171" s="248"/>
      <c r="FI171" s="248"/>
      <c r="FJ171" s="248"/>
      <c r="FK171" s="248"/>
      <c r="FL171" s="248"/>
      <c r="FM171" s="248"/>
      <c r="FN171" s="248"/>
      <c r="FO171" s="248"/>
      <c r="FP171" s="248"/>
      <c r="FQ171" s="248"/>
      <c r="FR171" s="248"/>
      <c r="FS171" s="248"/>
      <c r="FT171" s="248"/>
      <c r="FU171" s="248"/>
      <c r="FV171" s="248"/>
      <c r="FW171" s="248"/>
      <c r="FX171" s="248"/>
      <c r="FY171" s="248"/>
      <c r="FZ171" s="248"/>
      <c r="GA171" s="248"/>
      <c r="GB171" s="248"/>
      <c r="GC171" s="248"/>
      <c r="GD171" s="248"/>
      <c r="GE171" s="248"/>
      <c r="GF171" s="248"/>
      <c r="GG171" s="248"/>
      <c r="GH171" s="248"/>
      <c r="GI171" s="248"/>
      <c r="GJ171" s="248"/>
      <c r="GK171" s="248"/>
      <c r="GL171" s="248"/>
      <c r="GM171" s="248"/>
      <c r="GN171" s="248"/>
      <c r="GO171" s="248"/>
      <c r="GP171" s="248"/>
      <c r="GQ171" s="248"/>
      <c r="GR171" s="248"/>
      <c r="GS171" s="248"/>
      <c r="GT171" s="248"/>
      <c r="GU171" s="248"/>
      <c r="GV171" s="248"/>
      <c r="GW171" s="248"/>
      <c r="GX171" s="248"/>
      <c r="GY171" s="248"/>
      <c r="GZ171" s="248"/>
      <c r="HA171" s="248"/>
      <c r="HB171" s="248"/>
      <c r="HC171" s="248"/>
      <c r="HD171" s="248"/>
      <c r="HE171" s="248"/>
      <c r="HF171" s="248"/>
      <c r="HG171" s="248"/>
      <c r="HH171" s="248"/>
      <c r="HI171" s="248"/>
      <c r="HJ171" s="248"/>
      <c r="HK171" s="248"/>
      <c r="HL171" s="248"/>
      <c r="HM171" s="248"/>
      <c r="HN171" s="248"/>
      <c r="HO171" s="248"/>
      <c r="HP171" s="248"/>
      <c r="HQ171" s="248"/>
      <c r="HR171" s="248"/>
      <c r="HS171" s="248"/>
      <c r="HT171" s="248"/>
      <c r="HU171" s="248"/>
      <c r="HV171" s="248"/>
      <c r="HW171" s="248"/>
      <c r="HX171" s="248"/>
      <c r="HY171" s="248"/>
      <c r="HZ171" s="248"/>
      <c r="IA171" s="248"/>
      <c r="IB171" s="248"/>
      <c r="IC171" s="248"/>
      <c r="ID171" s="248"/>
      <c r="IE171" s="248"/>
      <c r="IF171" s="248"/>
      <c r="IG171" s="248"/>
      <c r="IH171" s="248"/>
      <c r="II171" s="248"/>
      <c r="IJ171" s="248"/>
      <c r="IK171" s="248"/>
      <c r="IL171" s="248"/>
      <c r="IM171" s="248"/>
      <c r="IN171" s="248"/>
      <c r="IO171" s="248"/>
      <c r="IP171" s="248"/>
      <c r="IQ171" s="248"/>
      <c r="IR171" s="248"/>
    </row>
    <row r="172" spans="1:252" s="416" customFormat="1" x14ac:dyDescent="0.3">
      <c r="A172" s="365"/>
      <c r="B172" s="358" t="s">
        <v>141</v>
      </c>
      <c r="C172" s="358"/>
      <c r="D172" s="358"/>
      <c r="E172" s="358"/>
      <c r="F172" s="358"/>
      <c r="G172" s="358"/>
      <c r="H172" s="358"/>
      <c r="I172" s="358"/>
      <c r="J172" s="358"/>
      <c r="K172" s="358"/>
      <c r="L172" s="358"/>
      <c r="M172" s="358"/>
      <c r="N172" s="358"/>
      <c r="O172" s="358"/>
      <c r="P172" s="358"/>
      <c r="Q172" s="358"/>
      <c r="R172" s="404">
        <f>+'Feb 19'!R173</f>
        <v>646</v>
      </c>
      <c r="S172" s="361"/>
      <c r="T172" s="348"/>
      <c r="U172" s="349"/>
      <c r="V172" s="349"/>
      <c r="W172" s="349"/>
      <c r="X172" s="349"/>
      <c r="Y172" s="349"/>
      <c r="Z172" s="349"/>
      <c r="AA172" s="349"/>
      <c r="AB172" s="349"/>
      <c r="AC172" s="349"/>
      <c r="AD172" s="349"/>
      <c r="AE172" s="349"/>
      <c r="AF172" s="349"/>
      <c r="AG172" s="349"/>
      <c r="AH172" s="349"/>
      <c r="AI172" s="349"/>
      <c r="AJ172" s="349"/>
      <c r="AK172" s="349"/>
      <c r="AL172" s="349"/>
      <c r="AM172" s="349"/>
      <c r="AN172" s="349"/>
      <c r="AO172" s="349"/>
      <c r="AP172" s="349"/>
      <c r="AQ172" s="349"/>
      <c r="AR172" s="349"/>
      <c r="AS172" s="349"/>
      <c r="AT172" s="349"/>
      <c r="AU172" s="349"/>
      <c r="AV172" s="349"/>
      <c r="AW172" s="349"/>
      <c r="AX172" s="349"/>
      <c r="AY172" s="349"/>
      <c r="AZ172" s="349"/>
      <c r="BA172" s="349"/>
      <c r="BB172" s="349"/>
      <c r="BC172" s="349"/>
      <c r="BD172" s="349"/>
      <c r="BE172" s="349"/>
      <c r="BF172" s="349"/>
      <c r="BG172" s="349"/>
      <c r="BH172" s="349"/>
      <c r="BI172" s="349"/>
      <c r="BJ172" s="349"/>
      <c r="BK172" s="349"/>
      <c r="BL172" s="349"/>
      <c r="BM172" s="349"/>
      <c r="BN172" s="349"/>
      <c r="BO172" s="349"/>
      <c r="BP172" s="349"/>
      <c r="BQ172" s="349"/>
      <c r="BR172" s="349"/>
      <c r="BS172" s="349"/>
      <c r="BT172" s="349"/>
      <c r="BU172" s="349"/>
      <c r="BV172" s="349"/>
      <c r="BW172" s="349"/>
      <c r="BX172" s="349"/>
      <c r="BY172" s="349"/>
      <c r="BZ172" s="349"/>
      <c r="CA172" s="349"/>
      <c r="CB172" s="349"/>
      <c r="CC172" s="349"/>
      <c r="CD172" s="349"/>
      <c r="CE172" s="349"/>
      <c r="CF172" s="349"/>
      <c r="CG172" s="349"/>
      <c r="CH172" s="349"/>
      <c r="CI172" s="349"/>
      <c r="CJ172" s="349"/>
      <c r="CK172" s="349"/>
      <c r="CL172" s="349"/>
      <c r="CM172" s="349"/>
      <c r="CN172" s="349"/>
      <c r="CO172" s="349"/>
      <c r="CP172" s="349"/>
      <c r="CQ172" s="349"/>
      <c r="CR172" s="349"/>
      <c r="CS172" s="349"/>
      <c r="CT172" s="349"/>
      <c r="CU172" s="349"/>
      <c r="CV172" s="349"/>
      <c r="CW172" s="349"/>
      <c r="CX172" s="349"/>
      <c r="CY172" s="349"/>
      <c r="CZ172" s="349"/>
      <c r="DA172" s="349"/>
      <c r="DB172" s="349"/>
      <c r="DC172" s="349"/>
      <c r="DD172" s="349"/>
      <c r="DE172" s="349"/>
      <c r="DF172" s="349"/>
      <c r="DG172" s="349"/>
      <c r="DH172" s="349"/>
      <c r="DI172" s="349"/>
      <c r="DJ172" s="349"/>
      <c r="DK172" s="349"/>
      <c r="DL172" s="349"/>
      <c r="DM172" s="349"/>
      <c r="DN172" s="349"/>
      <c r="DO172" s="349"/>
      <c r="DP172" s="349"/>
      <c r="DQ172" s="349"/>
      <c r="DR172" s="349"/>
      <c r="DS172" s="349"/>
      <c r="DT172" s="349"/>
      <c r="DU172" s="349"/>
      <c r="DV172" s="349"/>
      <c r="DW172" s="349"/>
      <c r="DX172" s="349"/>
      <c r="DY172" s="349"/>
      <c r="DZ172" s="349"/>
      <c r="EA172" s="349"/>
      <c r="EB172" s="349"/>
      <c r="EC172" s="349"/>
      <c r="ED172" s="349"/>
      <c r="EE172" s="349"/>
      <c r="EF172" s="349"/>
      <c r="EG172" s="349"/>
      <c r="EH172" s="349"/>
      <c r="EI172" s="349"/>
      <c r="EJ172" s="349"/>
      <c r="EK172" s="349"/>
      <c r="EL172" s="349"/>
      <c r="EM172" s="349"/>
      <c r="EN172" s="349"/>
      <c r="EO172" s="349"/>
      <c r="EP172" s="349"/>
      <c r="EQ172" s="349"/>
      <c r="ER172" s="349"/>
      <c r="ES172" s="349"/>
      <c r="ET172" s="349"/>
      <c r="EU172" s="349"/>
      <c r="EV172" s="349"/>
      <c r="EW172" s="349"/>
      <c r="EX172" s="349"/>
      <c r="EY172" s="349"/>
      <c r="EZ172" s="349"/>
      <c r="FA172" s="349"/>
      <c r="FB172" s="349"/>
      <c r="FC172" s="349"/>
      <c r="FD172" s="349"/>
      <c r="FE172" s="349"/>
      <c r="FF172" s="349"/>
      <c r="FG172" s="349"/>
      <c r="FH172" s="349"/>
      <c r="FI172" s="349"/>
      <c r="FJ172" s="349"/>
      <c r="FK172" s="349"/>
      <c r="FL172" s="349"/>
      <c r="FM172" s="349"/>
      <c r="FN172" s="349"/>
      <c r="FO172" s="349"/>
      <c r="FP172" s="349"/>
      <c r="FQ172" s="349"/>
      <c r="FR172" s="349"/>
      <c r="FS172" s="349"/>
      <c r="FT172" s="349"/>
      <c r="FU172" s="349"/>
      <c r="FV172" s="349"/>
      <c r="FW172" s="349"/>
      <c r="FX172" s="349"/>
      <c r="FY172" s="349"/>
      <c r="FZ172" s="349"/>
      <c r="GA172" s="349"/>
      <c r="GB172" s="349"/>
      <c r="GC172" s="349"/>
      <c r="GD172" s="349"/>
      <c r="GE172" s="349"/>
      <c r="GF172" s="349"/>
      <c r="GG172" s="349"/>
      <c r="GH172" s="349"/>
      <c r="GI172" s="349"/>
      <c r="GJ172" s="349"/>
      <c r="GK172" s="349"/>
      <c r="GL172" s="349"/>
      <c r="GM172" s="349"/>
      <c r="GN172" s="349"/>
      <c r="GO172" s="349"/>
      <c r="GP172" s="349"/>
      <c r="GQ172" s="349"/>
      <c r="GR172" s="349"/>
      <c r="GS172" s="349"/>
      <c r="GT172" s="349"/>
      <c r="GU172" s="349"/>
      <c r="GV172" s="349"/>
      <c r="GW172" s="349"/>
      <c r="GX172" s="349"/>
      <c r="GY172" s="349"/>
      <c r="GZ172" s="349"/>
      <c r="HA172" s="349"/>
      <c r="HB172" s="349"/>
      <c r="HC172" s="349"/>
      <c r="HD172" s="349"/>
      <c r="HE172" s="349"/>
      <c r="HF172" s="349"/>
      <c r="HG172" s="349"/>
      <c r="HH172" s="349"/>
      <c r="HI172" s="349"/>
      <c r="HJ172" s="349"/>
      <c r="HK172" s="349"/>
      <c r="HL172" s="349"/>
      <c r="HM172" s="349"/>
      <c r="HN172" s="349"/>
      <c r="HO172" s="349"/>
      <c r="HP172" s="349"/>
      <c r="HQ172" s="349"/>
      <c r="HR172" s="349"/>
      <c r="HS172" s="349"/>
      <c r="HT172" s="349"/>
      <c r="HU172" s="349"/>
      <c r="HV172" s="349"/>
      <c r="HW172" s="349"/>
      <c r="HX172" s="349"/>
      <c r="HY172" s="349"/>
      <c r="HZ172" s="349"/>
      <c r="IA172" s="349"/>
      <c r="IB172" s="349"/>
      <c r="IC172" s="349"/>
      <c r="ID172" s="349"/>
      <c r="IE172" s="349"/>
      <c r="IF172" s="349"/>
      <c r="IG172" s="349"/>
      <c r="IH172" s="349"/>
      <c r="II172" s="349"/>
      <c r="IJ172" s="349"/>
      <c r="IK172" s="349"/>
      <c r="IL172" s="349"/>
      <c r="IM172" s="349"/>
      <c r="IN172" s="349"/>
      <c r="IO172" s="349"/>
      <c r="IP172" s="349"/>
      <c r="IQ172" s="349"/>
      <c r="IR172" s="349"/>
    </row>
    <row r="173" spans="1:252" s="416" customFormat="1" x14ac:dyDescent="0.3">
      <c r="A173" s="365"/>
      <c r="B173" s="358" t="s">
        <v>288</v>
      </c>
      <c r="C173" s="358"/>
      <c r="D173" s="358"/>
      <c r="E173" s="358"/>
      <c r="F173" s="358"/>
      <c r="G173" s="358"/>
      <c r="H173" s="358"/>
      <c r="I173" s="358"/>
      <c r="J173" s="358"/>
      <c r="K173" s="358"/>
      <c r="L173" s="358"/>
      <c r="M173" s="358"/>
      <c r="N173" s="358"/>
      <c r="O173" s="358"/>
      <c r="P173" s="358"/>
      <c r="Q173" s="358"/>
      <c r="R173" s="404">
        <v>0</v>
      </c>
      <c r="S173" s="361"/>
      <c r="T173" s="348"/>
      <c r="U173" s="349"/>
      <c r="V173" s="349"/>
      <c r="W173" s="349"/>
      <c r="X173" s="349"/>
      <c r="Y173" s="349"/>
      <c r="Z173" s="349"/>
      <c r="AA173" s="349"/>
      <c r="AB173" s="349"/>
      <c r="AC173" s="349"/>
      <c r="AD173" s="349"/>
      <c r="AE173" s="349"/>
      <c r="AF173" s="349"/>
      <c r="AG173" s="349"/>
      <c r="AH173" s="349"/>
      <c r="AI173" s="349"/>
      <c r="AJ173" s="349"/>
      <c r="AK173" s="349"/>
      <c r="AL173" s="349"/>
      <c r="AM173" s="349"/>
      <c r="AN173" s="349"/>
      <c r="AO173" s="349"/>
      <c r="AP173" s="349"/>
      <c r="AQ173" s="349"/>
      <c r="AR173" s="349"/>
      <c r="AS173" s="349"/>
      <c r="AT173" s="349"/>
      <c r="AU173" s="349"/>
      <c r="AV173" s="349"/>
      <c r="AW173" s="349"/>
      <c r="AX173" s="349"/>
      <c r="AY173" s="349"/>
      <c r="AZ173" s="349"/>
      <c r="BA173" s="349"/>
      <c r="BB173" s="349"/>
      <c r="BC173" s="349"/>
      <c r="BD173" s="349"/>
      <c r="BE173" s="349"/>
      <c r="BF173" s="349"/>
      <c r="BG173" s="349"/>
      <c r="BH173" s="349"/>
      <c r="BI173" s="349"/>
      <c r="BJ173" s="349"/>
      <c r="BK173" s="349"/>
      <c r="BL173" s="349"/>
      <c r="BM173" s="349"/>
      <c r="BN173" s="349"/>
      <c r="BO173" s="349"/>
      <c r="BP173" s="349"/>
      <c r="BQ173" s="349"/>
      <c r="BR173" s="349"/>
      <c r="BS173" s="349"/>
      <c r="BT173" s="349"/>
      <c r="BU173" s="349"/>
      <c r="BV173" s="349"/>
      <c r="BW173" s="349"/>
      <c r="BX173" s="349"/>
      <c r="BY173" s="349"/>
      <c r="BZ173" s="349"/>
      <c r="CA173" s="349"/>
      <c r="CB173" s="349"/>
      <c r="CC173" s="349"/>
      <c r="CD173" s="349"/>
      <c r="CE173" s="349"/>
      <c r="CF173" s="349"/>
      <c r="CG173" s="349"/>
      <c r="CH173" s="349"/>
      <c r="CI173" s="349"/>
      <c r="CJ173" s="349"/>
      <c r="CK173" s="349"/>
      <c r="CL173" s="349"/>
      <c r="CM173" s="349"/>
      <c r="CN173" s="349"/>
      <c r="CO173" s="349"/>
      <c r="CP173" s="349"/>
      <c r="CQ173" s="349"/>
      <c r="CR173" s="349"/>
      <c r="CS173" s="349"/>
      <c r="CT173" s="349"/>
      <c r="CU173" s="349"/>
      <c r="CV173" s="349"/>
      <c r="CW173" s="349"/>
      <c r="CX173" s="349"/>
      <c r="CY173" s="349"/>
      <c r="CZ173" s="349"/>
      <c r="DA173" s="349"/>
      <c r="DB173" s="349"/>
      <c r="DC173" s="349"/>
      <c r="DD173" s="349"/>
      <c r="DE173" s="349"/>
      <c r="DF173" s="349"/>
      <c r="DG173" s="349"/>
      <c r="DH173" s="349"/>
      <c r="DI173" s="349"/>
      <c r="DJ173" s="349"/>
      <c r="DK173" s="349"/>
      <c r="DL173" s="349"/>
      <c r="DM173" s="349"/>
      <c r="DN173" s="349"/>
      <c r="DO173" s="349"/>
      <c r="DP173" s="349"/>
      <c r="DQ173" s="349"/>
      <c r="DR173" s="349"/>
      <c r="DS173" s="349"/>
      <c r="DT173" s="349"/>
      <c r="DU173" s="349"/>
      <c r="DV173" s="349"/>
      <c r="DW173" s="349"/>
      <c r="DX173" s="349"/>
      <c r="DY173" s="349"/>
      <c r="DZ173" s="349"/>
      <c r="EA173" s="349"/>
      <c r="EB173" s="349"/>
      <c r="EC173" s="349"/>
      <c r="ED173" s="349"/>
      <c r="EE173" s="349"/>
      <c r="EF173" s="349"/>
      <c r="EG173" s="349"/>
      <c r="EH173" s="349"/>
      <c r="EI173" s="349"/>
      <c r="EJ173" s="349"/>
      <c r="EK173" s="349"/>
      <c r="EL173" s="349"/>
      <c r="EM173" s="349"/>
      <c r="EN173" s="349"/>
      <c r="EO173" s="349"/>
      <c r="EP173" s="349"/>
      <c r="EQ173" s="349"/>
      <c r="ER173" s="349"/>
      <c r="ES173" s="349"/>
      <c r="ET173" s="349"/>
      <c r="EU173" s="349"/>
      <c r="EV173" s="349"/>
      <c r="EW173" s="349"/>
      <c r="EX173" s="349"/>
      <c r="EY173" s="349"/>
      <c r="EZ173" s="349"/>
      <c r="FA173" s="349"/>
      <c r="FB173" s="349"/>
      <c r="FC173" s="349"/>
      <c r="FD173" s="349"/>
      <c r="FE173" s="349"/>
      <c r="FF173" s="349"/>
      <c r="FG173" s="349"/>
      <c r="FH173" s="349"/>
      <c r="FI173" s="349"/>
      <c r="FJ173" s="349"/>
      <c r="FK173" s="349"/>
      <c r="FL173" s="349"/>
      <c r="FM173" s="349"/>
      <c r="FN173" s="349"/>
      <c r="FO173" s="349"/>
      <c r="FP173" s="349"/>
      <c r="FQ173" s="349"/>
      <c r="FR173" s="349"/>
      <c r="FS173" s="349"/>
      <c r="FT173" s="349"/>
      <c r="FU173" s="349"/>
      <c r="FV173" s="349"/>
      <c r="FW173" s="349"/>
      <c r="FX173" s="349"/>
      <c r="FY173" s="349"/>
      <c r="FZ173" s="349"/>
      <c r="GA173" s="349"/>
      <c r="GB173" s="349"/>
      <c r="GC173" s="349"/>
      <c r="GD173" s="349"/>
      <c r="GE173" s="349"/>
      <c r="GF173" s="349"/>
      <c r="GG173" s="349"/>
      <c r="GH173" s="349"/>
      <c r="GI173" s="349"/>
      <c r="GJ173" s="349"/>
      <c r="GK173" s="349"/>
      <c r="GL173" s="349"/>
      <c r="GM173" s="349"/>
      <c r="GN173" s="349"/>
      <c r="GO173" s="349"/>
      <c r="GP173" s="349"/>
      <c r="GQ173" s="349"/>
      <c r="GR173" s="349"/>
      <c r="GS173" s="349"/>
      <c r="GT173" s="349"/>
      <c r="GU173" s="349"/>
      <c r="GV173" s="349"/>
      <c r="GW173" s="349"/>
      <c r="GX173" s="349"/>
      <c r="GY173" s="349"/>
      <c r="GZ173" s="349"/>
      <c r="HA173" s="349"/>
      <c r="HB173" s="349"/>
      <c r="HC173" s="349"/>
      <c r="HD173" s="349"/>
      <c r="HE173" s="349"/>
      <c r="HF173" s="349"/>
      <c r="HG173" s="349"/>
      <c r="HH173" s="349"/>
      <c r="HI173" s="349"/>
      <c r="HJ173" s="349"/>
      <c r="HK173" s="349"/>
      <c r="HL173" s="349"/>
      <c r="HM173" s="349"/>
      <c r="HN173" s="349"/>
      <c r="HO173" s="349"/>
      <c r="HP173" s="349"/>
      <c r="HQ173" s="349"/>
      <c r="HR173" s="349"/>
      <c r="HS173" s="349"/>
      <c r="HT173" s="349"/>
      <c r="HU173" s="349"/>
      <c r="HV173" s="349"/>
      <c r="HW173" s="349"/>
      <c r="HX173" s="349"/>
      <c r="HY173" s="349"/>
      <c r="HZ173" s="349"/>
      <c r="IA173" s="349"/>
      <c r="IB173" s="349"/>
      <c r="IC173" s="349"/>
      <c r="ID173" s="349"/>
      <c r="IE173" s="349"/>
      <c r="IF173" s="349"/>
      <c r="IG173" s="349"/>
      <c r="IH173" s="349"/>
      <c r="II173" s="349"/>
      <c r="IJ173" s="349"/>
      <c r="IK173" s="349"/>
      <c r="IL173" s="349"/>
      <c r="IM173" s="349"/>
      <c r="IN173" s="349"/>
      <c r="IO173" s="349"/>
      <c r="IP173" s="349"/>
      <c r="IQ173" s="349"/>
      <c r="IR173" s="349"/>
    </row>
    <row r="174" spans="1:252" s="416" customFormat="1" x14ac:dyDescent="0.3">
      <c r="A174" s="365"/>
      <c r="B174" s="358" t="s">
        <v>144</v>
      </c>
      <c r="C174" s="358"/>
      <c r="D174" s="358"/>
      <c r="E174" s="358"/>
      <c r="F174" s="358"/>
      <c r="G174" s="358"/>
      <c r="H174" s="358"/>
      <c r="I174" s="358"/>
      <c r="J174" s="358"/>
      <c r="K174" s="358"/>
      <c r="L174" s="358"/>
      <c r="M174" s="358"/>
      <c r="N174" s="358"/>
      <c r="O174" s="358"/>
      <c r="P174" s="358"/>
      <c r="Q174" s="358"/>
      <c r="R174" s="404">
        <f>+R92</f>
        <v>646</v>
      </c>
      <c r="S174" s="361"/>
      <c r="T174" s="348"/>
      <c r="U174" s="349"/>
      <c r="V174" s="349"/>
      <c r="W174" s="349"/>
      <c r="X174" s="349"/>
      <c r="Y174" s="349"/>
      <c r="Z174" s="349"/>
      <c r="AA174" s="349"/>
      <c r="AB174" s="349"/>
      <c r="AC174" s="349"/>
      <c r="AD174" s="349"/>
      <c r="AE174" s="349"/>
      <c r="AF174" s="349"/>
      <c r="AG174" s="349"/>
      <c r="AH174" s="349"/>
      <c r="AI174" s="349"/>
      <c r="AJ174" s="349"/>
      <c r="AK174" s="349"/>
      <c r="AL174" s="349"/>
      <c r="AM174" s="349"/>
      <c r="AN174" s="349"/>
      <c r="AO174" s="349"/>
      <c r="AP174" s="349"/>
      <c r="AQ174" s="349"/>
      <c r="AR174" s="349"/>
      <c r="AS174" s="349"/>
      <c r="AT174" s="349"/>
      <c r="AU174" s="349"/>
      <c r="AV174" s="349"/>
      <c r="AW174" s="349"/>
      <c r="AX174" s="349"/>
      <c r="AY174" s="349"/>
      <c r="AZ174" s="349"/>
      <c r="BA174" s="349"/>
      <c r="BB174" s="349"/>
      <c r="BC174" s="349"/>
      <c r="BD174" s="349"/>
      <c r="BE174" s="349"/>
      <c r="BF174" s="349"/>
      <c r="BG174" s="349"/>
      <c r="BH174" s="349"/>
      <c r="BI174" s="349"/>
      <c r="BJ174" s="349"/>
      <c r="BK174" s="349"/>
      <c r="BL174" s="349"/>
      <c r="BM174" s="349"/>
      <c r="BN174" s="349"/>
      <c r="BO174" s="349"/>
      <c r="BP174" s="349"/>
      <c r="BQ174" s="349"/>
      <c r="BR174" s="349"/>
      <c r="BS174" s="349"/>
      <c r="BT174" s="349"/>
      <c r="BU174" s="349"/>
      <c r="BV174" s="349"/>
      <c r="BW174" s="349"/>
      <c r="BX174" s="349"/>
      <c r="BY174" s="349"/>
      <c r="BZ174" s="349"/>
      <c r="CA174" s="349"/>
      <c r="CB174" s="349"/>
      <c r="CC174" s="349"/>
      <c r="CD174" s="349"/>
      <c r="CE174" s="349"/>
      <c r="CF174" s="349"/>
      <c r="CG174" s="349"/>
      <c r="CH174" s="349"/>
      <c r="CI174" s="349"/>
      <c r="CJ174" s="349"/>
      <c r="CK174" s="349"/>
      <c r="CL174" s="349"/>
      <c r="CM174" s="349"/>
      <c r="CN174" s="349"/>
      <c r="CO174" s="349"/>
      <c r="CP174" s="349"/>
      <c r="CQ174" s="349"/>
      <c r="CR174" s="349"/>
      <c r="CS174" s="349"/>
      <c r="CT174" s="349"/>
      <c r="CU174" s="349"/>
      <c r="CV174" s="349"/>
      <c r="CW174" s="349"/>
      <c r="CX174" s="349"/>
      <c r="CY174" s="349"/>
      <c r="CZ174" s="349"/>
      <c r="DA174" s="349"/>
      <c r="DB174" s="349"/>
      <c r="DC174" s="349"/>
      <c r="DD174" s="349"/>
      <c r="DE174" s="349"/>
      <c r="DF174" s="349"/>
      <c r="DG174" s="349"/>
      <c r="DH174" s="349"/>
      <c r="DI174" s="349"/>
      <c r="DJ174" s="349"/>
      <c r="DK174" s="349"/>
      <c r="DL174" s="349"/>
      <c r="DM174" s="349"/>
      <c r="DN174" s="349"/>
      <c r="DO174" s="349"/>
      <c r="DP174" s="349"/>
      <c r="DQ174" s="349"/>
      <c r="DR174" s="349"/>
      <c r="DS174" s="349"/>
      <c r="DT174" s="349"/>
      <c r="DU174" s="349"/>
      <c r="DV174" s="349"/>
      <c r="DW174" s="349"/>
      <c r="DX174" s="349"/>
      <c r="DY174" s="349"/>
      <c r="DZ174" s="349"/>
      <c r="EA174" s="349"/>
      <c r="EB174" s="349"/>
      <c r="EC174" s="349"/>
      <c r="ED174" s="349"/>
      <c r="EE174" s="349"/>
      <c r="EF174" s="349"/>
      <c r="EG174" s="349"/>
      <c r="EH174" s="349"/>
      <c r="EI174" s="349"/>
      <c r="EJ174" s="349"/>
      <c r="EK174" s="349"/>
      <c r="EL174" s="349"/>
      <c r="EM174" s="349"/>
      <c r="EN174" s="349"/>
      <c r="EO174" s="349"/>
      <c r="EP174" s="349"/>
      <c r="EQ174" s="349"/>
      <c r="ER174" s="349"/>
      <c r="ES174" s="349"/>
      <c r="ET174" s="349"/>
      <c r="EU174" s="349"/>
      <c r="EV174" s="349"/>
      <c r="EW174" s="349"/>
      <c r="EX174" s="349"/>
      <c r="EY174" s="349"/>
      <c r="EZ174" s="349"/>
      <c r="FA174" s="349"/>
      <c r="FB174" s="349"/>
      <c r="FC174" s="349"/>
      <c r="FD174" s="349"/>
      <c r="FE174" s="349"/>
      <c r="FF174" s="349"/>
      <c r="FG174" s="349"/>
      <c r="FH174" s="349"/>
      <c r="FI174" s="349"/>
      <c r="FJ174" s="349"/>
      <c r="FK174" s="349"/>
      <c r="FL174" s="349"/>
      <c r="FM174" s="349"/>
      <c r="FN174" s="349"/>
      <c r="FO174" s="349"/>
      <c r="FP174" s="349"/>
      <c r="FQ174" s="349"/>
      <c r="FR174" s="349"/>
      <c r="FS174" s="349"/>
      <c r="FT174" s="349"/>
      <c r="FU174" s="349"/>
      <c r="FV174" s="349"/>
      <c r="FW174" s="349"/>
      <c r="FX174" s="349"/>
      <c r="FY174" s="349"/>
      <c r="FZ174" s="349"/>
      <c r="GA174" s="349"/>
      <c r="GB174" s="349"/>
      <c r="GC174" s="349"/>
      <c r="GD174" s="349"/>
      <c r="GE174" s="349"/>
      <c r="GF174" s="349"/>
      <c r="GG174" s="349"/>
      <c r="GH174" s="349"/>
      <c r="GI174" s="349"/>
      <c r="GJ174" s="349"/>
      <c r="GK174" s="349"/>
      <c r="GL174" s="349"/>
      <c r="GM174" s="349"/>
      <c r="GN174" s="349"/>
      <c r="GO174" s="349"/>
      <c r="GP174" s="349"/>
      <c r="GQ174" s="349"/>
      <c r="GR174" s="349"/>
      <c r="GS174" s="349"/>
      <c r="GT174" s="349"/>
      <c r="GU174" s="349"/>
      <c r="GV174" s="349"/>
      <c r="GW174" s="349"/>
      <c r="GX174" s="349"/>
      <c r="GY174" s="349"/>
      <c r="GZ174" s="349"/>
      <c r="HA174" s="349"/>
      <c r="HB174" s="349"/>
      <c r="HC174" s="349"/>
      <c r="HD174" s="349"/>
      <c r="HE174" s="349"/>
      <c r="HF174" s="349"/>
      <c r="HG174" s="349"/>
      <c r="HH174" s="349"/>
      <c r="HI174" s="349"/>
      <c r="HJ174" s="349"/>
      <c r="HK174" s="349"/>
      <c r="HL174" s="349"/>
      <c r="HM174" s="349"/>
      <c r="HN174" s="349"/>
      <c r="HO174" s="349"/>
      <c r="HP174" s="349"/>
      <c r="HQ174" s="349"/>
      <c r="HR174" s="349"/>
      <c r="HS174" s="349"/>
      <c r="HT174" s="349"/>
      <c r="HU174" s="349"/>
      <c r="HV174" s="349"/>
      <c r="HW174" s="349"/>
      <c r="HX174" s="349"/>
      <c r="HY174" s="349"/>
      <c r="HZ174" s="349"/>
      <c r="IA174" s="349"/>
      <c r="IB174" s="349"/>
      <c r="IC174" s="349"/>
      <c r="ID174" s="349"/>
      <c r="IE174" s="349"/>
      <c r="IF174" s="349"/>
      <c r="IG174" s="349"/>
      <c r="IH174" s="349"/>
      <c r="II174" s="349"/>
      <c r="IJ174" s="349"/>
      <c r="IK174" s="349"/>
      <c r="IL174" s="349"/>
      <c r="IM174" s="349"/>
      <c r="IN174" s="349"/>
      <c r="IO174" s="349"/>
      <c r="IP174" s="349"/>
      <c r="IQ174" s="349"/>
      <c r="IR174" s="349"/>
    </row>
    <row r="175" spans="1:252" s="416" customFormat="1" x14ac:dyDescent="0.3">
      <c r="A175" s="365"/>
      <c r="B175" s="358" t="s">
        <v>142</v>
      </c>
      <c r="C175" s="358"/>
      <c r="D175" s="358"/>
      <c r="E175" s="358"/>
      <c r="F175" s="358"/>
      <c r="G175" s="358"/>
      <c r="H175" s="358"/>
      <c r="I175" s="358"/>
      <c r="J175" s="358"/>
      <c r="K175" s="358"/>
      <c r="L175" s="358"/>
      <c r="M175" s="358"/>
      <c r="N175" s="358"/>
      <c r="O175" s="358"/>
      <c r="P175" s="358"/>
      <c r="Q175" s="358"/>
      <c r="R175" s="404">
        <f>R172+R173-R174</f>
        <v>0</v>
      </c>
      <c r="S175" s="361"/>
      <c r="T175" s="348"/>
      <c r="U175" s="349"/>
      <c r="V175" s="349"/>
      <c r="W175" s="349"/>
      <c r="X175" s="349"/>
      <c r="Y175" s="349"/>
      <c r="Z175" s="349"/>
      <c r="AA175" s="349"/>
      <c r="AB175" s="349"/>
      <c r="AC175" s="349"/>
      <c r="AD175" s="349"/>
      <c r="AE175" s="349"/>
      <c r="AF175" s="349"/>
      <c r="AG175" s="349"/>
      <c r="AH175" s="349"/>
      <c r="AI175" s="349"/>
      <c r="AJ175" s="349"/>
      <c r="AK175" s="349"/>
      <c r="AL175" s="349"/>
      <c r="AM175" s="349"/>
      <c r="AN175" s="349"/>
      <c r="AO175" s="349"/>
      <c r="AP175" s="349"/>
      <c r="AQ175" s="349"/>
      <c r="AR175" s="349"/>
      <c r="AS175" s="349"/>
      <c r="AT175" s="349"/>
      <c r="AU175" s="349"/>
      <c r="AV175" s="349"/>
      <c r="AW175" s="349"/>
      <c r="AX175" s="349"/>
      <c r="AY175" s="349"/>
      <c r="AZ175" s="349"/>
      <c r="BA175" s="349"/>
      <c r="BB175" s="349"/>
      <c r="BC175" s="349"/>
      <c r="BD175" s="349"/>
      <c r="BE175" s="349"/>
      <c r="BF175" s="349"/>
      <c r="BG175" s="349"/>
      <c r="BH175" s="349"/>
      <c r="BI175" s="349"/>
      <c r="BJ175" s="349"/>
      <c r="BK175" s="349"/>
      <c r="BL175" s="349"/>
      <c r="BM175" s="349"/>
      <c r="BN175" s="349"/>
      <c r="BO175" s="349"/>
      <c r="BP175" s="349"/>
      <c r="BQ175" s="349"/>
      <c r="BR175" s="349"/>
      <c r="BS175" s="349"/>
      <c r="BT175" s="349"/>
      <c r="BU175" s="349"/>
      <c r="BV175" s="349"/>
      <c r="BW175" s="349"/>
      <c r="BX175" s="349"/>
      <c r="BY175" s="349"/>
      <c r="BZ175" s="349"/>
      <c r="CA175" s="349"/>
      <c r="CB175" s="349"/>
      <c r="CC175" s="349"/>
      <c r="CD175" s="349"/>
      <c r="CE175" s="349"/>
      <c r="CF175" s="349"/>
      <c r="CG175" s="349"/>
      <c r="CH175" s="349"/>
      <c r="CI175" s="349"/>
      <c r="CJ175" s="349"/>
      <c r="CK175" s="349"/>
      <c r="CL175" s="349"/>
      <c r="CM175" s="349"/>
      <c r="CN175" s="349"/>
      <c r="CO175" s="349"/>
      <c r="CP175" s="349"/>
      <c r="CQ175" s="349"/>
      <c r="CR175" s="349"/>
      <c r="CS175" s="349"/>
      <c r="CT175" s="349"/>
      <c r="CU175" s="349"/>
      <c r="CV175" s="349"/>
      <c r="CW175" s="349"/>
      <c r="CX175" s="349"/>
      <c r="CY175" s="349"/>
      <c r="CZ175" s="349"/>
      <c r="DA175" s="349"/>
      <c r="DB175" s="349"/>
      <c r="DC175" s="349"/>
      <c r="DD175" s="349"/>
      <c r="DE175" s="349"/>
      <c r="DF175" s="349"/>
      <c r="DG175" s="349"/>
      <c r="DH175" s="349"/>
      <c r="DI175" s="349"/>
      <c r="DJ175" s="349"/>
      <c r="DK175" s="349"/>
      <c r="DL175" s="349"/>
      <c r="DM175" s="349"/>
      <c r="DN175" s="349"/>
      <c r="DO175" s="349"/>
      <c r="DP175" s="349"/>
      <c r="DQ175" s="349"/>
      <c r="DR175" s="349"/>
      <c r="DS175" s="349"/>
      <c r="DT175" s="349"/>
      <c r="DU175" s="349"/>
      <c r="DV175" s="349"/>
      <c r="DW175" s="349"/>
      <c r="DX175" s="349"/>
      <c r="DY175" s="349"/>
      <c r="DZ175" s="349"/>
      <c r="EA175" s="349"/>
      <c r="EB175" s="349"/>
      <c r="EC175" s="349"/>
      <c r="ED175" s="349"/>
      <c r="EE175" s="349"/>
      <c r="EF175" s="349"/>
      <c r="EG175" s="349"/>
      <c r="EH175" s="349"/>
      <c r="EI175" s="349"/>
      <c r="EJ175" s="349"/>
      <c r="EK175" s="349"/>
      <c r="EL175" s="349"/>
      <c r="EM175" s="349"/>
      <c r="EN175" s="349"/>
      <c r="EO175" s="349"/>
      <c r="EP175" s="349"/>
      <c r="EQ175" s="349"/>
      <c r="ER175" s="349"/>
      <c r="ES175" s="349"/>
      <c r="ET175" s="349"/>
      <c r="EU175" s="349"/>
      <c r="EV175" s="349"/>
      <c r="EW175" s="349"/>
      <c r="EX175" s="349"/>
      <c r="EY175" s="349"/>
      <c r="EZ175" s="349"/>
      <c r="FA175" s="349"/>
      <c r="FB175" s="349"/>
      <c r="FC175" s="349"/>
      <c r="FD175" s="349"/>
      <c r="FE175" s="349"/>
      <c r="FF175" s="349"/>
      <c r="FG175" s="349"/>
      <c r="FH175" s="349"/>
      <c r="FI175" s="349"/>
      <c r="FJ175" s="349"/>
      <c r="FK175" s="349"/>
      <c r="FL175" s="349"/>
      <c r="FM175" s="349"/>
      <c r="FN175" s="349"/>
      <c r="FO175" s="349"/>
      <c r="FP175" s="349"/>
      <c r="FQ175" s="349"/>
      <c r="FR175" s="349"/>
      <c r="FS175" s="349"/>
      <c r="FT175" s="349"/>
      <c r="FU175" s="349"/>
      <c r="FV175" s="349"/>
      <c r="FW175" s="349"/>
      <c r="FX175" s="349"/>
      <c r="FY175" s="349"/>
      <c r="FZ175" s="349"/>
      <c r="GA175" s="349"/>
      <c r="GB175" s="349"/>
      <c r="GC175" s="349"/>
      <c r="GD175" s="349"/>
      <c r="GE175" s="349"/>
      <c r="GF175" s="349"/>
      <c r="GG175" s="349"/>
      <c r="GH175" s="349"/>
      <c r="GI175" s="349"/>
      <c r="GJ175" s="349"/>
      <c r="GK175" s="349"/>
      <c r="GL175" s="349"/>
      <c r="GM175" s="349"/>
      <c r="GN175" s="349"/>
      <c r="GO175" s="349"/>
      <c r="GP175" s="349"/>
      <c r="GQ175" s="349"/>
      <c r="GR175" s="349"/>
      <c r="GS175" s="349"/>
      <c r="GT175" s="349"/>
      <c r="GU175" s="349"/>
      <c r="GV175" s="349"/>
      <c r="GW175" s="349"/>
      <c r="GX175" s="349"/>
      <c r="GY175" s="349"/>
      <c r="GZ175" s="349"/>
      <c r="HA175" s="349"/>
      <c r="HB175" s="349"/>
      <c r="HC175" s="349"/>
      <c r="HD175" s="349"/>
      <c r="HE175" s="349"/>
      <c r="HF175" s="349"/>
      <c r="HG175" s="349"/>
      <c r="HH175" s="349"/>
      <c r="HI175" s="349"/>
      <c r="HJ175" s="349"/>
      <c r="HK175" s="349"/>
      <c r="HL175" s="349"/>
      <c r="HM175" s="349"/>
      <c r="HN175" s="349"/>
      <c r="HO175" s="349"/>
      <c r="HP175" s="349"/>
      <c r="HQ175" s="349"/>
      <c r="HR175" s="349"/>
      <c r="HS175" s="349"/>
      <c r="HT175" s="349"/>
      <c r="HU175" s="349"/>
      <c r="HV175" s="349"/>
      <c r="HW175" s="349"/>
      <c r="HX175" s="349"/>
      <c r="HY175" s="349"/>
      <c r="HZ175" s="349"/>
      <c r="IA175" s="349"/>
      <c r="IB175" s="349"/>
      <c r="IC175" s="349"/>
      <c r="ID175" s="349"/>
      <c r="IE175" s="349"/>
      <c r="IF175" s="349"/>
      <c r="IG175" s="349"/>
      <c r="IH175" s="349"/>
      <c r="II175" s="349"/>
      <c r="IJ175" s="349"/>
      <c r="IK175" s="349"/>
      <c r="IL175" s="349"/>
      <c r="IM175" s="349"/>
      <c r="IN175" s="349"/>
      <c r="IO175" s="349"/>
      <c r="IP175" s="349"/>
      <c r="IQ175" s="349"/>
      <c r="IR175" s="349"/>
    </row>
    <row r="176" spans="1:252" s="304" customFormat="1" ht="16.2" thickBot="1" x14ac:dyDescent="0.35">
      <c r="A176" s="278"/>
      <c r="B176" s="277"/>
      <c r="C176" s="277"/>
      <c r="D176" s="277"/>
      <c r="E176" s="277"/>
      <c r="F176" s="277"/>
      <c r="G176" s="277"/>
      <c r="H176" s="277"/>
      <c r="I176" s="277"/>
      <c r="J176" s="277"/>
      <c r="K176" s="277"/>
      <c r="L176" s="277"/>
      <c r="M176" s="277"/>
      <c r="N176" s="277"/>
      <c r="O176" s="277"/>
      <c r="P176" s="277"/>
      <c r="Q176" s="277"/>
      <c r="R176" s="297"/>
      <c r="S176" s="252"/>
      <c r="T176" s="247"/>
      <c r="U176" s="248"/>
      <c r="V176" s="248"/>
      <c r="W176" s="248"/>
      <c r="X176" s="248"/>
      <c r="Y176" s="248"/>
      <c r="Z176" s="248"/>
      <c r="AA176" s="248"/>
      <c r="AB176" s="248"/>
      <c r="AC176" s="248"/>
      <c r="AD176" s="248"/>
      <c r="AE176" s="248"/>
      <c r="AF176" s="248"/>
      <c r="AG176" s="248"/>
      <c r="AH176" s="248"/>
      <c r="AI176" s="248"/>
      <c r="AJ176" s="248"/>
      <c r="AK176" s="248"/>
      <c r="AL176" s="248"/>
      <c r="AM176" s="248"/>
      <c r="AN176" s="248"/>
      <c r="AO176" s="248"/>
      <c r="AP176" s="248"/>
      <c r="AQ176" s="248"/>
      <c r="AR176" s="248"/>
      <c r="AS176" s="248"/>
      <c r="AT176" s="248"/>
      <c r="AU176" s="248"/>
      <c r="AV176" s="248"/>
      <c r="AW176" s="248"/>
      <c r="AX176" s="248"/>
      <c r="AY176" s="248"/>
      <c r="AZ176" s="248"/>
      <c r="BA176" s="248"/>
      <c r="BB176" s="248"/>
      <c r="BC176" s="248"/>
      <c r="BD176" s="248"/>
      <c r="BE176" s="248"/>
      <c r="BF176" s="248"/>
      <c r="BG176" s="248"/>
      <c r="BH176" s="248"/>
      <c r="BI176" s="248"/>
      <c r="BJ176" s="248"/>
      <c r="BK176" s="248"/>
      <c r="BL176" s="248"/>
      <c r="BM176" s="248"/>
      <c r="BN176" s="248"/>
      <c r="BO176" s="248"/>
      <c r="BP176" s="248"/>
      <c r="BQ176" s="248"/>
      <c r="BR176" s="248"/>
      <c r="BS176" s="248"/>
      <c r="BT176" s="248"/>
      <c r="BU176" s="248"/>
      <c r="BV176" s="248"/>
      <c r="BW176" s="248"/>
      <c r="BX176" s="248"/>
      <c r="BY176" s="248"/>
      <c r="BZ176" s="248"/>
      <c r="CA176" s="248"/>
      <c r="CB176" s="248"/>
      <c r="CC176" s="248"/>
      <c r="CD176" s="248"/>
      <c r="CE176" s="248"/>
      <c r="CF176" s="248"/>
      <c r="CG176" s="248"/>
      <c r="CH176" s="248"/>
      <c r="CI176" s="248"/>
      <c r="CJ176" s="248"/>
      <c r="CK176" s="248"/>
      <c r="CL176" s="248"/>
      <c r="CM176" s="248"/>
      <c r="CN176" s="248"/>
      <c r="CO176" s="248"/>
      <c r="CP176" s="248"/>
      <c r="CQ176" s="248"/>
      <c r="CR176" s="248"/>
      <c r="CS176" s="248"/>
      <c r="CT176" s="248"/>
      <c r="CU176" s="248"/>
      <c r="CV176" s="248"/>
      <c r="CW176" s="248"/>
      <c r="CX176" s="248"/>
      <c r="CY176" s="248"/>
      <c r="CZ176" s="248"/>
      <c r="DA176" s="248"/>
      <c r="DB176" s="248"/>
      <c r="DC176" s="248"/>
      <c r="DD176" s="248"/>
      <c r="DE176" s="248"/>
      <c r="DF176" s="248"/>
      <c r="DG176" s="248"/>
      <c r="DH176" s="248"/>
      <c r="DI176" s="248"/>
      <c r="DJ176" s="248"/>
      <c r="DK176" s="248"/>
      <c r="DL176" s="248"/>
      <c r="DM176" s="248"/>
      <c r="DN176" s="248"/>
      <c r="DO176" s="248"/>
      <c r="DP176" s="248"/>
      <c r="DQ176" s="248"/>
      <c r="DR176" s="248"/>
      <c r="DS176" s="248"/>
      <c r="DT176" s="248"/>
      <c r="DU176" s="248"/>
      <c r="DV176" s="248"/>
      <c r="DW176" s="248"/>
      <c r="DX176" s="248"/>
      <c r="DY176" s="248"/>
      <c r="DZ176" s="248"/>
      <c r="EA176" s="248"/>
      <c r="EB176" s="248"/>
      <c r="EC176" s="248"/>
      <c r="ED176" s="248"/>
      <c r="EE176" s="248"/>
      <c r="EF176" s="248"/>
      <c r="EG176" s="248"/>
      <c r="EH176" s="248"/>
      <c r="EI176" s="248"/>
      <c r="EJ176" s="248"/>
      <c r="EK176" s="248"/>
      <c r="EL176" s="248"/>
      <c r="EM176" s="248"/>
      <c r="EN176" s="248"/>
      <c r="EO176" s="248"/>
      <c r="EP176" s="248"/>
      <c r="EQ176" s="248"/>
      <c r="ER176" s="248"/>
      <c r="ES176" s="248"/>
      <c r="ET176" s="248"/>
      <c r="EU176" s="248"/>
      <c r="EV176" s="248"/>
      <c r="EW176" s="248"/>
      <c r="EX176" s="248"/>
      <c r="EY176" s="248"/>
      <c r="EZ176" s="248"/>
      <c r="FA176" s="248"/>
      <c r="FB176" s="248"/>
      <c r="FC176" s="248"/>
      <c r="FD176" s="248"/>
      <c r="FE176" s="248"/>
      <c r="FF176" s="248"/>
      <c r="FG176" s="248"/>
      <c r="FH176" s="248"/>
      <c r="FI176" s="248"/>
      <c r="FJ176" s="248"/>
      <c r="FK176" s="248"/>
      <c r="FL176" s="248"/>
      <c r="FM176" s="248"/>
      <c r="FN176" s="248"/>
      <c r="FO176" s="248"/>
      <c r="FP176" s="248"/>
      <c r="FQ176" s="248"/>
      <c r="FR176" s="248"/>
      <c r="FS176" s="248"/>
      <c r="FT176" s="248"/>
      <c r="FU176" s="248"/>
      <c r="FV176" s="248"/>
      <c r="FW176" s="248"/>
      <c r="FX176" s="248"/>
      <c r="FY176" s="248"/>
      <c r="FZ176" s="248"/>
      <c r="GA176" s="248"/>
      <c r="GB176" s="248"/>
      <c r="GC176" s="248"/>
      <c r="GD176" s="248"/>
      <c r="GE176" s="248"/>
      <c r="GF176" s="248"/>
      <c r="GG176" s="248"/>
      <c r="GH176" s="248"/>
      <c r="GI176" s="248"/>
      <c r="GJ176" s="248"/>
      <c r="GK176" s="248"/>
      <c r="GL176" s="248"/>
      <c r="GM176" s="248"/>
      <c r="GN176" s="248"/>
      <c r="GO176" s="248"/>
      <c r="GP176" s="248"/>
      <c r="GQ176" s="248"/>
      <c r="GR176" s="248"/>
      <c r="GS176" s="248"/>
      <c r="GT176" s="248"/>
      <c r="GU176" s="248"/>
      <c r="GV176" s="248"/>
      <c r="GW176" s="248"/>
      <c r="GX176" s="248"/>
      <c r="GY176" s="248"/>
      <c r="GZ176" s="248"/>
      <c r="HA176" s="248"/>
      <c r="HB176" s="248"/>
      <c r="HC176" s="248"/>
      <c r="HD176" s="248"/>
      <c r="HE176" s="248"/>
      <c r="HF176" s="248"/>
      <c r="HG176" s="248"/>
      <c r="HH176" s="248"/>
      <c r="HI176" s="248"/>
      <c r="HJ176" s="248"/>
      <c r="HK176" s="248"/>
      <c r="HL176" s="248"/>
      <c r="HM176" s="248"/>
      <c r="HN176" s="248"/>
      <c r="HO176" s="248"/>
      <c r="HP176" s="248"/>
      <c r="HQ176" s="248"/>
      <c r="HR176" s="248"/>
      <c r="HS176" s="248"/>
      <c r="HT176" s="248"/>
      <c r="HU176" s="248"/>
      <c r="HV176" s="248"/>
      <c r="HW176" s="248"/>
      <c r="HX176" s="248"/>
      <c r="HY176" s="248"/>
      <c r="HZ176" s="248"/>
      <c r="IA176" s="248"/>
      <c r="IB176" s="248"/>
      <c r="IC176" s="248"/>
      <c r="ID176" s="248"/>
      <c r="IE176" s="248"/>
      <c r="IF176" s="248"/>
      <c r="IG176" s="248"/>
      <c r="IH176" s="248"/>
      <c r="II176" s="248"/>
      <c r="IJ176" s="248"/>
      <c r="IK176" s="248"/>
      <c r="IL176" s="248"/>
      <c r="IM176" s="248"/>
      <c r="IN176" s="248"/>
      <c r="IO176" s="248"/>
      <c r="IP176" s="248"/>
      <c r="IQ176" s="248"/>
      <c r="IR176" s="248"/>
    </row>
    <row r="177" spans="1:252" s="305" customFormat="1" x14ac:dyDescent="0.3">
      <c r="A177" s="244"/>
      <c r="B177" s="245"/>
      <c r="C177" s="245"/>
      <c r="D177" s="245"/>
      <c r="E177" s="245"/>
      <c r="F177" s="245"/>
      <c r="G177" s="245"/>
      <c r="H177" s="245"/>
      <c r="I177" s="245"/>
      <c r="J177" s="245"/>
      <c r="K177" s="245"/>
      <c r="L177" s="245"/>
      <c r="M177" s="245"/>
      <c r="N177" s="245"/>
      <c r="O177" s="245"/>
      <c r="P177" s="245"/>
      <c r="Q177" s="245"/>
      <c r="R177" s="301"/>
      <c r="S177" s="246"/>
      <c r="T177" s="247"/>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c r="BT177" s="248"/>
      <c r="BU177" s="248"/>
      <c r="BV177" s="248"/>
      <c r="BW177" s="248"/>
      <c r="BX177" s="248"/>
      <c r="BY177" s="248"/>
      <c r="BZ177" s="248"/>
      <c r="CA177" s="248"/>
      <c r="CB177" s="248"/>
      <c r="CC177" s="248"/>
      <c r="CD177" s="248"/>
      <c r="CE177" s="248"/>
      <c r="CF177" s="248"/>
      <c r="CG177" s="248"/>
      <c r="CH177" s="248"/>
      <c r="CI177" s="248"/>
      <c r="CJ177" s="248"/>
      <c r="CK177" s="248"/>
      <c r="CL177" s="248"/>
      <c r="CM177" s="248"/>
      <c r="CN177" s="248"/>
      <c r="CO177" s="248"/>
      <c r="CP177" s="248"/>
      <c r="CQ177" s="248"/>
      <c r="CR177" s="248"/>
      <c r="CS177" s="248"/>
      <c r="CT177" s="248"/>
      <c r="CU177" s="248"/>
      <c r="CV177" s="248"/>
      <c r="CW177" s="248"/>
      <c r="CX177" s="248"/>
      <c r="CY177" s="248"/>
      <c r="CZ177" s="248"/>
      <c r="DA177" s="248"/>
      <c r="DB177" s="248"/>
      <c r="DC177" s="248"/>
      <c r="DD177" s="248"/>
      <c r="DE177" s="248"/>
      <c r="DF177" s="248"/>
      <c r="DG177" s="248"/>
      <c r="DH177" s="248"/>
      <c r="DI177" s="248"/>
      <c r="DJ177" s="248"/>
      <c r="DK177" s="248"/>
      <c r="DL177" s="248"/>
      <c r="DM177" s="248"/>
      <c r="DN177" s="248"/>
      <c r="DO177" s="248"/>
      <c r="DP177" s="248"/>
      <c r="DQ177" s="248"/>
      <c r="DR177" s="248"/>
      <c r="DS177" s="248"/>
      <c r="DT177" s="248"/>
      <c r="DU177" s="248"/>
      <c r="DV177" s="248"/>
      <c r="DW177" s="248"/>
      <c r="DX177" s="248"/>
      <c r="DY177" s="248"/>
      <c r="DZ177" s="248"/>
      <c r="EA177" s="248"/>
      <c r="EB177" s="248"/>
      <c r="EC177" s="248"/>
      <c r="ED177" s="248"/>
      <c r="EE177" s="248"/>
      <c r="EF177" s="248"/>
      <c r="EG177" s="248"/>
      <c r="EH177" s="248"/>
      <c r="EI177" s="248"/>
      <c r="EJ177" s="248"/>
      <c r="EK177" s="248"/>
      <c r="EL177" s="248"/>
      <c r="EM177" s="248"/>
      <c r="EN177" s="248"/>
      <c r="EO177" s="248"/>
      <c r="EP177" s="248"/>
      <c r="EQ177" s="248"/>
      <c r="ER177" s="248"/>
      <c r="ES177" s="248"/>
      <c r="ET177" s="248"/>
      <c r="EU177" s="248"/>
      <c r="EV177" s="248"/>
      <c r="EW177" s="248"/>
      <c r="EX177" s="248"/>
      <c r="EY177" s="248"/>
      <c r="EZ177" s="248"/>
      <c r="FA177" s="248"/>
      <c r="FB177" s="248"/>
      <c r="FC177" s="248"/>
      <c r="FD177" s="248"/>
      <c r="FE177" s="248"/>
      <c r="FF177" s="248"/>
      <c r="FG177" s="248"/>
      <c r="FH177" s="248"/>
      <c r="FI177" s="248"/>
      <c r="FJ177" s="248"/>
      <c r="FK177" s="248"/>
      <c r="FL177" s="248"/>
      <c r="FM177" s="248"/>
      <c r="FN177" s="248"/>
      <c r="FO177" s="248"/>
      <c r="FP177" s="248"/>
      <c r="FQ177" s="248"/>
      <c r="FR177" s="248"/>
      <c r="FS177" s="248"/>
      <c r="FT177" s="248"/>
      <c r="FU177" s="248"/>
      <c r="FV177" s="248"/>
      <c r="FW177" s="248"/>
      <c r="FX177" s="248"/>
      <c r="FY177" s="248"/>
      <c r="FZ177" s="248"/>
      <c r="GA177" s="248"/>
      <c r="GB177" s="248"/>
      <c r="GC177" s="248"/>
      <c r="GD177" s="248"/>
      <c r="GE177" s="248"/>
      <c r="GF177" s="248"/>
      <c r="GG177" s="248"/>
      <c r="GH177" s="248"/>
      <c r="GI177" s="248"/>
      <c r="GJ177" s="248"/>
      <c r="GK177" s="248"/>
      <c r="GL177" s="248"/>
      <c r="GM177" s="248"/>
      <c r="GN177" s="248"/>
      <c r="GO177" s="248"/>
      <c r="GP177" s="248"/>
      <c r="GQ177" s="248"/>
      <c r="GR177" s="248"/>
      <c r="GS177" s="248"/>
      <c r="GT177" s="248"/>
      <c r="GU177" s="248"/>
      <c r="GV177" s="248"/>
      <c r="GW177" s="248"/>
      <c r="GX177" s="248"/>
      <c r="GY177" s="248"/>
      <c r="GZ177" s="248"/>
      <c r="HA177" s="248"/>
      <c r="HB177" s="248"/>
      <c r="HC177" s="248"/>
      <c r="HD177" s="248"/>
      <c r="HE177" s="248"/>
      <c r="HF177" s="248"/>
      <c r="HG177" s="248"/>
      <c r="HH177" s="248"/>
      <c r="HI177" s="248"/>
      <c r="HJ177" s="248"/>
      <c r="HK177" s="248"/>
      <c r="HL177" s="248"/>
      <c r="HM177" s="248"/>
      <c r="HN177" s="248"/>
      <c r="HO177" s="248"/>
      <c r="HP177" s="248"/>
      <c r="HQ177" s="248"/>
      <c r="HR177" s="248"/>
      <c r="HS177" s="248"/>
      <c r="HT177" s="248"/>
      <c r="HU177" s="248"/>
      <c r="HV177" s="248"/>
      <c r="HW177" s="248"/>
      <c r="HX177" s="248"/>
      <c r="HY177" s="248"/>
      <c r="HZ177" s="248"/>
      <c r="IA177" s="248"/>
      <c r="IB177" s="248"/>
      <c r="IC177" s="248"/>
      <c r="ID177" s="248"/>
      <c r="IE177" s="248"/>
      <c r="IF177" s="248"/>
      <c r="IG177" s="248"/>
      <c r="IH177" s="248"/>
      <c r="II177" s="248"/>
      <c r="IJ177" s="248"/>
      <c r="IK177" s="248"/>
      <c r="IL177" s="248"/>
      <c r="IM177" s="248"/>
      <c r="IN177" s="248"/>
      <c r="IO177" s="248"/>
      <c r="IP177" s="248"/>
      <c r="IQ177" s="248"/>
      <c r="IR177" s="248"/>
    </row>
    <row r="178" spans="1:252" x14ac:dyDescent="0.3">
      <c r="A178" s="249"/>
      <c r="B178" s="296" t="s">
        <v>44</v>
      </c>
      <c r="C178" s="251"/>
      <c r="D178" s="251"/>
      <c r="E178" s="251"/>
      <c r="F178" s="251"/>
      <c r="G178" s="251"/>
      <c r="H178" s="251"/>
      <c r="I178" s="251"/>
      <c r="J178" s="251"/>
      <c r="K178" s="251"/>
      <c r="L178" s="251"/>
      <c r="M178" s="251"/>
      <c r="N178" s="251"/>
      <c r="O178" s="251"/>
      <c r="P178" s="251"/>
      <c r="Q178" s="251"/>
      <c r="R178" s="279"/>
      <c r="S178" s="252"/>
      <c r="T178" s="247"/>
    </row>
    <row r="179" spans="1:252" x14ac:dyDescent="0.3">
      <c r="A179" s="249"/>
      <c r="B179" s="295"/>
      <c r="C179" s="251"/>
      <c r="D179" s="251"/>
      <c r="E179" s="251"/>
      <c r="F179" s="251"/>
      <c r="G179" s="251"/>
      <c r="H179" s="251"/>
      <c r="I179" s="251"/>
      <c r="J179" s="251"/>
      <c r="K179" s="251"/>
      <c r="L179" s="251"/>
      <c r="M179" s="251"/>
      <c r="N179" s="251"/>
      <c r="O179" s="251"/>
      <c r="P179" s="251"/>
      <c r="Q179" s="251"/>
      <c r="R179" s="279"/>
      <c r="S179" s="252"/>
      <c r="T179" s="247"/>
    </row>
    <row r="180" spans="1:252" s="349" customFormat="1" x14ac:dyDescent="0.3">
      <c r="A180" s="365"/>
      <c r="B180" s="358" t="s">
        <v>172</v>
      </c>
      <c r="C180" s="358"/>
      <c r="D180" s="358"/>
      <c r="E180" s="358"/>
      <c r="F180" s="358"/>
      <c r="G180" s="358"/>
      <c r="H180" s="358"/>
      <c r="I180" s="358"/>
      <c r="J180" s="358"/>
      <c r="K180" s="358"/>
      <c r="L180" s="358"/>
      <c r="M180" s="358"/>
      <c r="N180" s="358"/>
      <c r="O180" s="358"/>
      <c r="P180" s="358"/>
      <c r="Q180" s="358"/>
      <c r="R180" s="404">
        <f>+R67</f>
        <v>0</v>
      </c>
      <c r="S180" s="361"/>
      <c r="T180" s="348"/>
    </row>
    <row r="181" spans="1:252" s="349" customFormat="1" x14ac:dyDescent="0.3">
      <c r="A181" s="365"/>
      <c r="B181" s="358" t="s">
        <v>173</v>
      </c>
      <c r="C181" s="358"/>
      <c r="D181" s="358"/>
      <c r="E181" s="358"/>
      <c r="F181" s="358"/>
      <c r="G181" s="358"/>
      <c r="H181" s="358"/>
      <c r="I181" s="358"/>
      <c r="J181" s="358"/>
      <c r="K181" s="358"/>
      <c r="L181" s="358"/>
      <c r="M181" s="358"/>
      <c r="N181" s="358"/>
      <c r="O181" s="358"/>
      <c r="P181" s="358"/>
      <c r="Q181" s="358"/>
      <c r="R181" s="404">
        <f>+R77</f>
        <v>0</v>
      </c>
      <c r="S181" s="361"/>
      <c r="T181" s="348"/>
    </row>
    <row r="182" spans="1:252" s="349" customFormat="1" x14ac:dyDescent="0.3">
      <c r="A182" s="365"/>
      <c r="B182" s="358" t="s">
        <v>216</v>
      </c>
      <c r="C182" s="358"/>
      <c r="D182" s="358"/>
      <c r="E182" s="358"/>
      <c r="F182" s="358"/>
      <c r="G182" s="358"/>
      <c r="H182" s="358"/>
      <c r="I182" s="358"/>
      <c r="J182" s="358"/>
      <c r="K182" s="358"/>
      <c r="L182" s="358"/>
      <c r="M182" s="358"/>
      <c r="N182" s="358"/>
      <c r="O182" s="358"/>
      <c r="P182" s="358"/>
      <c r="Q182" s="358"/>
      <c r="R182" s="404">
        <f>+R78</f>
        <v>0</v>
      </c>
      <c r="S182" s="361"/>
      <c r="T182" s="348"/>
    </row>
    <row r="183" spans="1:252" s="349" customFormat="1" x14ac:dyDescent="0.3">
      <c r="A183" s="365"/>
      <c r="B183" s="358" t="s">
        <v>126</v>
      </c>
      <c r="C183" s="358"/>
      <c r="D183" s="358"/>
      <c r="E183" s="358"/>
      <c r="F183" s="358"/>
      <c r="G183" s="358"/>
      <c r="H183" s="358"/>
      <c r="I183" s="358"/>
      <c r="J183" s="358"/>
      <c r="K183" s="358"/>
      <c r="L183" s="358"/>
      <c r="M183" s="358"/>
      <c r="N183" s="358"/>
      <c r="O183" s="358"/>
      <c r="P183" s="358"/>
      <c r="Q183" s="358"/>
      <c r="R183" s="404">
        <f>+R180+R181+R182</f>
        <v>0</v>
      </c>
      <c r="S183" s="361"/>
      <c r="T183" s="348"/>
    </row>
    <row r="184" spans="1:252" s="349" customFormat="1" x14ac:dyDescent="0.3">
      <c r="A184" s="365"/>
      <c r="B184" s="358" t="s">
        <v>45</v>
      </c>
      <c r="C184" s="358"/>
      <c r="D184" s="358"/>
      <c r="E184" s="358"/>
      <c r="F184" s="358"/>
      <c r="G184" s="358"/>
      <c r="H184" s="358"/>
      <c r="I184" s="358"/>
      <c r="J184" s="358"/>
      <c r="K184" s="358"/>
      <c r="L184" s="358"/>
      <c r="M184" s="358"/>
      <c r="N184" s="358"/>
      <c r="O184" s="358"/>
      <c r="P184" s="358"/>
      <c r="Q184" s="358"/>
      <c r="R184" s="404">
        <f>R80</f>
        <v>0</v>
      </c>
      <c r="S184" s="361"/>
      <c r="T184" s="348"/>
    </row>
    <row r="185" spans="1:252" ht="16.2" thickBot="1" x14ac:dyDescent="0.35">
      <c r="A185" s="249"/>
      <c r="B185" s="277"/>
      <c r="C185" s="277"/>
      <c r="D185" s="277"/>
      <c r="E185" s="277"/>
      <c r="F185" s="277"/>
      <c r="G185" s="277"/>
      <c r="H185" s="277"/>
      <c r="I185" s="277"/>
      <c r="J185" s="277"/>
      <c r="K185" s="277"/>
      <c r="L185" s="277"/>
      <c r="M185" s="277"/>
      <c r="N185" s="277"/>
      <c r="O185" s="277"/>
      <c r="P185" s="277"/>
      <c r="Q185" s="277"/>
      <c r="R185" s="297"/>
      <c r="S185" s="252"/>
      <c r="T185" s="247"/>
    </row>
    <row r="186" spans="1:252" x14ac:dyDescent="0.3">
      <c r="A186" s="244"/>
      <c r="B186" s="245"/>
      <c r="C186" s="245"/>
      <c r="D186" s="245"/>
      <c r="E186" s="245"/>
      <c r="F186" s="245"/>
      <c r="G186" s="245"/>
      <c r="H186" s="245"/>
      <c r="I186" s="245"/>
      <c r="J186" s="245"/>
      <c r="K186" s="245"/>
      <c r="L186" s="245"/>
      <c r="M186" s="245"/>
      <c r="N186" s="245"/>
      <c r="O186" s="245"/>
      <c r="P186" s="245"/>
      <c r="Q186" s="245"/>
      <c r="R186" s="301"/>
      <c r="S186" s="246"/>
      <c r="T186" s="247"/>
    </row>
    <row r="187" spans="1:252" s="273" customFormat="1" x14ac:dyDescent="0.3">
      <c r="A187" s="280"/>
      <c r="B187" s="296" t="s">
        <v>46</v>
      </c>
      <c r="C187" s="306"/>
      <c r="D187" s="307"/>
      <c r="E187" s="307"/>
      <c r="F187" s="307"/>
      <c r="G187" s="307"/>
      <c r="H187" s="307"/>
      <c r="I187" s="307"/>
      <c r="J187" s="307"/>
      <c r="K187" s="307"/>
      <c r="L187" s="307"/>
      <c r="M187" s="307"/>
      <c r="N187" s="307"/>
      <c r="O187" s="307" t="s">
        <v>82</v>
      </c>
      <c r="P187" s="307" t="s">
        <v>170</v>
      </c>
      <c r="Q187" s="254"/>
      <c r="R187" s="308" t="s">
        <v>94</v>
      </c>
      <c r="S187" s="309"/>
      <c r="T187" s="272"/>
    </row>
    <row r="188" spans="1:252" s="349" customFormat="1" x14ac:dyDescent="0.3">
      <c r="A188" s="365"/>
      <c r="B188" s="358" t="s">
        <v>47</v>
      </c>
      <c r="C188" s="358"/>
      <c r="D188" s="358"/>
      <c r="E188" s="358"/>
      <c r="F188" s="358"/>
      <c r="G188" s="358"/>
      <c r="H188" s="358"/>
      <c r="I188" s="358"/>
      <c r="J188" s="358"/>
      <c r="K188" s="358"/>
      <c r="L188" s="358"/>
      <c r="M188" s="358"/>
      <c r="N188" s="358"/>
      <c r="O188" s="404">
        <f>+R31*0.08</f>
        <v>24000.720000000001</v>
      </c>
      <c r="P188" s="383"/>
      <c r="Q188" s="358"/>
      <c r="R188" s="404"/>
      <c r="S188" s="361"/>
      <c r="T188" s="348"/>
    </row>
    <row r="189" spans="1:252" s="349" customFormat="1" x14ac:dyDescent="0.3">
      <c r="A189" s="365"/>
      <c r="B189" s="358" t="s">
        <v>48</v>
      </c>
      <c r="C189" s="358"/>
      <c r="D189" s="358"/>
      <c r="E189" s="358"/>
      <c r="F189" s="358"/>
      <c r="G189" s="358"/>
      <c r="H189" s="358"/>
      <c r="I189" s="358"/>
      <c r="J189" s="358"/>
      <c r="K189" s="358"/>
      <c r="L189" s="358"/>
      <c r="M189" s="358"/>
      <c r="N189" s="358"/>
      <c r="O189" s="404">
        <f>+'Feb 19'!O189</f>
        <v>569</v>
      </c>
      <c r="P189" s="404">
        <f>+'Feb 19'!P189</f>
        <v>694</v>
      </c>
      <c r="Q189" s="358"/>
      <c r="R189" s="404">
        <f>O189+P189</f>
        <v>1263</v>
      </c>
      <c r="S189" s="361"/>
      <c r="T189" s="348"/>
    </row>
    <row r="190" spans="1:252" s="349" customFormat="1" x14ac:dyDescent="0.3">
      <c r="A190" s="365"/>
      <c r="B190" s="358" t="s">
        <v>49</v>
      </c>
      <c r="C190" s="358"/>
      <c r="D190" s="358"/>
      <c r="E190" s="358"/>
      <c r="F190" s="358"/>
      <c r="G190" s="358"/>
      <c r="H190" s="358"/>
      <c r="I190" s="358"/>
      <c r="J190" s="358"/>
      <c r="K190" s="358"/>
      <c r="L190" s="358"/>
      <c r="M190" s="358"/>
      <c r="N190" s="358"/>
      <c r="O190" s="403">
        <v>0</v>
      </c>
      <c r="P190" s="403">
        <v>0</v>
      </c>
      <c r="Q190" s="358"/>
      <c r="R190" s="404">
        <f>O190+P190</f>
        <v>0</v>
      </c>
      <c r="S190" s="361"/>
      <c r="T190" s="348"/>
    </row>
    <row r="191" spans="1:252" s="349" customFormat="1" x14ac:dyDescent="0.3">
      <c r="A191" s="365"/>
      <c r="B191" s="358" t="s">
        <v>50</v>
      </c>
      <c r="C191" s="358"/>
      <c r="D191" s="358"/>
      <c r="E191" s="358"/>
      <c r="F191" s="358"/>
      <c r="G191" s="358"/>
      <c r="H191" s="358"/>
      <c r="I191" s="358"/>
      <c r="J191" s="358"/>
      <c r="K191" s="358"/>
      <c r="L191" s="358"/>
      <c r="M191" s="358"/>
      <c r="N191" s="358"/>
      <c r="O191" s="404">
        <f>O189+O190</f>
        <v>569</v>
      </c>
      <c r="P191" s="404">
        <f>P190+P189</f>
        <v>694</v>
      </c>
      <c r="Q191" s="358"/>
      <c r="R191" s="404">
        <f>O191+P191</f>
        <v>1263</v>
      </c>
      <c r="S191" s="361"/>
      <c r="T191" s="348"/>
    </row>
    <row r="192" spans="1:252" s="349" customFormat="1" x14ac:dyDescent="0.3">
      <c r="A192" s="365"/>
      <c r="B192" s="358" t="s">
        <v>51</v>
      </c>
      <c r="C192" s="358"/>
      <c r="D192" s="358"/>
      <c r="E192" s="358"/>
      <c r="F192" s="358"/>
      <c r="G192" s="358"/>
      <c r="H192" s="358"/>
      <c r="I192" s="358"/>
      <c r="J192" s="358"/>
      <c r="K192" s="358"/>
      <c r="L192" s="358"/>
      <c r="M192" s="358"/>
      <c r="N192" s="358"/>
      <c r="O192" s="404">
        <f>O188-O191-P191</f>
        <v>22737.72</v>
      </c>
      <c r="P192" s="383"/>
      <c r="Q192" s="358"/>
      <c r="R192" s="404"/>
      <c r="S192" s="361"/>
      <c r="T192" s="348"/>
    </row>
    <row r="193" spans="1:20" ht="16.2" thickBot="1" x14ac:dyDescent="0.35">
      <c r="A193" s="249"/>
      <c r="B193" s="277"/>
      <c r="C193" s="277"/>
      <c r="D193" s="277"/>
      <c r="E193" s="277"/>
      <c r="F193" s="277"/>
      <c r="G193" s="277"/>
      <c r="H193" s="277"/>
      <c r="I193" s="277"/>
      <c r="J193" s="277"/>
      <c r="K193" s="277"/>
      <c r="L193" s="277"/>
      <c r="M193" s="277"/>
      <c r="N193" s="277"/>
      <c r="O193" s="277"/>
      <c r="P193" s="277"/>
      <c r="Q193" s="277"/>
      <c r="R193" s="297"/>
      <c r="S193" s="252"/>
      <c r="T193" s="247"/>
    </row>
    <row r="194" spans="1:20" x14ac:dyDescent="0.3">
      <c r="A194" s="244"/>
      <c r="B194" s="245"/>
      <c r="C194" s="245"/>
      <c r="D194" s="245"/>
      <c r="E194" s="245"/>
      <c r="F194" s="245"/>
      <c r="G194" s="245"/>
      <c r="H194" s="245"/>
      <c r="I194" s="245"/>
      <c r="J194" s="245"/>
      <c r="K194" s="245"/>
      <c r="L194" s="245"/>
      <c r="M194" s="245"/>
      <c r="N194" s="245"/>
      <c r="O194" s="245"/>
      <c r="P194" s="245"/>
      <c r="Q194" s="245"/>
      <c r="R194" s="301"/>
      <c r="S194" s="246"/>
      <c r="T194" s="247"/>
    </row>
    <row r="195" spans="1:20" x14ac:dyDescent="0.3">
      <c r="A195" s="249"/>
      <c r="B195" s="296" t="s">
        <v>52</v>
      </c>
      <c r="C195" s="251"/>
      <c r="D195" s="251"/>
      <c r="E195" s="251"/>
      <c r="F195" s="251"/>
      <c r="G195" s="251"/>
      <c r="H195" s="251"/>
      <c r="I195" s="251"/>
      <c r="J195" s="251"/>
      <c r="K195" s="251"/>
      <c r="L195" s="251"/>
      <c r="M195" s="251"/>
      <c r="N195" s="251"/>
      <c r="O195" s="251"/>
      <c r="P195" s="251"/>
      <c r="Q195" s="251"/>
      <c r="R195" s="310"/>
      <c r="S195" s="252"/>
      <c r="T195" s="247"/>
    </row>
    <row r="196" spans="1:20" s="349" customFormat="1" x14ac:dyDescent="0.3">
      <c r="A196" s="365"/>
      <c r="B196" s="358" t="s">
        <v>53</v>
      </c>
      <c r="C196" s="358"/>
      <c r="D196" s="358"/>
      <c r="E196" s="358"/>
      <c r="F196" s="358"/>
      <c r="G196" s="358"/>
      <c r="H196" s="358"/>
      <c r="I196" s="358"/>
      <c r="J196" s="358"/>
      <c r="K196" s="358"/>
      <c r="L196" s="358"/>
      <c r="M196" s="358"/>
      <c r="N196" s="358"/>
      <c r="O196" s="358"/>
      <c r="P196" s="358"/>
      <c r="Q196" s="358"/>
      <c r="R196" s="417">
        <v>0</v>
      </c>
      <c r="S196" s="361"/>
      <c r="T196" s="348"/>
    </row>
    <row r="197" spans="1:20" s="349" customFormat="1" x14ac:dyDescent="0.3">
      <c r="A197" s="365"/>
      <c r="B197" s="358" t="s">
        <v>54</v>
      </c>
      <c r="C197" s="358"/>
      <c r="D197" s="358"/>
      <c r="E197" s="358"/>
      <c r="F197" s="358"/>
      <c r="G197" s="358"/>
      <c r="H197" s="358"/>
      <c r="I197" s="358"/>
      <c r="J197" s="358"/>
      <c r="K197" s="358"/>
      <c r="L197" s="358"/>
      <c r="M197" s="358"/>
      <c r="N197" s="358"/>
      <c r="O197" s="358"/>
      <c r="P197" s="358"/>
      <c r="Q197" s="358"/>
      <c r="R197" s="418">
        <v>0</v>
      </c>
      <c r="S197" s="361"/>
      <c r="T197" s="348"/>
    </row>
    <row r="198" spans="1:20" s="349" customFormat="1" x14ac:dyDescent="0.3">
      <c r="A198" s="365"/>
      <c r="B198" s="358" t="s">
        <v>183</v>
      </c>
      <c r="C198" s="358"/>
      <c r="D198" s="358"/>
      <c r="E198" s="358"/>
      <c r="F198" s="358"/>
      <c r="G198" s="358"/>
      <c r="H198" s="358"/>
      <c r="I198" s="358"/>
      <c r="J198" s="358"/>
      <c r="K198" s="358"/>
      <c r="L198" s="358"/>
      <c r="M198" s="358"/>
      <c r="N198" s="358"/>
      <c r="O198" s="358"/>
      <c r="P198" s="358"/>
      <c r="Q198" s="358"/>
      <c r="R198" s="417">
        <v>0</v>
      </c>
      <c r="S198" s="361"/>
      <c r="T198" s="348"/>
    </row>
    <row r="199" spans="1:20" s="349" customFormat="1" x14ac:dyDescent="0.3">
      <c r="A199" s="365"/>
      <c r="B199" s="358" t="s">
        <v>184</v>
      </c>
      <c r="C199" s="358"/>
      <c r="D199" s="358"/>
      <c r="E199" s="358"/>
      <c r="F199" s="358"/>
      <c r="G199" s="358"/>
      <c r="H199" s="358"/>
      <c r="I199" s="358"/>
      <c r="J199" s="358"/>
      <c r="K199" s="358"/>
      <c r="L199" s="358"/>
      <c r="M199" s="358"/>
      <c r="N199" s="358"/>
      <c r="O199" s="358"/>
      <c r="P199" s="358"/>
      <c r="Q199" s="358"/>
      <c r="R199" s="418">
        <v>0</v>
      </c>
      <c r="S199" s="361"/>
      <c r="T199" s="348"/>
    </row>
    <row r="200" spans="1:20" s="349" customFormat="1" x14ac:dyDescent="0.3">
      <c r="A200" s="365"/>
      <c r="B200" s="358" t="s">
        <v>185</v>
      </c>
      <c r="C200" s="358"/>
      <c r="D200" s="358"/>
      <c r="E200" s="358"/>
      <c r="F200" s="358"/>
      <c r="G200" s="358"/>
      <c r="H200" s="358"/>
      <c r="I200" s="358"/>
      <c r="J200" s="358"/>
      <c r="K200" s="358"/>
      <c r="L200" s="358"/>
      <c r="M200" s="358"/>
      <c r="N200" s="358"/>
      <c r="O200" s="358"/>
      <c r="P200" s="358"/>
      <c r="Q200" s="358"/>
      <c r="R200" s="417">
        <v>0</v>
      </c>
      <c r="S200" s="361"/>
      <c r="T200" s="348"/>
    </row>
    <row r="201" spans="1:20" s="349" customFormat="1" x14ac:dyDescent="0.3">
      <c r="A201" s="365"/>
      <c r="B201" s="358" t="s">
        <v>186</v>
      </c>
      <c r="C201" s="358"/>
      <c r="D201" s="358"/>
      <c r="E201" s="358"/>
      <c r="F201" s="358"/>
      <c r="G201" s="358"/>
      <c r="H201" s="358"/>
      <c r="I201" s="358"/>
      <c r="J201" s="358"/>
      <c r="K201" s="358"/>
      <c r="L201" s="358"/>
      <c r="M201" s="358"/>
      <c r="N201" s="358"/>
      <c r="O201" s="358"/>
      <c r="P201" s="358"/>
      <c r="Q201" s="358"/>
      <c r="R201" s="418">
        <v>0</v>
      </c>
      <c r="S201" s="361"/>
      <c r="T201" s="348"/>
    </row>
    <row r="202" spans="1:20" s="349" customFormat="1" x14ac:dyDescent="0.3">
      <c r="A202" s="365"/>
      <c r="B202" s="358" t="s">
        <v>257</v>
      </c>
      <c r="C202" s="358"/>
      <c r="D202" s="358"/>
      <c r="E202" s="358"/>
      <c r="F202" s="358"/>
      <c r="G202" s="358"/>
      <c r="H202" s="358"/>
      <c r="I202" s="358"/>
      <c r="J202" s="358"/>
      <c r="K202" s="358"/>
      <c r="L202" s="358"/>
      <c r="M202" s="358"/>
      <c r="N202" s="358"/>
      <c r="O202" s="358"/>
      <c r="P202" s="358"/>
      <c r="Q202" s="358"/>
      <c r="R202" s="417">
        <v>0</v>
      </c>
      <c r="S202" s="361"/>
      <c r="T202" s="348"/>
    </row>
    <row r="203" spans="1:20" s="349" customFormat="1" x14ac:dyDescent="0.3">
      <c r="A203" s="365"/>
      <c r="B203" s="358" t="s">
        <v>258</v>
      </c>
      <c r="C203" s="358"/>
      <c r="D203" s="358"/>
      <c r="E203" s="358"/>
      <c r="F203" s="358"/>
      <c r="G203" s="358"/>
      <c r="H203" s="358"/>
      <c r="I203" s="358"/>
      <c r="J203" s="358"/>
      <c r="K203" s="358"/>
      <c r="L203" s="358"/>
      <c r="M203" s="358"/>
      <c r="N203" s="358"/>
      <c r="O203" s="358"/>
      <c r="P203" s="358"/>
      <c r="Q203" s="358"/>
      <c r="R203" s="418">
        <v>0</v>
      </c>
      <c r="S203" s="361"/>
      <c r="T203" s="348"/>
    </row>
    <row r="204" spans="1:20" s="349" customFormat="1" x14ac:dyDescent="0.3">
      <c r="A204" s="365"/>
      <c r="B204" s="358"/>
      <c r="C204" s="358"/>
      <c r="D204" s="358"/>
      <c r="E204" s="358"/>
      <c r="F204" s="358"/>
      <c r="G204" s="358"/>
      <c r="H204" s="358"/>
      <c r="I204" s="358"/>
      <c r="J204" s="358"/>
      <c r="K204" s="358"/>
      <c r="L204" s="358"/>
      <c r="M204" s="358"/>
      <c r="N204" s="358"/>
      <c r="O204" s="358"/>
      <c r="P204" s="358"/>
      <c r="Q204" s="358"/>
      <c r="R204" s="358"/>
      <c r="S204" s="361"/>
      <c r="T204" s="348"/>
    </row>
    <row r="205" spans="1:20" s="349" customFormat="1" x14ac:dyDescent="0.3">
      <c r="A205" s="344"/>
      <c r="B205" s="393"/>
      <c r="C205" s="393"/>
      <c r="D205" s="393"/>
      <c r="E205" s="393"/>
      <c r="F205" s="393"/>
      <c r="G205" s="393"/>
      <c r="H205" s="393"/>
      <c r="I205" s="393"/>
      <c r="J205" s="393"/>
      <c r="K205" s="393"/>
      <c r="L205" s="393"/>
      <c r="M205" s="393"/>
      <c r="N205" s="393"/>
      <c r="O205" s="393"/>
      <c r="P205" s="393"/>
      <c r="Q205" s="393"/>
      <c r="R205" s="393"/>
      <c r="S205" s="347"/>
      <c r="T205" s="348"/>
    </row>
    <row r="206" spans="1:20" s="349" customFormat="1" x14ac:dyDescent="0.3">
      <c r="A206" s="344"/>
      <c r="B206" s="346"/>
      <c r="C206" s="346"/>
      <c r="D206" s="346"/>
      <c r="E206" s="346"/>
      <c r="F206" s="346"/>
      <c r="G206" s="346"/>
      <c r="H206" s="346"/>
      <c r="I206" s="346"/>
      <c r="J206" s="346"/>
      <c r="K206" s="346"/>
      <c r="L206" s="346"/>
      <c r="M206" s="346"/>
      <c r="N206" s="346"/>
      <c r="O206" s="346"/>
      <c r="P206" s="346"/>
      <c r="Q206" s="346"/>
      <c r="R206" s="346"/>
      <c r="S206" s="347"/>
      <c r="T206" s="348"/>
    </row>
    <row r="207" spans="1:20" s="349" customFormat="1" ht="18.600000000000001" thickBot="1" x14ac:dyDescent="0.4">
      <c r="A207" s="398"/>
      <c r="B207" s="399" t="str">
        <f>B133</f>
        <v>PM22 INVESTOR REPORT QUARTER ENDING MAY 2019</v>
      </c>
      <c r="C207" s="400"/>
      <c r="D207" s="400"/>
      <c r="E207" s="400"/>
      <c r="F207" s="400"/>
      <c r="G207" s="400"/>
      <c r="H207" s="400"/>
      <c r="I207" s="400"/>
      <c r="J207" s="400"/>
      <c r="K207" s="400"/>
      <c r="L207" s="400"/>
      <c r="M207" s="400"/>
      <c r="N207" s="400"/>
      <c r="O207" s="400"/>
      <c r="P207" s="400"/>
      <c r="Q207" s="400"/>
      <c r="R207" s="400"/>
      <c r="S207" s="402"/>
      <c r="T207" s="348"/>
    </row>
    <row r="208" spans="1:20" x14ac:dyDescent="0.3">
      <c r="A208" s="456"/>
      <c r="B208" s="457" t="s">
        <v>55</v>
      </c>
      <c r="C208" s="461"/>
      <c r="D208" s="462"/>
      <c r="E208" s="462"/>
      <c r="F208" s="462"/>
      <c r="G208" s="462"/>
      <c r="H208" s="462"/>
      <c r="I208" s="462"/>
      <c r="J208" s="462"/>
      <c r="K208" s="462"/>
      <c r="L208" s="462"/>
      <c r="M208" s="462"/>
      <c r="N208" s="462"/>
      <c r="O208" s="462"/>
      <c r="P208" s="462">
        <v>43616</v>
      </c>
      <c r="Q208" s="458"/>
      <c r="R208" s="458"/>
      <c r="S208" s="460"/>
      <c r="T208" s="247"/>
    </row>
    <row r="209" spans="1:20" x14ac:dyDescent="0.3">
      <c r="A209" s="312"/>
      <c r="B209" s="313"/>
      <c r="C209" s="314"/>
      <c r="D209" s="315"/>
      <c r="E209" s="315"/>
      <c r="F209" s="315"/>
      <c r="G209" s="315"/>
      <c r="H209" s="315"/>
      <c r="I209" s="315"/>
      <c r="J209" s="315"/>
      <c r="K209" s="315"/>
      <c r="L209" s="315"/>
      <c r="M209" s="315"/>
      <c r="N209" s="315"/>
      <c r="O209" s="315"/>
      <c r="P209" s="315"/>
      <c r="Q209" s="251"/>
      <c r="R209" s="251"/>
      <c r="S209" s="252"/>
      <c r="T209" s="247"/>
    </row>
    <row r="210" spans="1:20" s="349" customFormat="1" x14ac:dyDescent="0.3">
      <c r="A210" s="365"/>
      <c r="B210" s="358" t="s">
        <v>56</v>
      </c>
      <c r="C210" s="419"/>
      <c r="D210" s="387"/>
      <c r="E210" s="387"/>
      <c r="F210" s="387"/>
      <c r="G210" s="387"/>
      <c r="H210" s="387"/>
      <c r="I210" s="387"/>
      <c r="J210" s="387"/>
      <c r="K210" s="387"/>
      <c r="L210" s="387"/>
      <c r="M210" s="387"/>
      <c r="N210" s="387"/>
      <c r="O210" s="387"/>
      <c r="P210" s="379">
        <v>4.079E-2</v>
      </c>
      <c r="Q210" s="358"/>
      <c r="R210" s="358"/>
      <c r="S210" s="361"/>
      <c r="T210" s="348"/>
    </row>
    <row r="211" spans="1:20" s="349" customFormat="1" x14ac:dyDescent="0.3">
      <c r="A211" s="365"/>
      <c r="B211" s="358" t="s">
        <v>158</v>
      </c>
      <c r="C211" s="419"/>
      <c r="D211" s="387"/>
      <c r="E211" s="387"/>
      <c r="F211" s="387"/>
      <c r="G211" s="387"/>
      <c r="H211" s="387"/>
      <c r="I211" s="387"/>
      <c r="J211" s="387"/>
      <c r="K211" s="387"/>
      <c r="L211" s="387"/>
      <c r="M211" s="387"/>
      <c r="N211" s="387"/>
      <c r="O211" s="387"/>
      <c r="P211" s="379">
        <v>1.5340718167454973E-2</v>
      </c>
      <c r="Q211" s="358"/>
      <c r="R211" s="358"/>
      <c r="S211" s="361"/>
      <c r="T211" s="348"/>
    </row>
    <row r="212" spans="1:20" s="349" customFormat="1" x14ac:dyDescent="0.3">
      <c r="A212" s="365"/>
      <c r="B212" s="358" t="s">
        <v>57</v>
      </c>
      <c r="C212" s="419"/>
      <c r="D212" s="387"/>
      <c r="E212" s="387"/>
      <c r="F212" s="387"/>
      <c r="G212" s="387"/>
      <c r="H212" s="387"/>
      <c r="I212" s="387"/>
      <c r="J212" s="387"/>
      <c r="K212" s="387"/>
      <c r="L212" s="387"/>
      <c r="M212" s="387"/>
      <c r="N212" s="387"/>
      <c r="O212" s="387"/>
      <c r="P212" s="379">
        <f>P210-P211</f>
        <v>2.5449281832545027E-2</v>
      </c>
      <c r="Q212" s="358"/>
      <c r="R212" s="358"/>
      <c r="S212" s="361"/>
      <c r="T212" s="348"/>
    </row>
    <row r="213" spans="1:20" s="349" customFormat="1" x14ac:dyDescent="0.3">
      <c r="A213" s="365"/>
      <c r="B213" s="358" t="s">
        <v>161</v>
      </c>
      <c r="C213" s="419"/>
      <c r="D213" s="387"/>
      <c r="E213" s="387"/>
      <c r="F213" s="387"/>
      <c r="G213" s="387"/>
      <c r="H213" s="387"/>
      <c r="I213" s="387"/>
      <c r="J213" s="387"/>
      <c r="K213" s="387"/>
      <c r="L213" s="387"/>
      <c r="M213" s="387"/>
      <c r="N213" s="387"/>
      <c r="O213" s="387"/>
      <c r="P213" s="379">
        <v>4.8446299999999998E-2</v>
      </c>
      <c r="Q213" s="358"/>
      <c r="R213" s="358"/>
      <c r="S213" s="361"/>
      <c r="T213" s="348"/>
    </row>
    <row r="214" spans="1:20" s="349" customFormat="1" x14ac:dyDescent="0.3">
      <c r="A214" s="365"/>
      <c r="B214" s="358" t="s">
        <v>58</v>
      </c>
      <c r="C214" s="419"/>
      <c r="D214" s="387"/>
      <c r="E214" s="387"/>
      <c r="F214" s="387"/>
      <c r="G214" s="387"/>
      <c r="H214" s="387"/>
      <c r="I214" s="387"/>
      <c r="J214" s="387"/>
      <c r="K214" s="387"/>
      <c r="L214" s="387"/>
      <c r="M214" s="387"/>
      <c r="N214" s="387"/>
      <c r="O214" s="387"/>
      <c r="P214" s="379">
        <v>0</v>
      </c>
      <c r="Q214" s="358"/>
      <c r="R214" s="358"/>
      <c r="S214" s="361"/>
      <c r="T214" s="348"/>
    </row>
    <row r="215" spans="1:20" s="349" customFormat="1" x14ac:dyDescent="0.3">
      <c r="A215" s="365"/>
      <c r="B215" s="358" t="s">
        <v>159</v>
      </c>
      <c r="C215" s="419"/>
      <c r="D215" s="387"/>
      <c r="E215" s="387"/>
      <c r="F215" s="387"/>
      <c r="G215" s="387"/>
      <c r="H215" s="387"/>
      <c r="I215" s="387"/>
      <c r="J215" s="387"/>
      <c r="K215" s="387"/>
      <c r="L215" s="387"/>
      <c r="M215" s="387"/>
      <c r="N215" s="387"/>
      <c r="O215" s="387"/>
      <c r="P215" s="379">
        <v>0</v>
      </c>
      <c r="Q215" s="358"/>
      <c r="R215" s="358"/>
      <c r="S215" s="361"/>
      <c r="T215" s="348"/>
    </row>
    <row r="216" spans="1:20" s="349" customFormat="1" x14ac:dyDescent="0.3">
      <c r="A216" s="365"/>
      <c r="B216" s="358" t="s">
        <v>59</v>
      </c>
      <c r="C216" s="419"/>
      <c r="D216" s="387"/>
      <c r="E216" s="387"/>
      <c r="F216" s="387"/>
      <c r="G216" s="387"/>
      <c r="H216" s="387"/>
      <c r="I216" s="387"/>
      <c r="J216" s="387"/>
      <c r="K216" s="387"/>
      <c r="L216" s="387"/>
      <c r="M216" s="387"/>
      <c r="N216" s="387"/>
      <c r="O216" s="387"/>
      <c r="P216" s="379">
        <f>P214-P215</f>
        <v>0</v>
      </c>
      <c r="Q216" s="358"/>
      <c r="R216" s="358"/>
      <c r="S216" s="361"/>
      <c r="T216" s="348"/>
    </row>
    <row r="217" spans="1:20" s="349" customFormat="1" x14ac:dyDescent="0.3">
      <c r="A217" s="365"/>
      <c r="B217" s="358" t="s">
        <v>139</v>
      </c>
      <c r="C217" s="419"/>
      <c r="D217" s="387"/>
      <c r="E217" s="387"/>
      <c r="F217" s="387"/>
      <c r="G217" s="387"/>
      <c r="H217" s="387"/>
      <c r="I217" s="387"/>
      <c r="J217" s="387"/>
      <c r="K217" s="387"/>
      <c r="L217" s="387"/>
      <c r="M217" s="387"/>
      <c r="N217" s="387"/>
      <c r="O217" s="387"/>
      <c r="P217" s="379">
        <v>0</v>
      </c>
      <c r="Q217" s="358"/>
      <c r="R217" s="358"/>
      <c r="S217" s="361"/>
      <c r="T217" s="348"/>
    </row>
    <row r="218" spans="1:20" s="349" customFormat="1" x14ac:dyDescent="0.3">
      <c r="A218" s="365"/>
      <c r="B218" s="358" t="s">
        <v>132</v>
      </c>
      <c r="C218" s="419"/>
      <c r="D218" s="387"/>
      <c r="E218" s="387"/>
      <c r="F218" s="387"/>
      <c r="G218" s="387"/>
      <c r="H218" s="387"/>
      <c r="I218" s="387"/>
      <c r="J218" s="387"/>
      <c r="K218" s="387"/>
      <c r="L218" s="387"/>
      <c r="M218" s="387"/>
      <c r="N218" s="387"/>
      <c r="O218" s="387"/>
      <c r="P218" s="420">
        <v>52124</v>
      </c>
      <c r="Q218" s="358"/>
      <c r="R218" s="358"/>
      <c r="S218" s="361"/>
      <c r="T218" s="348"/>
    </row>
    <row r="219" spans="1:20" s="349" customFormat="1" x14ac:dyDescent="0.3">
      <c r="A219" s="365"/>
      <c r="B219" s="358" t="s">
        <v>187</v>
      </c>
      <c r="C219" s="419"/>
      <c r="D219" s="387"/>
      <c r="E219" s="387"/>
      <c r="F219" s="387"/>
      <c r="G219" s="387"/>
      <c r="H219" s="387"/>
      <c r="I219" s="387"/>
      <c r="J219" s="387"/>
      <c r="K219" s="387"/>
      <c r="L219" s="387"/>
      <c r="M219" s="387"/>
      <c r="N219" s="387"/>
      <c r="O219" s="387"/>
      <c r="P219" s="420">
        <v>15599</v>
      </c>
      <c r="Q219" s="358"/>
      <c r="R219" s="358"/>
      <c r="S219" s="361"/>
      <c r="T219" s="348"/>
    </row>
    <row r="220" spans="1:20" s="349" customFormat="1" x14ac:dyDescent="0.3">
      <c r="A220" s="365"/>
      <c r="B220" s="358" t="s">
        <v>188</v>
      </c>
      <c r="C220" s="419"/>
      <c r="D220" s="387"/>
      <c r="E220" s="387"/>
      <c r="F220" s="387"/>
      <c r="G220" s="387"/>
      <c r="H220" s="387"/>
      <c r="I220" s="387"/>
      <c r="J220" s="387"/>
      <c r="K220" s="387"/>
      <c r="L220" s="387"/>
      <c r="M220" s="387"/>
      <c r="N220" s="387"/>
      <c r="O220" s="387"/>
      <c r="P220" s="420">
        <v>15599</v>
      </c>
      <c r="Q220" s="358"/>
      <c r="R220" s="358"/>
      <c r="S220" s="361"/>
      <c r="T220" s="348"/>
    </row>
    <row r="221" spans="1:20" s="349" customFormat="1" x14ac:dyDescent="0.3">
      <c r="A221" s="365"/>
      <c r="B221" s="358" t="s">
        <v>259</v>
      </c>
      <c r="C221" s="419"/>
      <c r="D221" s="387"/>
      <c r="E221" s="387"/>
      <c r="F221" s="387"/>
      <c r="G221" s="387"/>
      <c r="H221" s="387"/>
      <c r="I221" s="387"/>
      <c r="J221" s="387"/>
      <c r="K221" s="387"/>
      <c r="L221" s="387"/>
      <c r="M221" s="387"/>
      <c r="N221" s="387"/>
      <c r="O221" s="387"/>
      <c r="P221" s="420">
        <v>15599</v>
      </c>
      <c r="Q221" s="358"/>
      <c r="R221" s="358"/>
      <c r="S221" s="361"/>
      <c r="T221" s="348"/>
    </row>
    <row r="222" spans="1:20" s="349" customFormat="1" x14ac:dyDescent="0.3">
      <c r="A222" s="365"/>
      <c r="B222" s="358" t="s">
        <v>60</v>
      </c>
      <c r="C222" s="419"/>
      <c r="D222" s="387"/>
      <c r="E222" s="387"/>
      <c r="F222" s="387"/>
      <c r="G222" s="387"/>
      <c r="H222" s="387"/>
      <c r="I222" s="387"/>
      <c r="J222" s="387"/>
      <c r="K222" s="387"/>
      <c r="L222" s="387"/>
      <c r="M222" s="387"/>
      <c r="N222" s="387"/>
      <c r="O222" s="387"/>
      <c r="P222" s="385">
        <v>20.55</v>
      </c>
      <c r="Q222" s="358" t="s">
        <v>90</v>
      </c>
      <c r="R222" s="358"/>
      <c r="S222" s="361"/>
      <c r="T222" s="348"/>
    </row>
    <row r="223" spans="1:20" s="349" customFormat="1" x14ac:dyDescent="0.3">
      <c r="A223" s="365"/>
      <c r="B223" s="358" t="s">
        <v>61</v>
      </c>
      <c r="C223" s="419"/>
      <c r="D223" s="387"/>
      <c r="E223" s="387"/>
      <c r="F223" s="387"/>
      <c r="G223" s="387"/>
      <c r="H223" s="387"/>
      <c r="I223" s="387"/>
      <c r="J223" s="387"/>
      <c r="K223" s="387"/>
      <c r="L223" s="387"/>
      <c r="M223" s="387"/>
      <c r="N223" s="387"/>
      <c r="O223" s="387"/>
      <c r="P223" s="385">
        <v>0</v>
      </c>
      <c r="Q223" s="358" t="s">
        <v>90</v>
      </c>
      <c r="R223" s="358"/>
      <c r="S223" s="361"/>
      <c r="T223" s="348"/>
    </row>
    <row r="224" spans="1:20" s="349" customFormat="1" x14ac:dyDescent="0.3">
      <c r="A224" s="365"/>
      <c r="B224" s="358" t="s">
        <v>62</v>
      </c>
      <c r="C224" s="419"/>
      <c r="D224" s="387"/>
      <c r="E224" s="387"/>
      <c r="F224" s="387"/>
      <c r="G224" s="387"/>
      <c r="H224" s="387"/>
      <c r="I224" s="387"/>
      <c r="J224" s="387"/>
      <c r="K224" s="387"/>
      <c r="L224" s="387"/>
      <c r="M224" s="387"/>
      <c r="N224" s="387"/>
      <c r="O224" s="387"/>
      <c r="P224" s="379">
        <f>(+J64+L64+P64)/H64</f>
        <v>1</v>
      </c>
      <c r="Q224" s="358"/>
      <c r="R224" s="358"/>
      <c r="S224" s="361"/>
      <c r="T224" s="348"/>
    </row>
    <row r="225" spans="1:20" s="349" customFormat="1" x14ac:dyDescent="0.3">
      <c r="A225" s="365"/>
      <c r="B225" s="358" t="s">
        <v>63</v>
      </c>
      <c r="C225" s="419"/>
      <c r="D225" s="387"/>
      <c r="E225" s="387"/>
      <c r="F225" s="387"/>
      <c r="G225" s="387"/>
      <c r="H225" s="387"/>
      <c r="I225" s="387"/>
      <c r="J225" s="387"/>
      <c r="K225" s="387"/>
      <c r="L225" s="387"/>
      <c r="M225" s="387"/>
      <c r="N225" s="387"/>
      <c r="O225" s="387"/>
      <c r="P225" s="379">
        <v>1</v>
      </c>
      <c r="Q225" s="358"/>
      <c r="R225" s="358"/>
      <c r="S225" s="361"/>
      <c r="T225" s="348"/>
    </row>
    <row r="226" spans="1:20" x14ac:dyDescent="0.3">
      <c r="A226" s="312"/>
      <c r="B226" s="316"/>
      <c r="C226" s="316"/>
      <c r="D226" s="277"/>
      <c r="E226" s="277"/>
      <c r="F226" s="277"/>
      <c r="G226" s="277"/>
      <c r="H226" s="277"/>
      <c r="I226" s="277"/>
      <c r="J226" s="277"/>
      <c r="K226" s="277"/>
      <c r="L226" s="277"/>
      <c r="M226" s="277"/>
      <c r="N226" s="277"/>
      <c r="O226" s="277"/>
      <c r="P226" s="297"/>
      <c r="Q226" s="277"/>
      <c r="R226" s="317"/>
      <c r="S226" s="252"/>
      <c r="T226" s="247"/>
    </row>
    <row r="227" spans="1:20" x14ac:dyDescent="0.3">
      <c r="A227" s="463"/>
      <c r="B227" s="452" t="s">
        <v>64</v>
      </c>
      <c r="C227" s="453"/>
      <c r="D227" s="453"/>
      <c r="E227" s="453"/>
      <c r="F227" s="453"/>
      <c r="G227" s="453"/>
      <c r="H227" s="453"/>
      <c r="I227" s="453"/>
      <c r="J227" s="453"/>
      <c r="K227" s="453"/>
      <c r="L227" s="453"/>
      <c r="M227" s="453"/>
      <c r="N227" s="453"/>
      <c r="O227" s="453" t="s">
        <v>83</v>
      </c>
      <c r="P227" s="469" t="s">
        <v>88</v>
      </c>
      <c r="Q227" s="447"/>
      <c r="R227" s="447"/>
      <c r="S227" s="445"/>
      <c r="T227" s="247"/>
    </row>
    <row r="228" spans="1:20" s="349" customFormat="1" x14ac:dyDescent="0.3">
      <c r="A228" s="464"/>
      <c r="B228" s="393" t="s">
        <v>65</v>
      </c>
      <c r="C228" s="408"/>
      <c r="D228" s="465"/>
      <c r="E228" s="465"/>
      <c r="F228" s="465"/>
      <c r="G228" s="465"/>
      <c r="H228" s="465"/>
      <c r="I228" s="465"/>
      <c r="J228" s="465"/>
      <c r="K228" s="465"/>
      <c r="L228" s="465"/>
      <c r="M228" s="465"/>
      <c r="N228" s="465"/>
      <c r="O228" s="465">
        <v>0</v>
      </c>
      <c r="P228" s="466">
        <v>0</v>
      </c>
      <c r="Q228" s="393"/>
      <c r="R228" s="467"/>
      <c r="S228" s="468"/>
      <c r="T228" s="348"/>
    </row>
    <row r="229" spans="1:20" s="349" customFormat="1" x14ac:dyDescent="0.3">
      <c r="A229" s="421"/>
      <c r="B229" s="358" t="s">
        <v>113</v>
      </c>
      <c r="C229" s="403"/>
      <c r="D229" s="366"/>
      <c r="E229" s="366"/>
      <c r="F229" s="366"/>
      <c r="G229" s="366"/>
      <c r="H229" s="366"/>
      <c r="I229" s="366"/>
      <c r="J229" s="366"/>
      <c r="K229" s="366"/>
      <c r="L229" s="366"/>
      <c r="M229" s="366"/>
      <c r="N229" s="366"/>
      <c r="O229" s="422">
        <f>+N281</f>
        <v>0</v>
      </c>
      <c r="P229" s="423">
        <f>+P281</f>
        <v>0</v>
      </c>
      <c r="Q229" s="358"/>
      <c r="R229" s="424"/>
      <c r="S229" s="425"/>
      <c r="T229" s="348"/>
    </row>
    <row r="230" spans="1:20" s="349" customFormat="1" x14ac:dyDescent="0.3">
      <c r="A230" s="421"/>
      <c r="B230" s="358" t="s">
        <v>66</v>
      </c>
      <c r="C230" s="403"/>
      <c r="D230" s="366"/>
      <c r="E230" s="366"/>
      <c r="F230" s="366"/>
      <c r="G230" s="366"/>
      <c r="H230" s="366"/>
      <c r="I230" s="366"/>
      <c r="J230" s="366"/>
      <c r="K230" s="366"/>
      <c r="L230" s="366"/>
      <c r="M230" s="366"/>
      <c r="N230" s="366"/>
      <c r="O230" s="422">
        <f>+N293</f>
        <v>0</v>
      </c>
      <c r="P230" s="423">
        <f>+P293</f>
        <v>0</v>
      </c>
      <c r="Q230" s="358"/>
      <c r="R230" s="424"/>
      <c r="S230" s="425"/>
      <c r="T230" s="348"/>
    </row>
    <row r="231" spans="1:20" x14ac:dyDescent="0.3">
      <c r="A231" s="318"/>
      <c r="B231" s="266" t="s">
        <v>284</v>
      </c>
      <c r="C231" s="321"/>
      <c r="D231" s="291"/>
      <c r="E231" s="291"/>
      <c r="F231" s="291"/>
      <c r="G231" s="291"/>
      <c r="H231" s="291"/>
      <c r="I231" s="291"/>
      <c r="J231" s="291"/>
      <c r="K231" s="291"/>
      <c r="L231" s="291"/>
      <c r="M231" s="291"/>
      <c r="N231" s="291"/>
      <c r="O231" s="263"/>
      <c r="P231" s="423">
        <f>+P64</f>
        <v>3897</v>
      </c>
      <c r="Q231" s="291"/>
      <c r="R231" s="322"/>
      <c r="S231" s="320"/>
      <c r="T231" s="247"/>
    </row>
    <row r="232" spans="1:20" x14ac:dyDescent="0.3">
      <c r="A232" s="318"/>
      <c r="B232" s="266" t="s">
        <v>140</v>
      </c>
      <c r="C232" s="321"/>
      <c r="D232" s="291"/>
      <c r="E232" s="291"/>
      <c r="F232" s="291"/>
      <c r="G232" s="291"/>
      <c r="H232" s="291"/>
      <c r="I232" s="291"/>
      <c r="J232" s="291"/>
      <c r="K232" s="291"/>
      <c r="L232" s="291"/>
      <c r="M232" s="291"/>
      <c r="N232" s="291"/>
      <c r="O232" s="263"/>
      <c r="P232" s="423">
        <f>-J77</f>
        <v>0</v>
      </c>
      <c r="Q232" s="291"/>
      <c r="R232" s="322"/>
      <c r="S232" s="320"/>
      <c r="T232" s="247"/>
    </row>
    <row r="233" spans="1:20" x14ac:dyDescent="0.3">
      <c r="A233" s="323"/>
      <c r="B233" s="266" t="s">
        <v>67</v>
      </c>
      <c r="C233" s="324"/>
      <c r="D233" s="291"/>
      <c r="E233" s="291"/>
      <c r="F233" s="291"/>
      <c r="G233" s="291"/>
      <c r="H233" s="291"/>
      <c r="I233" s="291"/>
      <c r="J233" s="291"/>
      <c r="K233" s="291"/>
      <c r="L233" s="291"/>
      <c r="M233" s="291"/>
      <c r="N233" s="291"/>
      <c r="O233" s="263"/>
      <c r="P233" s="319"/>
      <c r="Q233" s="291"/>
      <c r="R233" s="322"/>
      <c r="S233" s="325"/>
      <c r="T233" s="247"/>
    </row>
    <row r="234" spans="1:20" s="349" customFormat="1" x14ac:dyDescent="0.3">
      <c r="A234" s="426"/>
      <c r="B234" s="358" t="s">
        <v>68</v>
      </c>
      <c r="C234" s="358"/>
      <c r="D234" s="358"/>
      <c r="E234" s="358"/>
      <c r="F234" s="358"/>
      <c r="G234" s="358"/>
      <c r="H234" s="358"/>
      <c r="I234" s="358"/>
      <c r="J234" s="358"/>
      <c r="K234" s="358"/>
      <c r="L234" s="358"/>
      <c r="M234" s="358"/>
      <c r="N234" s="358"/>
      <c r="O234" s="366"/>
      <c r="P234" s="423">
        <f>R164</f>
        <v>0</v>
      </c>
      <c r="Q234" s="358"/>
      <c r="R234" s="424"/>
      <c r="S234" s="427"/>
      <c r="T234" s="348"/>
    </row>
    <row r="235" spans="1:20" s="349" customFormat="1" x14ac:dyDescent="0.3">
      <c r="A235" s="421"/>
      <c r="B235" s="358" t="s">
        <v>69</v>
      </c>
      <c r="C235" s="403"/>
      <c r="D235" s="358"/>
      <c r="E235" s="358"/>
      <c r="F235" s="358"/>
      <c r="G235" s="358"/>
      <c r="H235" s="358"/>
      <c r="I235" s="358"/>
      <c r="J235" s="358"/>
      <c r="K235" s="358"/>
      <c r="L235" s="358"/>
      <c r="M235" s="358"/>
      <c r="N235" s="358"/>
      <c r="O235" s="366"/>
      <c r="P235" s="423">
        <f>'Feb 19'!P233+P234</f>
        <v>0</v>
      </c>
      <c r="Q235" s="358"/>
      <c r="R235" s="424"/>
      <c r="S235" s="427"/>
      <c r="T235" s="348"/>
    </row>
    <row r="236" spans="1:20" x14ac:dyDescent="0.3">
      <c r="A236" s="323"/>
      <c r="B236" s="266" t="s">
        <v>151</v>
      </c>
      <c r="C236" s="324"/>
      <c r="D236" s="291"/>
      <c r="E236" s="291"/>
      <c r="F236" s="291"/>
      <c r="G236" s="291"/>
      <c r="H236" s="291"/>
      <c r="I236" s="291"/>
      <c r="J236" s="291"/>
      <c r="K236" s="291"/>
      <c r="L236" s="291"/>
      <c r="M236" s="291"/>
      <c r="N236" s="291"/>
      <c r="O236" s="264"/>
      <c r="P236" s="319"/>
      <c r="Q236" s="291"/>
      <c r="R236" s="322"/>
      <c r="S236" s="325"/>
      <c r="T236" s="247"/>
    </row>
    <row r="237" spans="1:20" s="349" customFormat="1" x14ac:dyDescent="0.3">
      <c r="A237" s="426"/>
      <c r="B237" s="358" t="s">
        <v>160</v>
      </c>
      <c r="C237" s="358"/>
      <c r="D237" s="358"/>
      <c r="E237" s="358"/>
      <c r="F237" s="358"/>
      <c r="G237" s="358"/>
      <c r="H237" s="358"/>
      <c r="I237" s="358"/>
      <c r="J237" s="358"/>
      <c r="K237" s="358"/>
      <c r="L237" s="358"/>
      <c r="M237" s="358"/>
      <c r="N237" s="358"/>
      <c r="O237" s="366">
        <v>0</v>
      </c>
      <c r="P237" s="423">
        <v>0</v>
      </c>
      <c r="Q237" s="358"/>
      <c r="R237" s="424"/>
      <c r="S237" s="427"/>
      <c r="T237" s="348"/>
    </row>
    <row r="238" spans="1:20" s="349" customFormat="1" x14ac:dyDescent="0.3">
      <c r="A238" s="421"/>
      <c r="B238" s="358" t="s">
        <v>70</v>
      </c>
      <c r="C238" s="383"/>
      <c r="D238" s="358"/>
      <c r="E238" s="358"/>
      <c r="F238" s="358"/>
      <c r="G238" s="358"/>
      <c r="H238" s="358"/>
      <c r="I238" s="358"/>
      <c r="J238" s="358"/>
      <c r="K238" s="358"/>
      <c r="L238" s="358"/>
      <c r="M238" s="358"/>
      <c r="N238" s="358"/>
      <c r="O238" s="358"/>
      <c r="P238" s="428">
        <v>0</v>
      </c>
      <c r="Q238" s="358"/>
      <c r="R238" s="424"/>
      <c r="S238" s="427"/>
      <c r="T238" s="348"/>
    </row>
    <row r="239" spans="1:20" s="349" customFormat="1" x14ac:dyDescent="0.3">
      <c r="A239" s="421"/>
      <c r="B239" s="358" t="s">
        <v>71</v>
      </c>
      <c r="C239" s="383"/>
      <c r="D239" s="358"/>
      <c r="E239" s="358"/>
      <c r="F239" s="358"/>
      <c r="G239" s="358"/>
      <c r="H239" s="358"/>
      <c r="I239" s="358"/>
      <c r="J239" s="358"/>
      <c r="K239" s="358"/>
      <c r="L239" s="358"/>
      <c r="M239" s="358"/>
      <c r="N239" s="358"/>
      <c r="O239" s="358"/>
      <c r="P239" s="428">
        <v>0</v>
      </c>
      <c r="Q239" s="358"/>
      <c r="R239" s="424"/>
      <c r="S239" s="427"/>
      <c r="T239" s="348"/>
    </row>
    <row r="240" spans="1:20" x14ac:dyDescent="0.3">
      <c r="A240" s="318"/>
      <c r="B240" s="266" t="s">
        <v>136</v>
      </c>
      <c r="C240" s="326"/>
      <c r="D240" s="291"/>
      <c r="E240" s="291"/>
      <c r="F240" s="291"/>
      <c r="G240" s="291"/>
      <c r="H240" s="291"/>
      <c r="I240" s="291"/>
      <c r="J240" s="291"/>
      <c r="K240" s="291"/>
      <c r="L240" s="291"/>
      <c r="M240" s="291"/>
      <c r="N240" s="291"/>
      <c r="O240" s="263"/>
      <c r="P240" s="327"/>
      <c r="Q240" s="291"/>
      <c r="R240" s="322"/>
      <c r="S240" s="325"/>
      <c r="T240" s="247"/>
    </row>
    <row r="241" spans="1:20" s="349" customFormat="1" x14ac:dyDescent="0.3">
      <c r="A241" s="421"/>
      <c r="B241" s="358" t="s">
        <v>160</v>
      </c>
      <c r="C241" s="383"/>
      <c r="D241" s="358"/>
      <c r="E241" s="358"/>
      <c r="F241" s="358"/>
      <c r="G241" s="358"/>
      <c r="H241" s="358"/>
      <c r="I241" s="358"/>
      <c r="J241" s="358"/>
      <c r="K241" s="358"/>
      <c r="L241" s="358"/>
      <c r="M241" s="358"/>
      <c r="N241" s="358"/>
      <c r="O241" s="366">
        <v>0</v>
      </c>
      <c r="P241" s="423">
        <v>0</v>
      </c>
      <c r="Q241" s="358"/>
      <c r="R241" s="424"/>
      <c r="S241" s="427"/>
      <c r="T241" s="348"/>
    </row>
    <row r="242" spans="1:20" s="349" customFormat="1" x14ac:dyDescent="0.3">
      <c r="A242" s="421"/>
      <c r="B242" s="358" t="s">
        <v>137</v>
      </c>
      <c r="C242" s="383"/>
      <c r="D242" s="358"/>
      <c r="E242" s="358"/>
      <c r="F242" s="358"/>
      <c r="G242" s="358"/>
      <c r="H242" s="358"/>
      <c r="I242" s="358"/>
      <c r="J242" s="358"/>
      <c r="K242" s="358"/>
      <c r="L242" s="358"/>
      <c r="M242" s="358"/>
      <c r="N242" s="358"/>
      <c r="O242" s="358"/>
      <c r="P242" s="428">
        <v>0</v>
      </c>
      <c r="Q242" s="358"/>
      <c r="R242" s="424"/>
      <c r="S242" s="427"/>
      <c r="T242" s="348"/>
    </row>
    <row r="243" spans="1:20" x14ac:dyDescent="0.3">
      <c r="A243" s="318"/>
      <c r="B243" s="324"/>
      <c r="C243" s="326"/>
      <c r="D243" s="291"/>
      <c r="E243" s="291"/>
      <c r="F243" s="291"/>
      <c r="G243" s="291"/>
      <c r="H243" s="291"/>
      <c r="I243" s="291"/>
      <c r="J243" s="291"/>
      <c r="K243" s="291"/>
      <c r="L243" s="291"/>
      <c r="M243" s="291"/>
      <c r="N243" s="291"/>
      <c r="O243" s="263"/>
      <c r="P243" s="327"/>
      <c r="Q243" s="291"/>
      <c r="R243" s="322"/>
      <c r="S243" s="325"/>
      <c r="T243" s="247"/>
    </row>
    <row r="244" spans="1:20" x14ac:dyDescent="0.3">
      <c r="A244" s="318"/>
      <c r="B244" s="324"/>
      <c r="C244" s="326"/>
      <c r="D244" s="291"/>
      <c r="E244" s="291"/>
      <c r="F244" s="291"/>
      <c r="G244" s="291"/>
      <c r="H244" s="291"/>
      <c r="I244" s="291"/>
      <c r="J244" s="291"/>
      <c r="K244" s="291"/>
      <c r="L244" s="291"/>
      <c r="M244" s="291"/>
      <c r="N244" s="291"/>
      <c r="O244" s="291"/>
      <c r="P244" s="328"/>
      <c r="Q244" s="291"/>
      <c r="R244" s="322"/>
      <c r="S244" s="325"/>
      <c r="T244" s="247"/>
    </row>
    <row r="245" spans="1:20" ht="18" x14ac:dyDescent="0.35">
      <c r="A245" s="318"/>
      <c r="B245" s="329" t="s">
        <v>129</v>
      </c>
      <c r="C245" s="326"/>
      <c r="D245" s="291"/>
      <c r="E245" s="291"/>
      <c r="F245" s="291"/>
      <c r="G245" s="291"/>
      <c r="H245" s="291"/>
      <c r="I245" s="291"/>
      <c r="J245" s="291"/>
      <c r="K245" s="291"/>
      <c r="L245" s="330"/>
      <c r="M245" s="291"/>
      <c r="N245" s="342" t="s">
        <v>291</v>
      </c>
      <c r="O245" s="330"/>
      <c r="P245" s="328"/>
      <c r="Q245" s="291"/>
      <c r="R245" s="322"/>
      <c r="S245" s="325"/>
      <c r="T245" s="247"/>
    </row>
    <row r="246" spans="1:20" ht="18" x14ac:dyDescent="0.35">
      <c r="A246" s="331"/>
      <c r="B246" s="332"/>
      <c r="C246" s="333"/>
      <c r="D246" s="277"/>
      <c r="E246" s="277"/>
      <c r="F246" s="277"/>
      <c r="G246" s="277"/>
      <c r="H246" s="277"/>
      <c r="I246" s="277"/>
      <c r="J246" s="277"/>
      <c r="K246" s="277"/>
      <c r="L246" s="334"/>
      <c r="M246" s="277"/>
      <c r="N246" s="277"/>
      <c r="O246" s="277"/>
      <c r="P246" s="335"/>
      <c r="Q246" s="277"/>
      <c r="R246" s="317"/>
      <c r="S246" s="336"/>
      <c r="T246" s="247"/>
    </row>
    <row r="247" spans="1:20" x14ac:dyDescent="0.3">
      <c r="A247" s="443"/>
      <c r="B247" s="452" t="s">
        <v>152</v>
      </c>
      <c r="C247" s="453"/>
      <c r="D247" s="453"/>
      <c r="E247" s="453"/>
      <c r="F247" s="453"/>
      <c r="G247" s="453"/>
      <c r="H247" s="453"/>
      <c r="I247" s="453"/>
      <c r="J247" s="453"/>
      <c r="K247" s="453"/>
      <c r="L247" s="453"/>
      <c r="M247" s="453"/>
      <c r="N247" s="469" t="s">
        <v>83</v>
      </c>
      <c r="O247" s="453" t="s">
        <v>84</v>
      </c>
      <c r="P247" s="469" t="s">
        <v>89</v>
      </c>
      <c r="Q247" s="453" t="s">
        <v>84</v>
      </c>
      <c r="R247" s="447"/>
      <c r="S247" s="470"/>
      <c r="T247" s="247"/>
    </row>
    <row r="248" spans="1:20" s="349" customFormat="1" x14ac:dyDescent="0.3">
      <c r="A248" s="344"/>
      <c r="B248" s="408" t="s">
        <v>72</v>
      </c>
      <c r="C248" s="471"/>
      <c r="D248" s="471"/>
      <c r="E248" s="471"/>
      <c r="F248" s="471"/>
      <c r="G248" s="471"/>
      <c r="H248" s="471"/>
      <c r="I248" s="471"/>
      <c r="J248" s="471"/>
      <c r="K248" s="471"/>
      <c r="L248" s="471"/>
      <c r="M248" s="471"/>
      <c r="N248" s="408">
        <f>+N260+N272+N284</f>
        <v>0</v>
      </c>
      <c r="O248" s="472">
        <v>0</v>
      </c>
      <c r="P248" s="411">
        <f t="shared" ref="P248:P255" si="5">+P260+P272+P284</f>
        <v>0</v>
      </c>
      <c r="Q248" s="472">
        <v>0</v>
      </c>
      <c r="R248" s="467"/>
      <c r="S248" s="473"/>
      <c r="T248" s="348"/>
    </row>
    <row r="249" spans="1:20" s="349" customFormat="1" x14ac:dyDescent="0.3">
      <c r="A249" s="365"/>
      <c r="B249" s="403" t="s">
        <v>73</v>
      </c>
      <c r="C249" s="429"/>
      <c r="D249" s="429"/>
      <c r="E249" s="429"/>
      <c r="F249" s="429"/>
      <c r="G249" s="429"/>
      <c r="H249" s="429"/>
      <c r="I249" s="429"/>
      <c r="J249" s="429"/>
      <c r="K249" s="429"/>
      <c r="L249" s="429"/>
      <c r="M249" s="429"/>
      <c r="N249" s="403">
        <f t="shared" ref="N249:N255" si="6">+N261+N273+N285</f>
        <v>0</v>
      </c>
      <c r="O249" s="430">
        <v>0</v>
      </c>
      <c r="P249" s="404">
        <f t="shared" si="5"/>
        <v>0</v>
      </c>
      <c r="Q249" s="430">
        <v>0</v>
      </c>
      <c r="R249" s="424"/>
      <c r="S249" s="427"/>
      <c r="T249" s="348"/>
    </row>
    <row r="250" spans="1:20" s="349" customFormat="1" x14ac:dyDescent="0.3">
      <c r="A250" s="365"/>
      <c r="B250" s="403" t="s">
        <v>74</v>
      </c>
      <c r="C250" s="429"/>
      <c r="D250" s="429"/>
      <c r="E250" s="429"/>
      <c r="F250" s="429"/>
      <c r="G250" s="429"/>
      <c r="H250" s="429"/>
      <c r="I250" s="429"/>
      <c r="J250" s="429"/>
      <c r="K250" s="429"/>
      <c r="L250" s="429"/>
      <c r="M250" s="429"/>
      <c r="N250" s="403">
        <f t="shared" si="6"/>
        <v>0</v>
      </c>
      <c r="O250" s="430">
        <v>0</v>
      </c>
      <c r="P250" s="404">
        <f t="shared" si="5"/>
        <v>0</v>
      </c>
      <c r="Q250" s="430">
        <v>0</v>
      </c>
      <c r="R250" s="424"/>
      <c r="S250" s="427"/>
      <c r="T250" s="348"/>
    </row>
    <row r="251" spans="1:20" s="349" customFormat="1" x14ac:dyDescent="0.3">
      <c r="A251" s="365"/>
      <c r="B251" s="403" t="s">
        <v>119</v>
      </c>
      <c r="C251" s="429"/>
      <c r="D251" s="429"/>
      <c r="E251" s="429"/>
      <c r="F251" s="429"/>
      <c r="G251" s="429"/>
      <c r="H251" s="429"/>
      <c r="I251" s="429"/>
      <c r="J251" s="429"/>
      <c r="K251" s="429"/>
      <c r="L251" s="429"/>
      <c r="M251" s="429"/>
      <c r="N251" s="403">
        <f t="shared" si="6"/>
        <v>0</v>
      </c>
      <c r="O251" s="430">
        <v>0</v>
      </c>
      <c r="P251" s="404">
        <f t="shared" si="5"/>
        <v>0</v>
      </c>
      <c r="Q251" s="430">
        <v>0</v>
      </c>
      <c r="R251" s="424"/>
      <c r="S251" s="427"/>
      <c r="T251" s="348"/>
    </row>
    <row r="252" spans="1:20" s="349" customFormat="1" x14ac:dyDescent="0.3">
      <c r="A252" s="365"/>
      <c r="B252" s="403" t="s">
        <v>120</v>
      </c>
      <c r="C252" s="429"/>
      <c r="D252" s="429"/>
      <c r="E252" s="429"/>
      <c r="F252" s="429"/>
      <c r="G252" s="429"/>
      <c r="H252" s="429"/>
      <c r="I252" s="429"/>
      <c r="J252" s="429"/>
      <c r="K252" s="429"/>
      <c r="L252" s="429"/>
      <c r="M252" s="429"/>
      <c r="N252" s="403">
        <f t="shared" si="6"/>
        <v>0</v>
      </c>
      <c r="O252" s="430">
        <v>0</v>
      </c>
      <c r="P252" s="404">
        <f t="shared" si="5"/>
        <v>0</v>
      </c>
      <c r="Q252" s="430">
        <v>0</v>
      </c>
      <c r="R252" s="424"/>
      <c r="S252" s="427"/>
      <c r="T252" s="348"/>
    </row>
    <row r="253" spans="1:20" s="349" customFormat="1" x14ac:dyDescent="0.3">
      <c r="A253" s="365"/>
      <c r="B253" s="403" t="s">
        <v>121</v>
      </c>
      <c r="C253" s="429"/>
      <c r="D253" s="429"/>
      <c r="E253" s="429"/>
      <c r="F253" s="429"/>
      <c r="G253" s="429"/>
      <c r="H253" s="429"/>
      <c r="I253" s="429"/>
      <c r="J253" s="429"/>
      <c r="K253" s="429"/>
      <c r="L253" s="429"/>
      <c r="M253" s="429"/>
      <c r="N253" s="403">
        <f t="shared" si="6"/>
        <v>0</v>
      </c>
      <c r="O253" s="430">
        <v>0</v>
      </c>
      <c r="P253" s="404">
        <f t="shared" si="5"/>
        <v>0</v>
      </c>
      <c r="Q253" s="430">
        <v>0</v>
      </c>
      <c r="R253" s="424"/>
      <c r="S253" s="427"/>
      <c r="T253" s="348"/>
    </row>
    <row r="254" spans="1:20" s="349" customFormat="1" x14ac:dyDescent="0.3">
      <c r="A254" s="365"/>
      <c r="B254" s="403" t="s">
        <v>122</v>
      </c>
      <c r="C254" s="429"/>
      <c r="D254" s="429"/>
      <c r="E254" s="429"/>
      <c r="F254" s="429"/>
      <c r="G254" s="429"/>
      <c r="H254" s="429"/>
      <c r="I254" s="429"/>
      <c r="J254" s="429"/>
      <c r="K254" s="429"/>
      <c r="L254" s="429"/>
      <c r="M254" s="429"/>
      <c r="N254" s="403">
        <f t="shared" si="6"/>
        <v>0</v>
      </c>
      <c r="O254" s="430">
        <v>0</v>
      </c>
      <c r="P254" s="404">
        <f t="shared" si="5"/>
        <v>0</v>
      </c>
      <c r="Q254" s="430">
        <v>0</v>
      </c>
      <c r="R254" s="424"/>
      <c r="S254" s="427"/>
      <c r="T254" s="348"/>
    </row>
    <row r="255" spans="1:20" s="349" customFormat="1" x14ac:dyDescent="0.3">
      <c r="A255" s="365"/>
      <c r="B255" s="403" t="s">
        <v>123</v>
      </c>
      <c r="C255" s="429"/>
      <c r="D255" s="429"/>
      <c r="E255" s="429"/>
      <c r="F255" s="429"/>
      <c r="G255" s="429"/>
      <c r="H255" s="429"/>
      <c r="I255" s="429"/>
      <c r="J255" s="429"/>
      <c r="K255" s="429"/>
      <c r="L255" s="429"/>
      <c r="M255" s="429"/>
      <c r="N255" s="403">
        <f t="shared" si="6"/>
        <v>0</v>
      </c>
      <c r="O255" s="430">
        <v>0</v>
      </c>
      <c r="P255" s="404">
        <f t="shared" si="5"/>
        <v>0</v>
      </c>
      <c r="Q255" s="430">
        <v>0</v>
      </c>
      <c r="R255" s="424"/>
      <c r="S255" s="427"/>
      <c r="T255" s="348"/>
    </row>
    <row r="256" spans="1:20" s="349" customFormat="1" x14ac:dyDescent="0.3">
      <c r="A256" s="365"/>
      <c r="B256" s="403"/>
      <c r="C256" s="429"/>
      <c r="D256" s="429"/>
      <c r="E256" s="429"/>
      <c r="F256" s="429"/>
      <c r="G256" s="429"/>
      <c r="H256" s="429"/>
      <c r="I256" s="429"/>
      <c r="J256" s="429"/>
      <c r="K256" s="429"/>
      <c r="L256" s="429"/>
      <c r="M256" s="429"/>
      <c r="N256" s="403"/>
      <c r="O256" s="430"/>
      <c r="P256" s="404"/>
      <c r="Q256" s="430"/>
      <c r="R256" s="424"/>
      <c r="S256" s="427"/>
      <c r="T256" s="348"/>
    </row>
    <row r="257" spans="1:21" s="349" customFormat="1" x14ac:dyDescent="0.3">
      <c r="A257" s="365"/>
      <c r="B257" s="358" t="s">
        <v>94</v>
      </c>
      <c r="C257" s="358"/>
      <c r="D257" s="431"/>
      <c r="E257" s="431"/>
      <c r="F257" s="431"/>
      <c r="G257" s="431"/>
      <c r="H257" s="431"/>
      <c r="I257" s="431"/>
      <c r="J257" s="431"/>
      <c r="K257" s="431"/>
      <c r="L257" s="431"/>
      <c r="M257" s="431"/>
      <c r="N257" s="403">
        <f>SUM(N248:N256)</f>
        <v>0</v>
      </c>
      <c r="O257" s="430">
        <f>SUM(O248:O256)</f>
        <v>0</v>
      </c>
      <c r="P257" s="404">
        <f>SUM(P248:P256)</f>
        <v>0</v>
      </c>
      <c r="Q257" s="430">
        <f>SUM(Q248:Q256)</f>
        <v>0</v>
      </c>
      <c r="R257" s="358"/>
      <c r="S257" s="361"/>
      <c r="T257" s="348"/>
    </row>
    <row r="258" spans="1:21" x14ac:dyDescent="0.3">
      <c r="A258" s="249"/>
      <c r="B258" s="316"/>
      <c r="C258" s="333"/>
      <c r="D258" s="277"/>
      <c r="E258" s="277"/>
      <c r="F258" s="277"/>
      <c r="G258" s="277"/>
      <c r="H258" s="277"/>
      <c r="I258" s="277"/>
      <c r="J258" s="277"/>
      <c r="K258" s="277"/>
      <c r="L258" s="277"/>
      <c r="M258" s="277"/>
      <c r="N258" s="277"/>
      <c r="O258" s="277"/>
      <c r="P258" s="335"/>
      <c r="Q258" s="277"/>
      <c r="R258" s="277"/>
      <c r="S258" s="252"/>
      <c r="T258" s="247"/>
    </row>
    <row r="259" spans="1:21" x14ac:dyDescent="0.3">
      <c r="A259" s="443"/>
      <c r="B259" s="452" t="s">
        <v>124</v>
      </c>
      <c r="C259" s="453"/>
      <c r="D259" s="453"/>
      <c r="E259" s="453"/>
      <c r="F259" s="453"/>
      <c r="G259" s="453"/>
      <c r="H259" s="453"/>
      <c r="I259" s="453"/>
      <c r="J259" s="453"/>
      <c r="K259" s="453"/>
      <c r="L259" s="453"/>
      <c r="M259" s="453"/>
      <c r="N259" s="469" t="s">
        <v>83</v>
      </c>
      <c r="O259" s="453" t="s">
        <v>84</v>
      </c>
      <c r="P259" s="469" t="s">
        <v>89</v>
      </c>
      <c r="Q259" s="453" t="s">
        <v>84</v>
      </c>
      <c r="R259" s="447"/>
      <c r="S259" s="470"/>
      <c r="T259" s="247"/>
    </row>
    <row r="260" spans="1:21" s="349" customFormat="1" x14ac:dyDescent="0.3">
      <c r="A260" s="344"/>
      <c r="B260" s="408" t="s">
        <v>72</v>
      </c>
      <c r="C260" s="471"/>
      <c r="D260" s="471"/>
      <c r="E260" s="471"/>
      <c r="F260" s="471"/>
      <c r="G260" s="471"/>
      <c r="H260" s="471"/>
      <c r="I260" s="471"/>
      <c r="J260" s="471"/>
      <c r="K260" s="471"/>
      <c r="L260" s="471"/>
      <c r="M260" s="471"/>
      <c r="N260" s="408">
        <v>0</v>
      </c>
      <c r="O260" s="472">
        <v>0</v>
      </c>
      <c r="P260" s="411">
        <v>0</v>
      </c>
      <c r="Q260" s="472">
        <v>0</v>
      </c>
      <c r="R260" s="467"/>
      <c r="S260" s="473"/>
      <c r="T260" s="348"/>
    </row>
    <row r="261" spans="1:21" s="349" customFormat="1" x14ac:dyDescent="0.3">
      <c r="A261" s="365"/>
      <c r="B261" s="403" t="s">
        <v>73</v>
      </c>
      <c r="C261" s="429"/>
      <c r="D261" s="429"/>
      <c r="E261" s="429"/>
      <c r="F261" s="429"/>
      <c r="G261" s="429"/>
      <c r="H261" s="429"/>
      <c r="I261" s="429"/>
      <c r="J261" s="429"/>
      <c r="K261" s="429"/>
      <c r="L261" s="429"/>
      <c r="M261" s="429"/>
      <c r="N261" s="403">
        <v>0</v>
      </c>
      <c r="O261" s="430">
        <v>0</v>
      </c>
      <c r="P261" s="404">
        <v>0</v>
      </c>
      <c r="Q261" s="430">
        <v>0</v>
      </c>
      <c r="R261" s="424"/>
      <c r="S261" s="427"/>
      <c r="T261" s="348"/>
      <c r="U261" s="407"/>
    </row>
    <row r="262" spans="1:21" s="349" customFormat="1" x14ac:dyDescent="0.3">
      <c r="A262" s="365"/>
      <c r="B262" s="403" t="s">
        <v>74</v>
      </c>
      <c r="C262" s="429"/>
      <c r="D262" s="429"/>
      <c r="E262" s="429"/>
      <c r="F262" s="429"/>
      <c r="G262" s="429"/>
      <c r="H262" s="429"/>
      <c r="I262" s="429"/>
      <c r="J262" s="429"/>
      <c r="K262" s="429"/>
      <c r="L262" s="429"/>
      <c r="M262" s="429"/>
      <c r="N262" s="403">
        <v>0</v>
      </c>
      <c r="O262" s="430">
        <v>0</v>
      </c>
      <c r="P262" s="404">
        <v>0</v>
      </c>
      <c r="Q262" s="430">
        <v>0</v>
      </c>
      <c r="R262" s="424"/>
      <c r="S262" s="427"/>
      <c r="T262" s="348"/>
    </row>
    <row r="263" spans="1:21" s="349" customFormat="1" x14ac:dyDescent="0.3">
      <c r="A263" s="365"/>
      <c r="B263" s="403" t="s">
        <v>119</v>
      </c>
      <c r="C263" s="429"/>
      <c r="D263" s="429"/>
      <c r="E263" s="429"/>
      <c r="F263" s="429"/>
      <c r="G263" s="429"/>
      <c r="H263" s="429"/>
      <c r="I263" s="429"/>
      <c r="J263" s="429"/>
      <c r="K263" s="429"/>
      <c r="L263" s="429"/>
      <c r="M263" s="429"/>
      <c r="N263" s="403">
        <v>0</v>
      </c>
      <c r="O263" s="430">
        <v>0</v>
      </c>
      <c r="P263" s="404">
        <v>0</v>
      </c>
      <c r="Q263" s="430">
        <v>0</v>
      </c>
      <c r="R263" s="424"/>
      <c r="S263" s="427"/>
      <c r="T263" s="348"/>
      <c r="U263" s="407"/>
    </row>
    <row r="264" spans="1:21" s="349" customFormat="1" x14ac:dyDescent="0.3">
      <c r="A264" s="365"/>
      <c r="B264" s="403" t="s">
        <v>120</v>
      </c>
      <c r="C264" s="429"/>
      <c r="D264" s="429"/>
      <c r="E264" s="429"/>
      <c r="F264" s="429"/>
      <c r="G264" s="429"/>
      <c r="H264" s="429"/>
      <c r="I264" s="429"/>
      <c r="J264" s="429"/>
      <c r="K264" s="429"/>
      <c r="L264" s="429"/>
      <c r="M264" s="429"/>
      <c r="N264" s="403">
        <v>0</v>
      </c>
      <c r="O264" s="430">
        <v>0</v>
      </c>
      <c r="P264" s="404">
        <v>0</v>
      </c>
      <c r="Q264" s="430">
        <v>0</v>
      </c>
      <c r="R264" s="424"/>
      <c r="S264" s="427"/>
      <c r="T264" s="348"/>
    </row>
    <row r="265" spans="1:21" s="349" customFormat="1" x14ac:dyDescent="0.3">
      <c r="A265" s="365"/>
      <c r="B265" s="403" t="s">
        <v>121</v>
      </c>
      <c r="C265" s="429"/>
      <c r="D265" s="429"/>
      <c r="E265" s="429"/>
      <c r="F265" s="429"/>
      <c r="G265" s="429"/>
      <c r="H265" s="429"/>
      <c r="I265" s="429"/>
      <c r="J265" s="429"/>
      <c r="K265" s="429"/>
      <c r="L265" s="429"/>
      <c r="M265" s="429"/>
      <c r="N265" s="403">
        <v>0</v>
      </c>
      <c r="O265" s="430">
        <v>0</v>
      </c>
      <c r="P265" s="404">
        <v>0</v>
      </c>
      <c r="Q265" s="430">
        <v>0</v>
      </c>
      <c r="R265" s="424"/>
      <c r="S265" s="427"/>
      <c r="T265" s="348"/>
      <c r="U265" s="407"/>
    </row>
    <row r="266" spans="1:21" s="349" customFormat="1" x14ac:dyDescent="0.3">
      <c r="A266" s="365"/>
      <c r="B266" s="403" t="s">
        <v>122</v>
      </c>
      <c r="C266" s="429"/>
      <c r="D266" s="429"/>
      <c r="E266" s="429"/>
      <c r="F266" s="429"/>
      <c r="G266" s="429"/>
      <c r="H266" s="429"/>
      <c r="I266" s="429"/>
      <c r="J266" s="429"/>
      <c r="K266" s="429"/>
      <c r="L266" s="429"/>
      <c r="M266" s="429"/>
      <c r="N266" s="403">
        <v>0</v>
      </c>
      <c r="O266" s="430">
        <v>0</v>
      </c>
      <c r="P266" s="404">
        <v>0</v>
      </c>
      <c r="Q266" s="430">
        <v>0</v>
      </c>
      <c r="R266" s="424"/>
      <c r="S266" s="427"/>
      <c r="T266" s="348"/>
    </row>
    <row r="267" spans="1:21" s="349" customFormat="1" x14ac:dyDescent="0.3">
      <c r="A267" s="365"/>
      <c r="B267" s="403" t="s">
        <v>123</v>
      </c>
      <c r="C267" s="429"/>
      <c r="D267" s="429"/>
      <c r="E267" s="429"/>
      <c r="F267" s="429"/>
      <c r="G267" s="429"/>
      <c r="H267" s="429"/>
      <c r="I267" s="429"/>
      <c r="J267" s="429"/>
      <c r="K267" s="429"/>
      <c r="L267" s="429"/>
      <c r="M267" s="429"/>
      <c r="N267" s="403">
        <v>0</v>
      </c>
      <c r="O267" s="430">
        <v>0</v>
      </c>
      <c r="P267" s="404">
        <v>0</v>
      </c>
      <c r="Q267" s="430">
        <v>0</v>
      </c>
      <c r="R267" s="424"/>
      <c r="S267" s="427"/>
      <c r="T267" s="348"/>
      <c r="U267" s="407"/>
    </row>
    <row r="268" spans="1:21" s="349" customFormat="1" x14ac:dyDescent="0.3">
      <c r="A268" s="365"/>
      <c r="B268" s="403"/>
      <c r="C268" s="429"/>
      <c r="D268" s="429"/>
      <c r="E268" s="429"/>
      <c r="F268" s="429"/>
      <c r="G268" s="429"/>
      <c r="H268" s="429"/>
      <c r="I268" s="429"/>
      <c r="J268" s="429"/>
      <c r="K268" s="429"/>
      <c r="L268" s="429"/>
      <c r="M268" s="429"/>
      <c r="N268" s="403"/>
      <c r="O268" s="430"/>
      <c r="P268" s="404"/>
      <c r="Q268" s="430"/>
      <c r="R268" s="424"/>
      <c r="S268" s="427"/>
      <c r="T268" s="348"/>
    </row>
    <row r="269" spans="1:21" s="349" customFormat="1" x14ac:dyDescent="0.3">
      <c r="A269" s="365"/>
      <c r="B269" s="358" t="s">
        <v>94</v>
      </c>
      <c r="C269" s="358"/>
      <c r="D269" s="431"/>
      <c r="E269" s="431"/>
      <c r="F269" s="431"/>
      <c r="G269" s="431"/>
      <c r="H269" s="431"/>
      <c r="I269" s="431"/>
      <c r="J269" s="431"/>
      <c r="K269" s="431"/>
      <c r="L269" s="431"/>
      <c r="M269" s="431"/>
      <c r="N269" s="403">
        <f>SUM(N260:N268)</f>
        <v>0</v>
      </c>
      <c r="O269" s="430">
        <f>SUM(O260:O268)</f>
        <v>0</v>
      </c>
      <c r="P269" s="404">
        <f>SUM(P260:P268)</f>
        <v>0</v>
      </c>
      <c r="Q269" s="430">
        <f>SUM(Q260:Q268)</f>
        <v>0</v>
      </c>
      <c r="R269" s="358"/>
      <c r="S269" s="361"/>
      <c r="T269" s="348"/>
    </row>
    <row r="270" spans="1:21" x14ac:dyDescent="0.3">
      <c r="A270" s="249"/>
      <c r="B270" s="277"/>
      <c r="C270" s="277"/>
      <c r="D270" s="337"/>
      <c r="E270" s="337"/>
      <c r="F270" s="337"/>
      <c r="G270" s="337"/>
      <c r="H270" s="337"/>
      <c r="I270" s="337"/>
      <c r="J270" s="337"/>
      <c r="K270" s="337"/>
      <c r="L270" s="337"/>
      <c r="M270" s="337"/>
      <c r="N270" s="287"/>
      <c r="O270" s="338"/>
      <c r="P270" s="339"/>
      <c r="Q270" s="338"/>
      <c r="R270" s="277"/>
      <c r="S270" s="252"/>
      <c r="T270" s="247"/>
    </row>
    <row r="271" spans="1:21" x14ac:dyDescent="0.3">
      <c r="A271" s="443"/>
      <c r="B271" s="452" t="s">
        <v>146</v>
      </c>
      <c r="C271" s="453"/>
      <c r="D271" s="453"/>
      <c r="E271" s="453"/>
      <c r="F271" s="453"/>
      <c r="G271" s="453"/>
      <c r="H271" s="453"/>
      <c r="I271" s="453"/>
      <c r="J271" s="453"/>
      <c r="K271" s="453"/>
      <c r="L271" s="453"/>
      <c r="M271" s="453"/>
      <c r="N271" s="469" t="s">
        <v>83</v>
      </c>
      <c r="O271" s="453" t="s">
        <v>84</v>
      </c>
      <c r="P271" s="469" t="s">
        <v>89</v>
      </c>
      <c r="Q271" s="453" t="s">
        <v>84</v>
      </c>
      <c r="R271" s="447"/>
      <c r="S271" s="445"/>
      <c r="T271" s="247"/>
    </row>
    <row r="272" spans="1:21" s="349" customFormat="1" x14ac:dyDescent="0.3">
      <c r="A272" s="344"/>
      <c r="B272" s="408" t="s">
        <v>72</v>
      </c>
      <c r="C272" s="471"/>
      <c r="D272" s="471"/>
      <c r="E272" s="471"/>
      <c r="F272" s="471"/>
      <c r="G272" s="471"/>
      <c r="H272" s="471"/>
      <c r="I272" s="471"/>
      <c r="J272" s="471"/>
      <c r="K272" s="471"/>
      <c r="L272" s="471"/>
      <c r="M272" s="471"/>
      <c r="N272" s="408">
        <v>0</v>
      </c>
      <c r="O272" s="472">
        <v>0</v>
      </c>
      <c r="P272" s="411">
        <v>0</v>
      </c>
      <c r="Q272" s="472">
        <v>0</v>
      </c>
      <c r="R272" s="393"/>
      <c r="S272" s="347"/>
      <c r="T272" s="348"/>
    </row>
    <row r="273" spans="1:20" s="349" customFormat="1" x14ac:dyDescent="0.3">
      <c r="A273" s="365"/>
      <c r="B273" s="403" t="s">
        <v>73</v>
      </c>
      <c r="C273" s="429"/>
      <c r="D273" s="429"/>
      <c r="E273" s="429"/>
      <c r="F273" s="429"/>
      <c r="G273" s="429"/>
      <c r="H273" s="429"/>
      <c r="I273" s="429"/>
      <c r="J273" s="429"/>
      <c r="K273" s="429"/>
      <c r="L273" s="429"/>
      <c r="M273" s="429"/>
      <c r="N273" s="403">
        <v>0</v>
      </c>
      <c r="O273" s="430">
        <v>0</v>
      </c>
      <c r="P273" s="404">
        <v>0</v>
      </c>
      <c r="Q273" s="430">
        <v>0</v>
      </c>
      <c r="R273" s="358"/>
      <c r="S273" s="361"/>
      <c r="T273" s="348"/>
    </row>
    <row r="274" spans="1:20" s="349" customFormat="1" x14ac:dyDescent="0.3">
      <c r="A274" s="365"/>
      <c r="B274" s="403" t="s">
        <v>74</v>
      </c>
      <c r="C274" s="429"/>
      <c r="D274" s="429"/>
      <c r="E274" s="429"/>
      <c r="F274" s="429"/>
      <c r="G274" s="429"/>
      <c r="H274" s="429"/>
      <c r="I274" s="429"/>
      <c r="J274" s="429"/>
      <c r="K274" s="429"/>
      <c r="L274" s="429"/>
      <c r="M274" s="429"/>
      <c r="N274" s="403">
        <v>0</v>
      </c>
      <c r="O274" s="430">
        <v>0</v>
      </c>
      <c r="P274" s="404">
        <v>0</v>
      </c>
      <c r="Q274" s="430">
        <v>0</v>
      </c>
      <c r="R274" s="358"/>
      <c r="S274" s="361"/>
      <c r="T274" s="348"/>
    </row>
    <row r="275" spans="1:20" s="349" customFormat="1" x14ac:dyDescent="0.3">
      <c r="A275" s="365"/>
      <c r="B275" s="403" t="s">
        <v>119</v>
      </c>
      <c r="C275" s="429"/>
      <c r="D275" s="429"/>
      <c r="E275" s="429"/>
      <c r="F275" s="429"/>
      <c r="G275" s="429"/>
      <c r="H275" s="429"/>
      <c r="I275" s="429"/>
      <c r="J275" s="429"/>
      <c r="K275" s="429"/>
      <c r="L275" s="429"/>
      <c r="M275" s="429"/>
      <c r="N275" s="403">
        <v>0</v>
      </c>
      <c r="O275" s="430">
        <v>0</v>
      </c>
      <c r="P275" s="404">
        <v>0</v>
      </c>
      <c r="Q275" s="430">
        <v>0</v>
      </c>
      <c r="R275" s="358"/>
      <c r="S275" s="361"/>
      <c r="T275" s="348"/>
    </row>
    <row r="276" spans="1:20" s="349" customFormat="1" x14ac:dyDescent="0.3">
      <c r="A276" s="365"/>
      <c r="B276" s="403" t="s">
        <v>120</v>
      </c>
      <c r="C276" s="429"/>
      <c r="D276" s="429"/>
      <c r="E276" s="429"/>
      <c r="F276" s="429"/>
      <c r="G276" s="429"/>
      <c r="H276" s="429"/>
      <c r="I276" s="429"/>
      <c r="J276" s="429"/>
      <c r="K276" s="429"/>
      <c r="L276" s="429"/>
      <c r="M276" s="429"/>
      <c r="N276" s="403">
        <v>0</v>
      </c>
      <c r="O276" s="430">
        <v>0</v>
      </c>
      <c r="P276" s="404">
        <v>0</v>
      </c>
      <c r="Q276" s="430">
        <v>0</v>
      </c>
      <c r="R276" s="358"/>
      <c r="S276" s="361"/>
      <c r="T276" s="348"/>
    </row>
    <row r="277" spans="1:20" s="349" customFormat="1" x14ac:dyDescent="0.3">
      <c r="A277" s="365"/>
      <c r="B277" s="403" t="s">
        <v>121</v>
      </c>
      <c r="C277" s="429"/>
      <c r="D277" s="429"/>
      <c r="E277" s="429"/>
      <c r="F277" s="429"/>
      <c r="G277" s="429"/>
      <c r="H277" s="429"/>
      <c r="I277" s="429"/>
      <c r="J277" s="429"/>
      <c r="K277" s="429"/>
      <c r="L277" s="429"/>
      <c r="M277" s="429"/>
      <c r="N277" s="403">
        <v>0</v>
      </c>
      <c r="O277" s="430">
        <v>0</v>
      </c>
      <c r="P277" s="404">
        <v>0</v>
      </c>
      <c r="Q277" s="430">
        <v>0</v>
      </c>
      <c r="R277" s="358"/>
      <c r="S277" s="361"/>
      <c r="T277" s="348"/>
    </row>
    <row r="278" spans="1:20" s="349" customFormat="1" x14ac:dyDescent="0.3">
      <c r="A278" s="365"/>
      <c r="B278" s="403" t="s">
        <v>122</v>
      </c>
      <c r="C278" s="429"/>
      <c r="D278" s="429"/>
      <c r="E278" s="429"/>
      <c r="F278" s="429"/>
      <c r="G278" s="429"/>
      <c r="H278" s="429"/>
      <c r="I278" s="429"/>
      <c r="J278" s="429"/>
      <c r="K278" s="429"/>
      <c r="L278" s="429"/>
      <c r="M278" s="429"/>
      <c r="N278" s="403">
        <v>0</v>
      </c>
      <c r="O278" s="430">
        <v>0</v>
      </c>
      <c r="P278" s="404">
        <v>0</v>
      </c>
      <c r="Q278" s="430">
        <v>0</v>
      </c>
      <c r="R278" s="358"/>
      <c r="S278" s="361"/>
      <c r="T278" s="348"/>
    </row>
    <row r="279" spans="1:20" s="349" customFormat="1" x14ac:dyDescent="0.3">
      <c r="A279" s="365"/>
      <c r="B279" s="403" t="s">
        <v>123</v>
      </c>
      <c r="C279" s="429"/>
      <c r="D279" s="429"/>
      <c r="E279" s="429"/>
      <c r="F279" s="429"/>
      <c r="G279" s="429"/>
      <c r="H279" s="429"/>
      <c r="I279" s="429"/>
      <c r="J279" s="429"/>
      <c r="K279" s="429"/>
      <c r="L279" s="429"/>
      <c r="M279" s="429"/>
      <c r="N279" s="403">
        <v>0</v>
      </c>
      <c r="O279" s="430">
        <v>0</v>
      </c>
      <c r="P279" s="404">
        <v>0</v>
      </c>
      <c r="Q279" s="430">
        <v>0</v>
      </c>
      <c r="R279" s="358"/>
      <c r="S279" s="361"/>
      <c r="T279" s="348"/>
    </row>
    <row r="280" spans="1:20" s="349" customFormat="1" x14ac:dyDescent="0.3">
      <c r="A280" s="365"/>
      <c r="B280" s="403"/>
      <c r="C280" s="429"/>
      <c r="D280" s="429"/>
      <c r="E280" s="429"/>
      <c r="F280" s="429"/>
      <c r="G280" s="429"/>
      <c r="H280" s="429"/>
      <c r="I280" s="429"/>
      <c r="J280" s="429"/>
      <c r="K280" s="429"/>
      <c r="L280" s="429"/>
      <c r="M280" s="429"/>
      <c r="N280" s="403"/>
      <c r="O280" s="430"/>
      <c r="P280" s="404"/>
      <c r="Q280" s="430"/>
      <c r="R280" s="358"/>
      <c r="S280" s="361"/>
      <c r="T280" s="348"/>
    </row>
    <row r="281" spans="1:20" s="349" customFormat="1" x14ac:dyDescent="0.3">
      <c r="A281" s="365"/>
      <c r="B281" s="358" t="s">
        <v>94</v>
      </c>
      <c r="C281" s="358"/>
      <c r="D281" s="431"/>
      <c r="E281" s="431"/>
      <c r="F281" s="431"/>
      <c r="G281" s="431"/>
      <c r="H281" s="431"/>
      <c r="I281" s="431"/>
      <c r="J281" s="431"/>
      <c r="K281" s="431"/>
      <c r="L281" s="431"/>
      <c r="M281" s="431"/>
      <c r="N281" s="403">
        <f>SUM(N272:N280)</f>
        <v>0</v>
      </c>
      <c r="O281" s="430">
        <f>SUM(O272:O280)</f>
        <v>0</v>
      </c>
      <c r="P281" s="404">
        <f>SUM(P272:P280)</f>
        <v>0</v>
      </c>
      <c r="Q281" s="430">
        <f>SUM(Q272:Q280)</f>
        <v>0</v>
      </c>
      <c r="R281" s="358"/>
      <c r="S281" s="361"/>
      <c r="T281" s="348"/>
    </row>
    <row r="282" spans="1:20" x14ac:dyDescent="0.3">
      <c r="A282" s="249"/>
      <c r="B282" s="277"/>
      <c r="C282" s="277"/>
      <c r="D282" s="337"/>
      <c r="E282" s="337"/>
      <c r="F282" s="337"/>
      <c r="G282" s="337"/>
      <c r="H282" s="337"/>
      <c r="I282" s="337"/>
      <c r="J282" s="337"/>
      <c r="K282" s="337"/>
      <c r="L282" s="337"/>
      <c r="M282" s="337"/>
      <c r="N282" s="287"/>
      <c r="O282" s="338"/>
      <c r="P282" s="339"/>
      <c r="Q282" s="338"/>
      <c r="R282" s="277"/>
      <c r="S282" s="252"/>
      <c r="T282" s="247"/>
    </row>
    <row r="283" spans="1:20" x14ac:dyDescent="0.3">
      <c r="A283" s="443"/>
      <c r="B283" s="452" t="s">
        <v>125</v>
      </c>
      <c r="C283" s="447"/>
      <c r="D283" s="475"/>
      <c r="E283" s="475"/>
      <c r="F283" s="475"/>
      <c r="G283" s="475"/>
      <c r="H283" s="475"/>
      <c r="I283" s="475"/>
      <c r="J283" s="475"/>
      <c r="K283" s="475"/>
      <c r="L283" s="475"/>
      <c r="M283" s="475"/>
      <c r="N283" s="469" t="s">
        <v>83</v>
      </c>
      <c r="O283" s="453" t="s">
        <v>84</v>
      </c>
      <c r="P283" s="469" t="s">
        <v>89</v>
      </c>
      <c r="Q283" s="453" t="s">
        <v>84</v>
      </c>
      <c r="R283" s="447"/>
      <c r="S283" s="445"/>
      <c r="T283" s="247"/>
    </row>
    <row r="284" spans="1:20" s="349" customFormat="1" x14ac:dyDescent="0.3">
      <c r="A284" s="344"/>
      <c r="B284" s="408" t="s">
        <v>72</v>
      </c>
      <c r="C284" s="393"/>
      <c r="D284" s="474"/>
      <c r="E284" s="474"/>
      <c r="F284" s="474"/>
      <c r="G284" s="474"/>
      <c r="H284" s="474"/>
      <c r="I284" s="474"/>
      <c r="J284" s="474"/>
      <c r="K284" s="474"/>
      <c r="L284" s="474"/>
      <c r="M284" s="474"/>
      <c r="N284" s="408">
        <v>0</v>
      </c>
      <c r="O284" s="472">
        <v>0</v>
      </c>
      <c r="P284" s="411">
        <v>0</v>
      </c>
      <c r="Q284" s="472">
        <v>0</v>
      </c>
      <c r="R284" s="393"/>
      <c r="S284" s="347"/>
      <c r="T284" s="348"/>
    </row>
    <row r="285" spans="1:20" s="349" customFormat="1" x14ac:dyDescent="0.3">
      <c r="A285" s="365"/>
      <c r="B285" s="403" t="s">
        <v>73</v>
      </c>
      <c r="C285" s="358"/>
      <c r="D285" s="431"/>
      <c r="E285" s="431"/>
      <c r="F285" s="431"/>
      <c r="G285" s="431"/>
      <c r="H285" s="431"/>
      <c r="I285" s="431"/>
      <c r="J285" s="431"/>
      <c r="K285" s="431"/>
      <c r="L285" s="431"/>
      <c r="M285" s="431"/>
      <c r="N285" s="403">
        <v>0</v>
      </c>
      <c r="O285" s="430">
        <v>0</v>
      </c>
      <c r="P285" s="404">
        <v>0</v>
      </c>
      <c r="Q285" s="430">
        <v>0</v>
      </c>
      <c r="R285" s="358"/>
      <c r="S285" s="361"/>
      <c r="T285" s="348"/>
    </row>
    <row r="286" spans="1:20" s="349" customFormat="1" x14ac:dyDescent="0.3">
      <c r="A286" s="365"/>
      <c r="B286" s="403" t="s">
        <v>74</v>
      </c>
      <c r="C286" s="358"/>
      <c r="D286" s="431"/>
      <c r="E286" s="431"/>
      <c r="F286" s="431"/>
      <c r="G286" s="431"/>
      <c r="H286" s="431"/>
      <c r="I286" s="431"/>
      <c r="J286" s="431"/>
      <c r="K286" s="431"/>
      <c r="L286" s="431"/>
      <c r="M286" s="431"/>
      <c r="N286" s="403">
        <v>0</v>
      </c>
      <c r="O286" s="430">
        <v>0</v>
      </c>
      <c r="P286" s="404">
        <v>0</v>
      </c>
      <c r="Q286" s="430">
        <v>0</v>
      </c>
      <c r="R286" s="358"/>
      <c r="S286" s="361"/>
      <c r="T286" s="348"/>
    </row>
    <row r="287" spans="1:20" s="349" customFormat="1" x14ac:dyDescent="0.3">
      <c r="A287" s="365"/>
      <c r="B287" s="403" t="s">
        <v>119</v>
      </c>
      <c r="C287" s="358"/>
      <c r="D287" s="431"/>
      <c r="E287" s="431"/>
      <c r="F287" s="431"/>
      <c r="G287" s="431"/>
      <c r="H287" s="431"/>
      <c r="I287" s="431"/>
      <c r="J287" s="431"/>
      <c r="K287" s="431"/>
      <c r="L287" s="431"/>
      <c r="M287" s="431"/>
      <c r="N287" s="403">
        <v>0</v>
      </c>
      <c r="O287" s="430">
        <v>0</v>
      </c>
      <c r="P287" s="404">
        <v>0</v>
      </c>
      <c r="Q287" s="430">
        <v>0</v>
      </c>
      <c r="R287" s="358"/>
      <c r="S287" s="361"/>
      <c r="T287" s="348"/>
    </row>
    <row r="288" spans="1:20" s="349" customFormat="1" x14ac:dyDescent="0.3">
      <c r="A288" s="365"/>
      <c r="B288" s="403" t="s">
        <v>120</v>
      </c>
      <c r="C288" s="358"/>
      <c r="D288" s="431"/>
      <c r="E288" s="431"/>
      <c r="F288" s="431"/>
      <c r="G288" s="431"/>
      <c r="H288" s="431"/>
      <c r="I288" s="431"/>
      <c r="J288" s="431"/>
      <c r="K288" s="431"/>
      <c r="L288" s="431"/>
      <c r="M288" s="431"/>
      <c r="N288" s="403">
        <v>0</v>
      </c>
      <c r="O288" s="430">
        <v>0</v>
      </c>
      <c r="P288" s="404">
        <v>0</v>
      </c>
      <c r="Q288" s="430">
        <v>0</v>
      </c>
      <c r="R288" s="358"/>
      <c r="S288" s="361"/>
      <c r="T288" s="348"/>
    </row>
    <row r="289" spans="1:20" s="349" customFormat="1" x14ac:dyDescent="0.3">
      <c r="A289" s="365"/>
      <c r="B289" s="403" t="s">
        <v>121</v>
      </c>
      <c r="C289" s="358"/>
      <c r="D289" s="431"/>
      <c r="E289" s="431"/>
      <c r="F289" s="431"/>
      <c r="G289" s="431"/>
      <c r="H289" s="431"/>
      <c r="I289" s="431"/>
      <c r="J289" s="431"/>
      <c r="K289" s="431"/>
      <c r="L289" s="431"/>
      <c r="M289" s="431"/>
      <c r="N289" s="403">
        <v>0</v>
      </c>
      <c r="O289" s="430">
        <v>0</v>
      </c>
      <c r="P289" s="404">
        <v>0</v>
      </c>
      <c r="Q289" s="430">
        <v>0</v>
      </c>
      <c r="R289" s="358"/>
      <c r="S289" s="361"/>
      <c r="T289" s="348"/>
    </row>
    <row r="290" spans="1:20" s="349" customFormat="1" x14ac:dyDescent="0.3">
      <c r="A290" s="365"/>
      <c r="B290" s="403" t="s">
        <v>122</v>
      </c>
      <c r="C290" s="358"/>
      <c r="D290" s="431"/>
      <c r="E290" s="431"/>
      <c r="F290" s="431"/>
      <c r="G290" s="431"/>
      <c r="H290" s="431"/>
      <c r="I290" s="431"/>
      <c r="J290" s="431"/>
      <c r="K290" s="431"/>
      <c r="L290" s="431"/>
      <c r="M290" s="431"/>
      <c r="N290" s="403">
        <v>0</v>
      </c>
      <c r="O290" s="430">
        <v>0</v>
      </c>
      <c r="P290" s="404">
        <v>0</v>
      </c>
      <c r="Q290" s="430">
        <v>0</v>
      </c>
      <c r="R290" s="358"/>
      <c r="S290" s="361"/>
      <c r="T290" s="348"/>
    </row>
    <row r="291" spans="1:20" s="349" customFormat="1" x14ac:dyDescent="0.3">
      <c r="A291" s="365"/>
      <c r="B291" s="403" t="s">
        <v>123</v>
      </c>
      <c r="C291" s="358"/>
      <c r="D291" s="431"/>
      <c r="E291" s="431"/>
      <c r="F291" s="431"/>
      <c r="G291" s="431"/>
      <c r="H291" s="431"/>
      <c r="I291" s="431"/>
      <c r="J291" s="431"/>
      <c r="K291" s="431"/>
      <c r="L291" s="431"/>
      <c r="M291" s="431"/>
      <c r="N291" s="403">
        <v>0</v>
      </c>
      <c r="O291" s="430">
        <v>0</v>
      </c>
      <c r="P291" s="404">
        <v>0</v>
      </c>
      <c r="Q291" s="430">
        <v>0</v>
      </c>
      <c r="R291" s="358"/>
      <c r="S291" s="361"/>
      <c r="T291" s="348"/>
    </row>
    <row r="292" spans="1:20" s="349" customFormat="1" x14ac:dyDescent="0.3">
      <c r="A292" s="365"/>
      <c r="B292" s="403"/>
      <c r="C292" s="358"/>
      <c r="D292" s="431"/>
      <c r="E292" s="431"/>
      <c r="F292" s="431"/>
      <c r="G292" s="431"/>
      <c r="H292" s="431"/>
      <c r="I292" s="431"/>
      <c r="J292" s="431"/>
      <c r="K292" s="431"/>
      <c r="L292" s="431"/>
      <c r="M292" s="431"/>
      <c r="N292" s="403"/>
      <c r="O292" s="430"/>
      <c r="P292" s="404"/>
      <c r="Q292" s="430"/>
      <c r="R292" s="358"/>
      <c r="S292" s="361"/>
      <c r="T292" s="348"/>
    </row>
    <row r="293" spans="1:20" s="349" customFormat="1" x14ac:dyDescent="0.3">
      <c r="A293" s="365"/>
      <c r="B293" s="358" t="s">
        <v>94</v>
      </c>
      <c r="C293" s="358"/>
      <c r="D293" s="431"/>
      <c r="E293" s="431"/>
      <c r="F293" s="431"/>
      <c r="G293" s="431"/>
      <c r="H293" s="431"/>
      <c r="I293" s="431"/>
      <c r="J293" s="431"/>
      <c r="K293" s="431"/>
      <c r="L293" s="431"/>
      <c r="M293" s="431"/>
      <c r="N293" s="403">
        <f>SUM(N284:N291)</f>
        <v>0</v>
      </c>
      <c r="O293" s="430">
        <f>SUM(O284:O291)</f>
        <v>0</v>
      </c>
      <c r="P293" s="404">
        <f>SUM(P284:P291)</f>
        <v>0</v>
      </c>
      <c r="Q293" s="430">
        <f>SUM(Q284:Q291)</f>
        <v>0</v>
      </c>
      <c r="R293" s="358"/>
      <c r="S293" s="361"/>
      <c r="T293" s="348"/>
    </row>
    <row r="294" spans="1:20" s="349" customFormat="1" x14ac:dyDescent="0.3">
      <c r="A294" s="365"/>
      <c r="B294" s="358"/>
      <c r="C294" s="358"/>
      <c r="D294" s="431"/>
      <c r="E294" s="431"/>
      <c r="F294" s="431"/>
      <c r="G294" s="431"/>
      <c r="H294" s="431"/>
      <c r="I294" s="431"/>
      <c r="J294" s="431"/>
      <c r="K294" s="431"/>
      <c r="L294" s="431"/>
      <c r="M294" s="431"/>
      <c r="N294" s="403"/>
      <c r="O294" s="430"/>
      <c r="P294" s="404"/>
      <c r="Q294" s="430"/>
      <c r="R294" s="358"/>
      <c r="S294" s="361"/>
      <c r="T294" s="348"/>
    </row>
    <row r="295" spans="1:20" s="349" customFormat="1" x14ac:dyDescent="0.3">
      <c r="A295" s="365"/>
      <c r="B295" s="362" t="s">
        <v>177</v>
      </c>
      <c r="C295" s="358"/>
      <c r="D295" s="431"/>
      <c r="E295" s="431"/>
      <c r="F295" s="431"/>
      <c r="G295" s="431"/>
      <c r="H295" s="431"/>
      <c r="I295" s="431"/>
      <c r="J295" s="431"/>
      <c r="K295" s="431"/>
      <c r="L295" s="431"/>
      <c r="M295" s="431"/>
      <c r="N295" s="432">
        <f>N293+N281+N269</f>
        <v>0</v>
      </c>
      <c r="O295" s="430"/>
      <c r="P295" s="433">
        <f>+P293+P281+P269</f>
        <v>0</v>
      </c>
      <c r="Q295" s="430"/>
      <c r="R295" s="358"/>
      <c r="S295" s="361"/>
      <c r="T295" s="348"/>
    </row>
    <row r="296" spans="1:20" s="349" customFormat="1" x14ac:dyDescent="0.3">
      <c r="A296" s="365"/>
      <c r="B296" s="362" t="s">
        <v>217</v>
      </c>
      <c r="C296" s="362"/>
      <c r="D296" s="434"/>
      <c r="E296" s="434"/>
      <c r="F296" s="434"/>
      <c r="G296" s="434"/>
      <c r="H296" s="434"/>
      <c r="I296" s="434"/>
      <c r="J296" s="434"/>
      <c r="K296" s="434"/>
      <c r="L296" s="434"/>
      <c r="M296" s="434"/>
      <c r="N296" s="432"/>
      <c r="O296" s="435"/>
      <c r="P296" s="433">
        <f>+R182</f>
        <v>0</v>
      </c>
      <c r="Q296" s="430"/>
      <c r="R296" s="358"/>
      <c r="S296" s="361"/>
      <c r="T296" s="348"/>
    </row>
    <row r="297" spans="1:20" s="349" customFormat="1" x14ac:dyDescent="0.3">
      <c r="A297" s="365"/>
      <c r="B297" s="362" t="s">
        <v>126</v>
      </c>
      <c r="C297" s="362"/>
      <c r="D297" s="434"/>
      <c r="E297" s="434"/>
      <c r="F297" s="434"/>
      <c r="G297" s="434"/>
      <c r="H297" s="434"/>
      <c r="I297" s="434"/>
      <c r="J297" s="434"/>
      <c r="K297" s="434"/>
      <c r="L297" s="434"/>
      <c r="M297" s="434"/>
      <c r="N297" s="432"/>
      <c r="O297" s="435"/>
      <c r="P297" s="433">
        <f>+P295+P296</f>
        <v>0</v>
      </c>
      <c r="Q297" s="430"/>
      <c r="R297" s="358"/>
      <c r="S297" s="361"/>
      <c r="T297" s="348"/>
    </row>
    <row r="298" spans="1:20" s="349" customFormat="1" x14ac:dyDescent="0.3">
      <c r="A298" s="365"/>
      <c r="B298" s="362" t="s">
        <v>176</v>
      </c>
      <c r="C298" s="358"/>
      <c r="D298" s="431"/>
      <c r="E298" s="431"/>
      <c r="F298" s="431"/>
      <c r="G298" s="431"/>
      <c r="H298" s="431"/>
      <c r="I298" s="431"/>
      <c r="J298" s="431"/>
      <c r="K298" s="431"/>
      <c r="L298" s="431"/>
      <c r="M298" s="431"/>
      <c r="N298" s="432"/>
      <c r="O298" s="430"/>
      <c r="P298" s="433">
        <f>+R80</f>
        <v>0</v>
      </c>
      <c r="Q298" s="430"/>
      <c r="R298" s="358"/>
      <c r="S298" s="361"/>
      <c r="T298" s="348"/>
    </row>
    <row r="299" spans="1:20" s="349" customFormat="1" x14ac:dyDescent="0.3">
      <c r="A299" s="365"/>
      <c r="B299" s="362"/>
      <c r="C299" s="358"/>
      <c r="D299" s="431"/>
      <c r="E299" s="431"/>
      <c r="F299" s="431"/>
      <c r="G299" s="431"/>
      <c r="H299" s="431"/>
      <c r="I299" s="431"/>
      <c r="J299" s="431"/>
      <c r="K299" s="431"/>
      <c r="L299" s="431"/>
      <c r="M299" s="431"/>
      <c r="N299" s="432"/>
      <c r="O299" s="430"/>
      <c r="P299" s="433"/>
      <c r="Q299" s="430"/>
      <c r="R299" s="358"/>
      <c r="S299" s="361"/>
      <c r="T299" s="348"/>
    </row>
    <row r="300" spans="1:20" s="349" customFormat="1" x14ac:dyDescent="0.3">
      <c r="A300" s="365"/>
      <c r="B300" s="362" t="s">
        <v>202</v>
      </c>
      <c r="C300" s="358"/>
      <c r="D300" s="431"/>
      <c r="E300" s="431"/>
      <c r="F300" s="431"/>
      <c r="G300" s="431"/>
      <c r="H300" s="431"/>
      <c r="I300" s="431"/>
      <c r="J300" s="431"/>
      <c r="K300" s="431"/>
      <c r="L300" s="431"/>
      <c r="M300" s="431"/>
      <c r="N300" s="432"/>
      <c r="O300" s="430"/>
      <c r="P300" s="436" t="s">
        <v>97</v>
      </c>
      <c r="Q300" s="430"/>
      <c r="R300" s="358"/>
      <c r="S300" s="361"/>
      <c r="T300" s="348"/>
    </row>
    <row r="301" spans="1:20" s="349" customFormat="1" x14ac:dyDescent="0.3">
      <c r="A301" s="344"/>
      <c r="B301" s="346"/>
      <c r="C301" s="346"/>
      <c r="D301" s="437"/>
      <c r="E301" s="437"/>
      <c r="F301" s="437"/>
      <c r="G301" s="437"/>
      <c r="H301" s="437"/>
      <c r="I301" s="437"/>
      <c r="J301" s="437"/>
      <c r="K301" s="437"/>
      <c r="L301" s="437"/>
      <c r="M301" s="437"/>
      <c r="N301" s="437"/>
      <c r="O301" s="437"/>
      <c r="P301" s="438"/>
      <c r="Q301" s="437"/>
      <c r="R301" s="346"/>
      <c r="S301" s="347"/>
      <c r="T301" s="348"/>
    </row>
    <row r="302" spans="1:20" s="349" customFormat="1" x14ac:dyDescent="0.3">
      <c r="A302" s="344"/>
      <c r="B302" s="350" t="s">
        <v>75</v>
      </c>
      <c r="C302" s="346"/>
      <c r="D302" s="439" t="s">
        <v>79</v>
      </c>
      <c r="E302" s="350"/>
      <c r="F302" s="350" t="s">
        <v>80</v>
      </c>
      <c r="G302" s="346"/>
      <c r="H302" s="350"/>
      <c r="I302" s="346"/>
      <c r="J302" s="346"/>
      <c r="K302" s="346"/>
      <c r="L302" s="346"/>
      <c r="M302" s="346"/>
      <c r="N302" s="346"/>
      <c r="O302" s="346"/>
      <c r="P302" s="346"/>
      <c r="Q302" s="346"/>
      <c r="R302" s="346"/>
      <c r="S302" s="347"/>
      <c r="T302" s="348"/>
    </row>
    <row r="303" spans="1:20" s="349" customFormat="1" x14ac:dyDescent="0.3">
      <c r="A303" s="344"/>
      <c r="B303" s="346"/>
      <c r="C303" s="346"/>
      <c r="D303" s="346"/>
      <c r="E303" s="346"/>
      <c r="F303" s="346"/>
      <c r="G303" s="346"/>
      <c r="H303" s="346"/>
      <c r="I303" s="346"/>
      <c r="J303" s="346"/>
      <c r="K303" s="346"/>
      <c r="L303" s="346"/>
      <c r="M303" s="346"/>
      <c r="N303" s="346"/>
      <c r="O303" s="346"/>
      <c r="P303" s="346"/>
      <c r="Q303" s="346"/>
      <c r="R303" s="346"/>
      <c r="S303" s="347"/>
      <c r="T303" s="348"/>
    </row>
    <row r="304" spans="1:20" s="349" customFormat="1" x14ac:dyDescent="0.3">
      <c r="A304" s="344"/>
      <c r="B304" s="350" t="s">
        <v>193</v>
      </c>
      <c r="C304" s="350"/>
      <c r="D304" s="440" t="s">
        <v>147</v>
      </c>
      <c r="E304" s="350"/>
      <c r="F304" s="441" t="s">
        <v>292</v>
      </c>
      <c r="G304" s="350"/>
      <c r="H304" s="350"/>
      <c r="I304" s="346"/>
      <c r="J304" s="346"/>
      <c r="K304" s="346"/>
      <c r="L304" s="346"/>
      <c r="M304" s="346"/>
      <c r="N304" s="346"/>
      <c r="O304" s="346"/>
      <c r="P304" s="346"/>
      <c r="Q304" s="346"/>
      <c r="R304" s="346"/>
      <c r="S304" s="347"/>
      <c r="T304" s="348"/>
    </row>
    <row r="305" spans="1:20" s="349" customFormat="1" x14ac:dyDescent="0.3">
      <c r="A305" s="344"/>
      <c r="B305" s="350" t="s">
        <v>194</v>
      </c>
      <c r="C305" s="350"/>
      <c r="D305" s="440" t="s">
        <v>114</v>
      </c>
      <c r="E305" s="350"/>
      <c r="F305" s="441" t="s">
        <v>293</v>
      </c>
      <c r="G305" s="350"/>
      <c r="H305" s="350"/>
      <c r="I305" s="346"/>
      <c r="J305" s="346"/>
      <c r="K305" s="346"/>
      <c r="L305" s="346"/>
      <c r="M305" s="346"/>
      <c r="N305" s="346"/>
      <c r="O305" s="346"/>
      <c r="P305" s="346"/>
      <c r="Q305" s="346"/>
      <c r="R305" s="346"/>
      <c r="S305" s="347"/>
      <c r="T305" s="348"/>
    </row>
    <row r="306" spans="1:20" x14ac:dyDescent="0.3">
      <c r="A306" s="340"/>
      <c r="B306" s="259"/>
      <c r="C306" s="259"/>
      <c r="D306" s="260"/>
      <c r="E306" s="260"/>
      <c r="F306" s="260"/>
      <c r="G306" s="260"/>
      <c r="H306" s="260"/>
      <c r="I306" s="260"/>
      <c r="J306" s="260"/>
      <c r="K306" s="260"/>
      <c r="L306" s="260"/>
      <c r="M306" s="260"/>
      <c r="N306" s="260"/>
      <c r="O306" s="260"/>
      <c r="P306" s="260"/>
      <c r="Q306" s="260"/>
      <c r="R306" s="260"/>
      <c r="S306" s="261"/>
      <c r="T306" s="247"/>
    </row>
    <row r="307" spans="1:20" x14ac:dyDescent="0.3">
      <c r="A307" s="340"/>
      <c r="B307" s="259"/>
      <c r="C307" s="259"/>
      <c r="D307" s="260"/>
      <c r="E307" s="260"/>
      <c r="F307" s="260"/>
      <c r="G307" s="260"/>
      <c r="H307" s="260"/>
      <c r="I307" s="260"/>
      <c r="J307" s="260"/>
      <c r="K307" s="260"/>
      <c r="L307" s="260"/>
      <c r="M307" s="260"/>
      <c r="N307" s="260"/>
      <c r="O307" s="260"/>
      <c r="P307" s="260"/>
      <c r="Q307" s="260"/>
      <c r="R307" s="260"/>
      <c r="S307" s="261"/>
      <c r="T307" s="247"/>
    </row>
    <row r="308" spans="1:20" ht="18.600000000000001" thickBot="1" x14ac:dyDescent="0.4">
      <c r="A308" s="340"/>
      <c r="B308" s="442" t="str">
        <f>B207</f>
        <v>PM22 INVESTOR REPORT QUARTER ENDING MAY 2019</v>
      </c>
      <c r="C308" s="259"/>
      <c r="D308" s="260"/>
      <c r="E308" s="260"/>
      <c r="F308" s="260"/>
      <c r="G308" s="260"/>
      <c r="H308" s="260"/>
      <c r="I308" s="260"/>
      <c r="J308" s="260"/>
      <c r="K308" s="260"/>
      <c r="L308" s="260"/>
      <c r="M308" s="260"/>
      <c r="N308" s="260"/>
      <c r="O308" s="260"/>
      <c r="P308" s="260"/>
      <c r="Q308" s="260"/>
      <c r="R308" s="260"/>
      <c r="S308" s="311"/>
      <c r="T308" s="247"/>
    </row>
    <row r="309" spans="1:20" x14ac:dyDescent="0.3">
      <c r="A309" s="341"/>
      <c r="B309" s="341"/>
      <c r="C309" s="341"/>
      <c r="D309" s="341"/>
      <c r="E309" s="341"/>
      <c r="F309" s="341"/>
      <c r="G309" s="341"/>
      <c r="H309" s="341"/>
      <c r="I309" s="341"/>
      <c r="J309" s="341"/>
      <c r="K309" s="341"/>
      <c r="L309" s="341"/>
      <c r="M309" s="341"/>
      <c r="N309" s="341"/>
      <c r="O309" s="341"/>
      <c r="P309" s="341"/>
      <c r="Q309" s="341"/>
      <c r="R309" s="341"/>
      <c r="S309" s="341"/>
    </row>
  </sheetData>
  <hyperlinks>
    <hyperlink ref="K9" r:id="rId1"/>
    <hyperlink ref="N245"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3" max="18" man="1"/>
    <brk id="207" max="18" man="1"/>
  </rowBreaks>
  <colBreaks count="1" manualBreakCount="1">
    <brk id="19" max="299"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R307"/>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221</v>
      </c>
      <c r="C1" s="11"/>
      <c r="D1" s="11"/>
      <c r="E1" s="11"/>
      <c r="F1" s="11"/>
      <c r="G1" s="11"/>
      <c r="H1" s="11"/>
      <c r="I1" s="11"/>
      <c r="J1" s="11"/>
      <c r="K1" s="11"/>
      <c r="L1" s="11"/>
      <c r="M1" s="11"/>
      <c r="N1" s="11"/>
      <c r="O1" s="11"/>
      <c r="P1" s="11"/>
      <c r="Q1" s="11"/>
      <c r="R1" s="11"/>
      <c r="S1" s="216"/>
      <c r="T1" s="2"/>
    </row>
    <row r="2" spans="1:20" ht="15.6" x14ac:dyDescent="0.3">
      <c r="A2" s="12"/>
      <c r="B2" s="13"/>
      <c r="C2" s="14"/>
      <c r="D2" s="14"/>
      <c r="E2" s="14"/>
      <c r="F2" s="14"/>
      <c r="G2" s="14"/>
      <c r="H2" s="14"/>
      <c r="I2" s="14"/>
      <c r="J2" s="14"/>
      <c r="K2" s="14"/>
      <c r="L2" s="14"/>
      <c r="M2" s="14"/>
      <c r="N2" s="14"/>
      <c r="O2" s="14"/>
      <c r="P2" s="14"/>
      <c r="Q2" s="14"/>
      <c r="R2" s="14"/>
      <c r="S2" s="217"/>
      <c r="T2" s="2"/>
    </row>
    <row r="3" spans="1:20" ht="15.6" x14ac:dyDescent="0.3">
      <c r="A3" s="15"/>
      <c r="B3" s="16" t="s">
        <v>222</v>
      </c>
      <c r="C3" s="14"/>
      <c r="D3" s="14"/>
      <c r="E3" s="14"/>
      <c r="F3" s="14"/>
      <c r="G3" s="14"/>
      <c r="H3" s="14"/>
      <c r="I3" s="14"/>
      <c r="J3" s="14"/>
      <c r="K3" s="14"/>
      <c r="L3" s="14"/>
      <c r="M3" s="14"/>
      <c r="N3" s="14"/>
      <c r="O3" s="14"/>
      <c r="P3" s="14"/>
      <c r="Q3" s="14"/>
      <c r="R3" s="14"/>
      <c r="S3" s="217"/>
      <c r="T3" s="2"/>
    </row>
    <row r="4" spans="1:20" ht="15.6" x14ac:dyDescent="0.3">
      <c r="A4" s="12"/>
      <c r="B4" s="13"/>
      <c r="C4" s="14"/>
      <c r="D4" s="14"/>
      <c r="E4" s="14"/>
      <c r="F4" s="14"/>
      <c r="G4" s="14"/>
      <c r="H4" s="14"/>
      <c r="I4" s="14"/>
      <c r="J4" s="14"/>
      <c r="K4" s="14"/>
      <c r="L4" s="14"/>
      <c r="M4" s="14"/>
      <c r="N4" s="14"/>
      <c r="O4" s="14"/>
      <c r="P4" s="14"/>
      <c r="Q4" s="14"/>
      <c r="R4" s="14"/>
      <c r="S4" s="217"/>
      <c r="T4" s="2"/>
    </row>
    <row r="5" spans="1:20" ht="15.6" x14ac:dyDescent="0.3">
      <c r="A5" s="12"/>
      <c r="B5" s="102" t="s">
        <v>109</v>
      </c>
      <c r="C5" s="14"/>
      <c r="D5" s="14"/>
      <c r="E5" s="14"/>
      <c r="F5" s="14"/>
      <c r="G5" s="14"/>
      <c r="H5" s="14"/>
      <c r="I5" s="14"/>
      <c r="J5" s="14"/>
      <c r="K5" s="14"/>
      <c r="L5" s="14"/>
      <c r="M5" s="14"/>
      <c r="N5" s="14"/>
      <c r="O5" s="14"/>
      <c r="P5" s="14"/>
      <c r="Q5" s="14"/>
      <c r="R5" s="14"/>
      <c r="S5" s="217"/>
      <c r="T5" s="2"/>
    </row>
    <row r="6" spans="1:20" ht="15.6" x14ac:dyDescent="0.3">
      <c r="A6" s="12"/>
      <c r="B6" s="102" t="s">
        <v>111</v>
      </c>
      <c r="C6" s="14"/>
      <c r="D6" s="14"/>
      <c r="E6" s="14"/>
      <c r="F6" s="14"/>
      <c r="G6" s="14"/>
      <c r="H6" s="14"/>
      <c r="I6" s="14"/>
      <c r="J6" s="14"/>
      <c r="K6" s="14"/>
      <c r="L6" s="14"/>
      <c r="M6" s="14"/>
      <c r="N6" s="14"/>
      <c r="O6" s="14"/>
      <c r="P6" s="14"/>
      <c r="Q6" s="14"/>
      <c r="R6" s="14"/>
      <c r="S6" s="217"/>
      <c r="T6" s="2"/>
    </row>
    <row r="7" spans="1:20" ht="15.6" x14ac:dyDescent="0.3">
      <c r="A7" s="12"/>
      <c r="B7" s="102" t="s">
        <v>110</v>
      </c>
      <c r="C7" s="14"/>
      <c r="D7" s="14"/>
      <c r="E7" s="14"/>
      <c r="F7" s="14"/>
      <c r="G7" s="14"/>
      <c r="H7" s="14"/>
      <c r="I7" s="14"/>
      <c r="J7" s="14"/>
      <c r="K7" s="14"/>
      <c r="L7" s="14"/>
      <c r="M7" s="14"/>
      <c r="N7" s="14"/>
      <c r="O7" s="14"/>
      <c r="P7" s="14"/>
      <c r="Q7" s="14"/>
      <c r="R7" s="14"/>
      <c r="S7" s="217"/>
      <c r="T7" s="2"/>
    </row>
    <row r="8" spans="1:20" ht="15.6" x14ac:dyDescent="0.3">
      <c r="A8" s="12"/>
      <c r="B8" s="17"/>
      <c r="C8" s="14"/>
      <c r="D8" s="14"/>
      <c r="E8" s="14"/>
      <c r="F8" s="14"/>
      <c r="G8" s="14"/>
      <c r="H8" s="14"/>
      <c r="I8" s="14"/>
      <c r="J8" s="14"/>
      <c r="K8" s="14"/>
      <c r="L8" s="14"/>
      <c r="M8" s="14"/>
      <c r="N8" s="14"/>
      <c r="O8" s="14"/>
      <c r="P8" s="14"/>
      <c r="Q8" s="14"/>
      <c r="R8" s="14"/>
      <c r="S8" s="217"/>
      <c r="T8" s="2"/>
    </row>
    <row r="9" spans="1:20" ht="17.399999999999999" x14ac:dyDescent="0.3">
      <c r="A9" s="12"/>
      <c r="B9" s="18" t="s">
        <v>127</v>
      </c>
      <c r="C9" s="14"/>
      <c r="D9" s="14"/>
      <c r="E9" s="19"/>
      <c r="F9" s="14"/>
      <c r="G9" s="14"/>
      <c r="H9" s="19"/>
      <c r="I9" s="14"/>
      <c r="J9" s="19"/>
      <c r="K9" s="19" t="s">
        <v>128</v>
      </c>
      <c r="L9" s="19"/>
      <c r="M9" s="14"/>
      <c r="N9" s="14"/>
      <c r="O9" s="14"/>
      <c r="P9" s="14"/>
      <c r="Q9" s="14"/>
      <c r="R9" s="14"/>
      <c r="S9" s="217"/>
      <c r="T9" s="2"/>
    </row>
    <row r="10" spans="1:20" ht="15.6" x14ac:dyDescent="0.3">
      <c r="A10" s="12"/>
      <c r="B10" s="17"/>
      <c r="C10" s="20"/>
      <c r="D10" s="14"/>
      <c r="E10" s="14"/>
      <c r="F10" s="14"/>
      <c r="G10" s="14"/>
      <c r="H10" s="14"/>
      <c r="I10" s="14"/>
      <c r="J10" s="14"/>
      <c r="K10" s="14"/>
      <c r="L10" s="14"/>
      <c r="M10" s="14"/>
      <c r="N10" s="14"/>
      <c r="O10" s="14"/>
      <c r="P10" s="14"/>
      <c r="Q10" s="14"/>
      <c r="R10" s="14"/>
      <c r="S10" s="217"/>
      <c r="T10" s="2"/>
    </row>
    <row r="11" spans="1:20" ht="15.6" x14ac:dyDescent="0.3">
      <c r="A11" s="12"/>
      <c r="B11" s="88" t="s">
        <v>0</v>
      </c>
      <c r="C11" s="14"/>
      <c r="D11" s="14"/>
      <c r="E11" s="14"/>
      <c r="F11" s="14"/>
      <c r="G11" s="14"/>
      <c r="H11" s="14"/>
      <c r="I11" s="14"/>
      <c r="J11" s="14"/>
      <c r="K11" s="14"/>
      <c r="L11" s="14"/>
      <c r="M11" s="14"/>
      <c r="N11" s="14"/>
      <c r="O11" s="14"/>
      <c r="P11" s="14"/>
      <c r="Q11" s="14"/>
      <c r="R11" s="14"/>
      <c r="S11" s="217"/>
      <c r="T11" s="2"/>
    </row>
    <row r="12" spans="1:20" ht="16.2" thickBot="1" x14ac:dyDescent="0.35">
      <c r="A12" s="12"/>
      <c r="B12" s="20"/>
      <c r="C12" s="14"/>
      <c r="D12" s="14"/>
      <c r="E12" s="14"/>
      <c r="F12" s="14"/>
      <c r="G12" s="14"/>
      <c r="H12" s="14"/>
      <c r="I12" s="14"/>
      <c r="J12" s="14"/>
      <c r="K12" s="14"/>
      <c r="L12" s="14"/>
      <c r="M12" s="14"/>
      <c r="N12" s="14"/>
      <c r="O12" s="14"/>
      <c r="P12" s="14"/>
      <c r="Q12" s="14"/>
      <c r="R12" s="14"/>
      <c r="S12" s="217"/>
      <c r="T12" s="2"/>
    </row>
    <row r="13" spans="1:20" ht="15.6" x14ac:dyDescent="0.3">
      <c r="A13" s="10"/>
      <c r="B13" s="11"/>
      <c r="C13" s="11"/>
      <c r="D13" s="11"/>
      <c r="E13" s="11"/>
      <c r="F13" s="11"/>
      <c r="G13" s="11"/>
      <c r="H13" s="11"/>
      <c r="I13" s="11"/>
      <c r="J13" s="11"/>
      <c r="K13" s="11"/>
      <c r="L13" s="11"/>
      <c r="M13" s="11"/>
      <c r="N13" s="11"/>
      <c r="O13" s="11"/>
      <c r="P13" s="11"/>
      <c r="Q13" s="11"/>
      <c r="R13" s="11"/>
      <c r="S13" s="216"/>
      <c r="T13" s="2"/>
    </row>
    <row r="14" spans="1:20" ht="15.6" x14ac:dyDescent="0.3">
      <c r="A14" s="12"/>
      <c r="B14" s="88" t="s">
        <v>1</v>
      </c>
      <c r="C14" s="84"/>
      <c r="D14" s="84"/>
      <c r="E14" s="84"/>
      <c r="F14" s="84"/>
      <c r="G14" s="84"/>
      <c r="H14" s="84"/>
      <c r="I14" s="84"/>
      <c r="J14" s="84"/>
      <c r="K14" s="84"/>
      <c r="L14" s="84"/>
      <c r="M14" s="84"/>
      <c r="N14" s="84"/>
      <c r="O14" s="84"/>
      <c r="P14" s="84"/>
      <c r="Q14" s="84"/>
      <c r="R14" s="103" t="s">
        <v>223</v>
      </c>
      <c r="S14" s="218"/>
      <c r="T14" s="2"/>
    </row>
    <row r="15" spans="1:20" ht="15.6" x14ac:dyDescent="0.3">
      <c r="A15" s="12"/>
      <c r="B15" s="88" t="s">
        <v>2</v>
      </c>
      <c r="C15" s="84"/>
      <c r="D15" s="104"/>
      <c r="E15" s="104"/>
      <c r="F15" s="104"/>
      <c r="G15" s="104"/>
      <c r="H15" s="104"/>
      <c r="I15" s="104"/>
      <c r="J15" s="104"/>
      <c r="K15" s="104"/>
      <c r="L15" s="104"/>
      <c r="M15" s="104"/>
      <c r="N15" s="105"/>
      <c r="O15" s="105"/>
      <c r="P15" s="105" t="s">
        <v>154</v>
      </c>
      <c r="Q15" s="105">
        <v>1</v>
      </c>
      <c r="R15" s="103"/>
      <c r="S15" s="218"/>
      <c r="T15" s="2"/>
    </row>
    <row r="16" spans="1:20" ht="15.6" x14ac:dyDescent="0.3">
      <c r="A16" s="12"/>
      <c r="B16" s="88" t="s">
        <v>3</v>
      </c>
      <c r="C16" s="84"/>
      <c r="D16" s="104"/>
      <c r="E16" s="104"/>
      <c r="F16" s="104"/>
      <c r="G16" s="104"/>
      <c r="H16" s="104"/>
      <c r="I16" s="104"/>
      <c r="J16" s="104"/>
      <c r="K16" s="104"/>
      <c r="L16" s="104"/>
      <c r="M16" s="104"/>
      <c r="N16" s="105"/>
      <c r="O16" s="230"/>
      <c r="P16" s="105" t="s">
        <v>154</v>
      </c>
      <c r="Q16" s="230">
        <v>1</v>
      </c>
      <c r="R16" s="103"/>
      <c r="S16" s="218"/>
      <c r="T16" s="2"/>
    </row>
    <row r="17" spans="1:23" ht="15.6" x14ac:dyDescent="0.3">
      <c r="A17" s="12"/>
      <c r="B17" s="88" t="s">
        <v>4</v>
      </c>
      <c r="C17" s="84"/>
      <c r="D17" s="84"/>
      <c r="E17" s="84"/>
      <c r="F17" s="84"/>
      <c r="G17" s="84"/>
      <c r="H17" s="84"/>
      <c r="I17" s="84"/>
      <c r="J17" s="84"/>
      <c r="K17" s="84"/>
      <c r="L17" s="84"/>
      <c r="M17" s="84"/>
      <c r="N17" s="84"/>
      <c r="O17" s="84"/>
      <c r="P17" s="84"/>
      <c r="Q17" s="84"/>
      <c r="R17" s="106">
        <v>42088</v>
      </c>
      <c r="S17" s="218"/>
      <c r="T17" s="2"/>
    </row>
    <row r="18" spans="1:23" ht="15.6" x14ac:dyDescent="0.3">
      <c r="A18" s="12"/>
      <c r="B18" s="88" t="s">
        <v>5</v>
      </c>
      <c r="C18" s="84"/>
      <c r="D18" s="84"/>
      <c r="E18" s="84"/>
      <c r="F18" s="84"/>
      <c r="G18" s="84"/>
      <c r="H18" s="84"/>
      <c r="I18" s="84"/>
      <c r="J18" s="84"/>
      <c r="K18" s="84"/>
      <c r="L18" s="84"/>
      <c r="M18" s="84"/>
      <c r="N18" s="84"/>
      <c r="O18" s="84"/>
      <c r="P18" s="84"/>
      <c r="Q18" s="84"/>
      <c r="R18" s="215">
        <v>42269</v>
      </c>
      <c r="S18" s="218"/>
      <c r="T18" s="2"/>
    </row>
    <row r="19" spans="1:23" ht="15.6" x14ac:dyDescent="0.3">
      <c r="A19" s="12"/>
      <c r="B19" s="14"/>
      <c r="C19" s="14"/>
      <c r="D19" s="14"/>
      <c r="E19" s="14"/>
      <c r="F19" s="14"/>
      <c r="G19" s="14"/>
      <c r="H19" s="14"/>
      <c r="I19" s="14"/>
      <c r="J19" s="14"/>
      <c r="K19" s="14"/>
      <c r="L19" s="14"/>
      <c r="M19" s="14"/>
      <c r="N19" s="14"/>
      <c r="O19" s="14"/>
      <c r="P19" s="14"/>
      <c r="Q19" s="14"/>
      <c r="R19" s="21"/>
      <c r="S19" s="217"/>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7"/>
      <c r="T20" s="2"/>
    </row>
    <row r="21" spans="1:23" ht="15.6" x14ac:dyDescent="0.3">
      <c r="A21" s="12"/>
      <c r="B21" s="14"/>
      <c r="C21" s="14"/>
      <c r="D21" s="14"/>
      <c r="E21" s="14"/>
      <c r="F21" s="14"/>
      <c r="G21" s="14"/>
      <c r="H21" s="14"/>
      <c r="I21" s="14"/>
      <c r="J21" s="14"/>
      <c r="K21" s="14"/>
      <c r="L21" s="14"/>
      <c r="M21" s="14"/>
      <c r="N21" s="14"/>
      <c r="O21" s="14"/>
      <c r="P21" s="14"/>
      <c r="Q21" s="14"/>
      <c r="R21" s="23"/>
      <c r="S21" s="217"/>
      <c r="T21" s="2"/>
    </row>
    <row r="22" spans="1:23" ht="15.6" x14ac:dyDescent="0.3">
      <c r="A22" s="53"/>
      <c r="B22" s="54"/>
      <c r="C22" s="55"/>
      <c r="D22" s="55" t="s">
        <v>232</v>
      </c>
      <c r="E22" s="55"/>
      <c r="F22" s="55" t="s">
        <v>233</v>
      </c>
      <c r="G22" s="55"/>
      <c r="H22" s="55" t="s">
        <v>179</v>
      </c>
      <c r="I22" s="55"/>
      <c r="J22" s="55" t="s">
        <v>180</v>
      </c>
      <c r="K22" s="55"/>
      <c r="L22" s="55" t="s">
        <v>234</v>
      </c>
      <c r="M22" s="55"/>
      <c r="N22" s="55"/>
      <c r="O22" s="56"/>
      <c r="P22" s="57"/>
      <c r="Q22" s="58"/>
      <c r="R22" s="58"/>
      <c r="S22" s="219"/>
      <c r="T22" s="2"/>
    </row>
    <row r="23" spans="1:23" ht="15.6" x14ac:dyDescent="0.3">
      <c r="A23" s="24"/>
      <c r="B23" s="79" t="s">
        <v>226</v>
      </c>
      <c r="C23" s="109"/>
      <c r="D23" s="109" t="s">
        <v>112</v>
      </c>
      <c r="E23" s="109"/>
      <c r="F23" s="109" t="s">
        <v>112</v>
      </c>
      <c r="G23" s="109"/>
      <c r="H23" s="109" t="s">
        <v>178</v>
      </c>
      <c r="I23" s="109"/>
      <c r="J23" s="109" t="s">
        <v>249</v>
      </c>
      <c r="K23" s="109"/>
      <c r="L23" s="109" t="s">
        <v>153</v>
      </c>
      <c r="M23" s="109"/>
      <c r="N23" s="109"/>
      <c r="O23" s="109"/>
      <c r="P23" s="109"/>
      <c r="Q23" s="100"/>
      <c r="R23" s="100"/>
      <c r="S23" s="220"/>
      <c r="T23" s="2"/>
    </row>
    <row r="24" spans="1:23" ht="15.6" x14ac:dyDescent="0.3">
      <c r="A24" s="117"/>
      <c r="B24" s="113" t="s">
        <v>197</v>
      </c>
      <c r="C24" s="119"/>
      <c r="D24" s="114" t="s">
        <v>199</v>
      </c>
      <c r="E24" s="114"/>
      <c r="F24" s="114" t="s">
        <v>199</v>
      </c>
      <c r="G24" s="114"/>
      <c r="H24" s="114" t="s">
        <v>200</v>
      </c>
      <c r="I24" s="114"/>
      <c r="J24" s="114" t="s">
        <v>201</v>
      </c>
      <c r="K24" s="114"/>
      <c r="L24" s="114" t="s">
        <v>153</v>
      </c>
      <c r="M24" s="114"/>
      <c r="N24" s="114"/>
      <c r="O24" s="119"/>
      <c r="P24" s="114"/>
      <c r="Q24" s="115"/>
      <c r="R24" s="115"/>
      <c r="S24" s="116"/>
      <c r="T24" s="2"/>
    </row>
    <row r="25" spans="1:23" ht="15.6" x14ac:dyDescent="0.3">
      <c r="A25" s="120"/>
      <c r="B25" s="124" t="s">
        <v>227</v>
      </c>
      <c r="C25" s="119"/>
      <c r="D25" s="119" t="s">
        <v>112</v>
      </c>
      <c r="E25" s="119"/>
      <c r="F25" s="119" t="s">
        <v>112</v>
      </c>
      <c r="G25" s="119"/>
      <c r="H25" s="119" t="s">
        <v>178</v>
      </c>
      <c r="I25" s="119"/>
      <c r="J25" s="119" t="s">
        <v>249</v>
      </c>
      <c r="K25" s="119"/>
      <c r="L25" s="119" t="s">
        <v>153</v>
      </c>
      <c r="M25" s="119"/>
      <c r="N25" s="119"/>
      <c r="O25" s="119"/>
      <c r="P25" s="114"/>
      <c r="Q25" s="115"/>
      <c r="R25" s="115"/>
      <c r="S25" s="116"/>
      <c r="T25" s="2"/>
      <c r="U25" s="211"/>
      <c r="W25" s="212"/>
    </row>
    <row r="26" spans="1:23" ht="15.6" x14ac:dyDescent="0.3">
      <c r="A26" s="122"/>
      <c r="B26" s="124" t="s">
        <v>198</v>
      </c>
      <c r="C26" s="114"/>
      <c r="D26" s="119" t="s">
        <v>199</v>
      </c>
      <c r="E26" s="119"/>
      <c r="F26" s="119" t="s">
        <v>199</v>
      </c>
      <c r="G26" s="119"/>
      <c r="H26" s="119" t="s">
        <v>200</v>
      </c>
      <c r="I26" s="119"/>
      <c r="J26" s="119" t="s">
        <v>201</v>
      </c>
      <c r="K26" s="119"/>
      <c r="L26" s="119" t="s">
        <v>153</v>
      </c>
      <c r="M26" s="119"/>
      <c r="N26" s="119"/>
      <c r="O26" s="114"/>
      <c r="P26" s="123"/>
      <c r="Q26" s="115"/>
      <c r="R26" s="115"/>
      <c r="S26" s="116"/>
      <c r="T26" s="2"/>
      <c r="U26" s="211"/>
      <c r="W26" s="212"/>
    </row>
    <row r="27" spans="1:23" ht="15.6" x14ac:dyDescent="0.3">
      <c r="A27" s="122"/>
      <c r="B27" s="113" t="s">
        <v>7</v>
      </c>
      <c r="C27" s="125"/>
      <c r="D27" s="114" t="s">
        <v>228</v>
      </c>
      <c r="E27" s="114"/>
      <c r="F27" s="114" t="s">
        <v>242</v>
      </c>
      <c r="G27" s="114"/>
      <c r="H27" s="114" t="s">
        <v>243</v>
      </c>
      <c r="I27" s="114"/>
      <c r="J27" s="114" t="s">
        <v>244</v>
      </c>
      <c r="K27" s="114"/>
      <c r="L27" s="114" t="s">
        <v>245</v>
      </c>
      <c r="M27" s="114"/>
      <c r="N27" s="114"/>
      <c r="O27" s="126"/>
      <c r="P27" s="126"/>
      <c r="Q27" s="127"/>
      <c r="R27" s="126"/>
      <c r="S27" s="128"/>
      <c r="T27" s="2"/>
      <c r="U27" s="211"/>
      <c r="W27" s="212"/>
    </row>
    <row r="28" spans="1:23" ht="15.6" x14ac:dyDescent="0.3">
      <c r="A28" s="120"/>
      <c r="B28" s="113" t="s">
        <v>106</v>
      </c>
      <c r="C28" s="129"/>
      <c r="D28" s="235">
        <v>164000</v>
      </c>
      <c r="E28" s="130"/>
      <c r="F28" s="201">
        <v>151700</v>
      </c>
      <c r="G28" s="198"/>
      <c r="H28" s="201">
        <v>12000</v>
      </c>
      <c r="I28" s="198"/>
      <c r="J28" s="201">
        <v>12000</v>
      </c>
      <c r="K28" s="126"/>
      <c r="L28" s="201">
        <v>7500</v>
      </c>
      <c r="M28" s="126"/>
      <c r="N28" s="130"/>
      <c r="O28" s="131"/>
      <c r="P28" s="131"/>
      <c r="Q28" s="132"/>
      <c r="R28" s="126"/>
      <c r="S28" s="128"/>
      <c r="T28" s="2"/>
    </row>
    <row r="29" spans="1:23" ht="15.6" x14ac:dyDescent="0.3">
      <c r="A29" s="122"/>
      <c r="B29" s="113" t="s">
        <v>105</v>
      </c>
      <c r="C29" s="125"/>
      <c r="D29" s="235">
        <f>D28*D35</f>
        <v>163588.3272</v>
      </c>
      <c r="E29" s="130"/>
      <c r="F29" s="201">
        <f>F28*F35</f>
        <v>151319.20266000001</v>
      </c>
      <c r="G29" s="201"/>
      <c r="H29" s="201">
        <f>H28</f>
        <v>12000</v>
      </c>
      <c r="I29" s="201"/>
      <c r="J29" s="201">
        <f>J28</f>
        <v>12000</v>
      </c>
      <c r="K29" s="126"/>
      <c r="L29" s="201">
        <f>L28</f>
        <v>7500</v>
      </c>
      <c r="M29" s="126"/>
      <c r="N29" s="130"/>
      <c r="O29" s="126"/>
      <c r="P29" s="126"/>
      <c r="Q29" s="127"/>
      <c r="R29" s="126"/>
      <c r="S29" s="128"/>
      <c r="T29" s="2"/>
    </row>
    <row r="30" spans="1:23" ht="15.6" x14ac:dyDescent="0.3">
      <c r="A30" s="122"/>
      <c r="B30" s="121" t="s">
        <v>107</v>
      </c>
      <c r="C30" s="125"/>
      <c r="D30" s="236">
        <f>D28*D34</f>
        <v>161309.2684</v>
      </c>
      <c r="E30" s="202"/>
      <c r="F30" s="202">
        <f t="shared" ref="F30" si="0">F28*F34</f>
        <v>149211.07326999999</v>
      </c>
      <c r="G30" s="202"/>
      <c r="H30" s="202">
        <f t="shared" ref="H30" si="1">H28*H34</f>
        <v>12000</v>
      </c>
      <c r="I30" s="202"/>
      <c r="J30" s="202">
        <f t="shared" ref="J30" si="2">J28*J34</f>
        <v>12000</v>
      </c>
      <c r="K30" s="202"/>
      <c r="L30" s="202">
        <f t="shared" ref="L30" si="3">L28*L34</f>
        <v>7500</v>
      </c>
      <c r="M30" s="131"/>
      <c r="N30" s="133"/>
      <c r="O30" s="126"/>
      <c r="P30" s="126"/>
      <c r="Q30" s="127"/>
      <c r="R30" s="203"/>
      <c r="S30" s="128"/>
      <c r="T30" s="2"/>
    </row>
    <row r="31" spans="1:23" ht="15.6" x14ac:dyDescent="0.3">
      <c r="A31" s="122"/>
      <c r="B31" s="113" t="s">
        <v>229</v>
      </c>
      <c r="C31" s="125"/>
      <c r="D31" s="201">
        <v>116809</v>
      </c>
      <c r="E31" s="201"/>
      <c r="F31" s="201">
        <v>151700</v>
      </c>
      <c r="G31" s="201"/>
      <c r="H31" s="201">
        <v>12000</v>
      </c>
      <c r="I31" s="201"/>
      <c r="J31" s="201">
        <v>12000</v>
      </c>
      <c r="K31" s="201"/>
      <c r="L31" s="201">
        <v>7500</v>
      </c>
      <c r="M31" s="126"/>
      <c r="N31" s="133"/>
      <c r="O31" s="126"/>
      <c r="P31" s="126"/>
      <c r="Q31" s="127"/>
      <c r="R31" s="126">
        <f>SUM(D31:L31)</f>
        <v>300009</v>
      </c>
      <c r="S31" s="128"/>
      <c r="T31" s="2"/>
    </row>
    <row r="32" spans="1:23" ht="15.6" x14ac:dyDescent="0.3">
      <c r="A32" s="122"/>
      <c r="B32" s="113" t="s">
        <v>230</v>
      </c>
      <c r="C32" s="125"/>
      <c r="D32" s="201">
        <f>D31*D35</f>
        <v>116515.7860482</v>
      </c>
      <c r="E32" s="201"/>
      <c r="F32" s="201">
        <f>F31*F35</f>
        <v>151319.20266000001</v>
      </c>
      <c r="G32" s="201"/>
      <c r="H32" s="201">
        <f>H31</f>
        <v>12000</v>
      </c>
      <c r="I32" s="201"/>
      <c r="J32" s="201">
        <f>+J31</f>
        <v>12000</v>
      </c>
      <c r="K32" s="201"/>
      <c r="L32" s="201">
        <f>L31</f>
        <v>7500</v>
      </c>
      <c r="M32" s="126"/>
      <c r="N32" s="133"/>
      <c r="O32" s="126"/>
      <c r="P32" s="126"/>
      <c r="Q32" s="127"/>
      <c r="R32" s="126">
        <f>SUM(D32:L32)</f>
        <v>299334.98870819999</v>
      </c>
      <c r="S32" s="128"/>
      <c r="T32" s="2"/>
    </row>
    <row r="33" spans="1:20" ht="15.6" x14ac:dyDescent="0.3">
      <c r="A33" s="122"/>
      <c r="B33" s="124" t="s">
        <v>231</v>
      </c>
      <c r="C33" s="125"/>
      <c r="D33" s="237">
        <f>D31*D34</f>
        <v>114892.52641789999</v>
      </c>
      <c r="E33" s="237"/>
      <c r="F33" s="237">
        <f>F31*F34</f>
        <v>149211.07326999999</v>
      </c>
      <c r="G33" s="237"/>
      <c r="H33" s="237">
        <f t="shared" ref="H33:L33" si="4">H31*H34</f>
        <v>12000</v>
      </c>
      <c r="I33" s="237"/>
      <c r="J33" s="237">
        <f t="shared" si="4"/>
        <v>12000</v>
      </c>
      <c r="K33" s="237"/>
      <c r="L33" s="237">
        <f t="shared" si="4"/>
        <v>7500</v>
      </c>
      <c r="M33" s="131"/>
      <c r="N33" s="133"/>
      <c r="O33" s="126"/>
      <c r="P33" s="126"/>
      <c r="Q33" s="127"/>
      <c r="R33" s="203">
        <f>SUM(D33:L33)</f>
        <v>295603.59968789999</v>
      </c>
      <c r="S33" s="128"/>
      <c r="T33" s="2"/>
    </row>
    <row r="34" spans="1:20" ht="15.6" x14ac:dyDescent="0.3">
      <c r="A34" s="112"/>
      <c r="B34" s="134" t="s">
        <v>103</v>
      </c>
      <c r="C34" s="135"/>
      <c r="D34" s="136">
        <v>0.9835931</v>
      </c>
      <c r="E34" s="136"/>
      <c r="F34" s="136">
        <v>0.9835931</v>
      </c>
      <c r="G34" s="136"/>
      <c r="H34" s="136">
        <v>1</v>
      </c>
      <c r="I34" s="136"/>
      <c r="J34" s="136">
        <v>1</v>
      </c>
      <c r="K34" s="136"/>
      <c r="L34" s="136">
        <v>1</v>
      </c>
      <c r="M34" s="136"/>
      <c r="N34" s="136"/>
      <c r="O34" s="137"/>
      <c r="P34" s="137"/>
      <c r="Q34" s="138"/>
      <c r="R34" s="204"/>
      <c r="S34" s="139"/>
      <c r="T34" s="2"/>
    </row>
    <row r="35" spans="1:20" ht="15.6" x14ac:dyDescent="0.3">
      <c r="A35" s="112"/>
      <c r="B35" s="134" t="s">
        <v>104</v>
      </c>
      <c r="C35" s="135"/>
      <c r="D35" s="136">
        <v>0.99748979999999998</v>
      </c>
      <c r="E35" s="136"/>
      <c r="F35" s="136">
        <v>0.99748979999999998</v>
      </c>
      <c r="G35" s="136"/>
      <c r="H35" s="136">
        <v>1</v>
      </c>
      <c r="I35" s="136"/>
      <c r="J35" s="136">
        <v>1</v>
      </c>
      <c r="K35" s="136"/>
      <c r="L35" s="136">
        <v>1</v>
      </c>
      <c r="M35" s="136"/>
      <c r="N35" s="136"/>
      <c r="O35" s="140"/>
      <c r="P35" s="141"/>
      <c r="Q35" s="138"/>
      <c r="R35" s="140"/>
      <c r="S35" s="139"/>
      <c r="T35" s="2"/>
    </row>
    <row r="36" spans="1:20" ht="15.6" x14ac:dyDescent="0.3">
      <c r="A36" s="112"/>
      <c r="B36" s="113" t="s">
        <v>8</v>
      </c>
      <c r="C36" s="113"/>
      <c r="D36" s="123" t="s">
        <v>240</v>
      </c>
      <c r="E36" s="123"/>
      <c r="F36" s="123" t="s">
        <v>220</v>
      </c>
      <c r="G36" s="123"/>
      <c r="H36" s="123" t="s">
        <v>247</v>
      </c>
      <c r="I36" s="123"/>
      <c r="J36" s="123" t="s">
        <v>250</v>
      </c>
      <c r="K36" s="123"/>
      <c r="L36" s="123" t="s">
        <v>252</v>
      </c>
      <c r="M36" s="123"/>
      <c r="N36" s="123"/>
      <c r="O36" s="142"/>
      <c r="P36" s="143"/>
      <c r="Q36" s="115"/>
      <c r="R36" s="115"/>
      <c r="S36" s="116"/>
      <c r="T36" s="2"/>
    </row>
    <row r="37" spans="1:20" ht="15.6" x14ac:dyDescent="0.3">
      <c r="A37" s="112"/>
      <c r="B37" s="113" t="s">
        <v>9</v>
      </c>
      <c r="C37" s="144"/>
      <c r="D37" s="143">
        <v>4.8599999999999997E-3</v>
      </c>
      <c r="E37" s="143"/>
      <c r="F37" s="143">
        <v>1.3712500000000001E-2</v>
      </c>
      <c r="G37" s="143"/>
      <c r="H37" s="143">
        <v>1.92125E-2</v>
      </c>
      <c r="I37" s="143"/>
      <c r="J37" s="143">
        <v>2.22125E-2</v>
      </c>
      <c r="K37" s="143"/>
      <c r="L37" s="143">
        <v>2.5712499999999999E-2</v>
      </c>
      <c r="M37" s="142"/>
      <c r="N37" s="143"/>
      <c r="O37" s="123"/>
      <c r="P37" s="123"/>
      <c r="Q37" s="115"/>
      <c r="R37" s="142"/>
      <c r="S37" s="116"/>
      <c r="T37" s="2"/>
    </row>
    <row r="38" spans="1:20" ht="15.6" x14ac:dyDescent="0.3">
      <c r="A38" s="112"/>
      <c r="B38" s="113" t="s">
        <v>10</v>
      </c>
      <c r="C38" s="144"/>
      <c r="D38" s="143">
        <v>5.1700000000000001E-3</v>
      </c>
      <c r="E38" s="143"/>
      <c r="F38" s="143">
        <v>1.3546300000000001E-2</v>
      </c>
      <c r="G38" s="143"/>
      <c r="H38" s="143">
        <v>1.9046299999999999E-2</v>
      </c>
      <c r="I38" s="143"/>
      <c r="J38" s="143">
        <v>2.2046300000000001E-2</v>
      </c>
      <c r="K38" s="143"/>
      <c r="L38" s="143">
        <v>2.5546300000000001E-2</v>
      </c>
      <c r="M38" s="142"/>
      <c r="N38" s="143"/>
      <c r="O38" s="123"/>
      <c r="P38" s="123"/>
      <c r="Q38" s="115"/>
      <c r="R38" s="115"/>
      <c r="S38" s="116"/>
      <c r="T38" s="2"/>
    </row>
    <row r="39" spans="1:20" ht="15.6" x14ac:dyDescent="0.3">
      <c r="A39" s="112"/>
      <c r="B39" s="113" t="s">
        <v>235</v>
      </c>
      <c r="C39" s="144"/>
      <c r="D39" s="240" t="s">
        <v>260</v>
      </c>
      <c r="E39" s="143"/>
      <c r="F39" s="143" t="s">
        <v>220</v>
      </c>
      <c r="G39" s="143"/>
      <c r="H39" s="143" t="s">
        <v>247</v>
      </c>
      <c r="I39" s="143"/>
      <c r="J39" s="123" t="s">
        <v>250</v>
      </c>
      <c r="K39" s="143"/>
      <c r="L39" s="143" t="s">
        <v>252</v>
      </c>
      <c r="M39" s="142"/>
      <c r="N39" s="143"/>
      <c r="O39" s="123"/>
      <c r="P39" s="123"/>
      <c r="Q39" s="115"/>
      <c r="R39" s="115"/>
      <c r="S39" s="116"/>
      <c r="T39" s="2"/>
    </row>
    <row r="40" spans="1:20" ht="15.6" x14ac:dyDescent="0.3">
      <c r="A40" s="112"/>
      <c r="B40" s="113" t="s">
        <v>236</v>
      </c>
      <c r="C40" s="144"/>
      <c r="D40" s="143">
        <v>1.6112499999999998E-2</v>
      </c>
      <c r="E40" s="143"/>
      <c r="F40" s="143">
        <f>+F37</f>
        <v>1.3712500000000001E-2</v>
      </c>
      <c r="G40" s="143"/>
      <c r="H40" s="143">
        <f>+H37</f>
        <v>1.92125E-2</v>
      </c>
      <c r="I40" s="143"/>
      <c r="J40" s="143">
        <f>+J37</f>
        <v>2.22125E-2</v>
      </c>
      <c r="K40" s="143"/>
      <c r="L40" s="143">
        <f>+L37</f>
        <v>2.5712499999999999E-2</v>
      </c>
      <c r="M40" s="142"/>
      <c r="N40" s="143"/>
      <c r="O40" s="123"/>
      <c r="P40" s="123"/>
      <c r="Q40" s="115"/>
      <c r="R40" s="142">
        <f>SUMPRODUCT(D40:L40,D32:L32)/R32</f>
        <v>1.5508607728120564E-2</v>
      </c>
      <c r="S40" s="116"/>
      <c r="T40" s="2"/>
    </row>
    <row r="41" spans="1:20" ht="15.6" x14ac:dyDescent="0.3">
      <c r="A41" s="112"/>
      <c r="B41" s="113" t="s">
        <v>237</v>
      </c>
      <c r="C41" s="144"/>
      <c r="D41" s="143">
        <v>1.59463E-2</v>
      </c>
      <c r="E41" s="143"/>
      <c r="F41" s="143">
        <f>+F38</f>
        <v>1.3546300000000001E-2</v>
      </c>
      <c r="G41" s="143"/>
      <c r="H41" s="143">
        <f>+H38</f>
        <v>1.9046299999999999E-2</v>
      </c>
      <c r="I41" s="143"/>
      <c r="J41" s="143">
        <f>+J38</f>
        <v>2.2046300000000001E-2</v>
      </c>
      <c r="K41" s="143"/>
      <c r="L41" s="143">
        <f>+L38</f>
        <v>2.5546300000000001E-2</v>
      </c>
      <c r="M41" s="142"/>
      <c r="N41" s="143"/>
      <c r="O41" s="123"/>
      <c r="P41" s="123"/>
      <c r="Q41" s="115"/>
      <c r="R41" s="115"/>
      <c r="S41" s="116"/>
      <c r="T41" s="2"/>
    </row>
    <row r="42" spans="1:20" ht="15.6" x14ac:dyDescent="0.3">
      <c r="A42" s="112"/>
      <c r="B42" s="113" t="s">
        <v>238</v>
      </c>
      <c r="C42" s="113"/>
      <c r="D42" s="144">
        <v>43631</v>
      </c>
      <c r="E42" s="144"/>
      <c r="F42" s="144">
        <v>43631</v>
      </c>
      <c r="G42" s="144"/>
      <c r="H42" s="144">
        <v>43631</v>
      </c>
      <c r="I42" s="144"/>
      <c r="J42" s="144">
        <v>43631</v>
      </c>
      <c r="K42" s="144"/>
      <c r="L42" s="144">
        <v>43631</v>
      </c>
      <c r="M42" s="144"/>
      <c r="N42" s="144"/>
      <c r="O42" s="123"/>
      <c r="P42" s="123"/>
      <c r="Q42" s="115"/>
      <c r="R42" s="115"/>
      <c r="S42" s="116"/>
      <c r="T42" s="2"/>
    </row>
    <row r="43" spans="1:20" ht="15.6" x14ac:dyDescent="0.3">
      <c r="A43" s="112"/>
      <c r="B43" s="113" t="s">
        <v>11</v>
      </c>
      <c r="C43" s="113"/>
      <c r="D43" s="144">
        <v>43631</v>
      </c>
      <c r="E43" s="144"/>
      <c r="F43" s="144">
        <v>43631</v>
      </c>
      <c r="G43" s="123"/>
      <c r="H43" s="144">
        <v>43631</v>
      </c>
      <c r="I43" s="123"/>
      <c r="J43" s="144">
        <v>43631</v>
      </c>
      <c r="K43" s="123"/>
      <c r="L43" s="144" t="s">
        <v>97</v>
      </c>
      <c r="M43" s="123"/>
      <c r="N43" s="144"/>
      <c r="O43" s="123"/>
      <c r="P43" s="123"/>
      <c r="Q43" s="115"/>
      <c r="R43" s="115"/>
      <c r="S43" s="116"/>
      <c r="T43" s="2"/>
    </row>
    <row r="44" spans="1:20" ht="15.6" x14ac:dyDescent="0.3">
      <c r="A44" s="112"/>
      <c r="B44" s="113" t="s">
        <v>98</v>
      </c>
      <c r="C44" s="113"/>
      <c r="D44" s="123" t="s">
        <v>241</v>
      </c>
      <c r="E44" s="123"/>
      <c r="F44" s="123" t="s">
        <v>246</v>
      </c>
      <c r="G44" s="123"/>
      <c r="H44" s="123" t="s">
        <v>248</v>
      </c>
      <c r="I44" s="123"/>
      <c r="J44" s="123" t="s">
        <v>251</v>
      </c>
      <c r="K44" s="123"/>
      <c r="L44" s="123" t="s">
        <v>97</v>
      </c>
      <c r="M44" s="123"/>
      <c r="N44" s="123"/>
      <c r="O44" s="145"/>
      <c r="P44" s="145"/>
      <c r="Q44" s="145"/>
      <c r="R44" s="145"/>
      <c r="S44" s="116"/>
      <c r="T44" s="2"/>
    </row>
    <row r="45" spans="1:20" ht="15.6" x14ac:dyDescent="0.3">
      <c r="A45" s="112"/>
      <c r="B45" s="113" t="s">
        <v>239</v>
      </c>
      <c r="C45" s="113"/>
      <c r="D45" s="123" t="s">
        <v>273</v>
      </c>
      <c r="E45" s="123"/>
      <c r="F45" s="123" t="s">
        <v>246</v>
      </c>
      <c r="G45" s="123"/>
      <c r="H45" s="123" t="s">
        <v>248</v>
      </c>
      <c r="I45" s="123"/>
      <c r="J45" s="123" t="s">
        <v>251</v>
      </c>
      <c r="K45" s="123"/>
      <c r="L45" s="123" t="s">
        <v>97</v>
      </c>
      <c r="M45" s="123"/>
      <c r="N45" s="123"/>
      <c r="O45" s="145"/>
      <c r="P45" s="145"/>
      <c r="Q45" s="145"/>
      <c r="R45" s="145"/>
      <c r="S45" s="116"/>
      <c r="T45" s="2"/>
    </row>
    <row r="46" spans="1:20" ht="15.6" x14ac:dyDescent="0.3">
      <c r="A46" s="112"/>
      <c r="B46" s="113"/>
      <c r="C46" s="113"/>
      <c r="D46" s="123"/>
      <c r="E46" s="123"/>
      <c r="F46" s="123"/>
      <c r="G46" s="123"/>
      <c r="H46" s="123"/>
      <c r="I46" s="123"/>
      <c r="J46" s="123"/>
      <c r="K46" s="123"/>
      <c r="L46" s="123"/>
      <c r="M46" s="123"/>
      <c r="N46" s="123"/>
      <c r="O46" s="113"/>
      <c r="P46" s="113"/>
      <c r="Q46" s="113"/>
      <c r="R46" s="142" t="s">
        <v>130</v>
      </c>
      <c r="S46" s="116"/>
      <c r="T46" s="2"/>
    </row>
    <row r="47" spans="1:20" ht="15.6" x14ac:dyDescent="0.3">
      <c r="A47" s="112"/>
      <c r="B47" s="113" t="s">
        <v>253</v>
      </c>
      <c r="C47" s="113"/>
      <c r="D47" s="123"/>
      <c r="E47" s="123"/>
      <c r="F47" s="123"/>
      <c r="G47" s="123"/>
      <c r="H47" s="123"/>
      <c r="I47" s="123"/>
      <c r="J47" s="123"/>
      <c r="K47" s="123"/>
      <c r="L47" s="123"/>
      <c r="M47" s="123"/>
      <c r="N47" s="123"/>
      <c r="O47" s="113"/>
      <c r="P47" s="113"/>
      <c r="Q47" s="113"/>
      <c r="R47" s="238">
        <f>SUM(H31:L31)/(D31+F31)</f>
        <v>0.11731450342446621</v>
      </c>
      <c r="S47" s="116"/>
      <c r="T47" s="2"/>
    </row>
    <row r="48" spans="1:20" ht="15.6" x14ac:dyDescent="0.3">
      <c r="A48" s="112"/>
      <c r="B48" s="113" t="s">
        <v>254</v>
      </c>
      <c r="C48" s="113"/>
      <c r="D48" s="113"/>
      <c r="E48" s="113"/>
      <c r="F48" s="113"/>
      <c r="G48" s="113"/>
      <c r="H48" s="113"/>
      <c r="I48" s="113"/>
      <c r="J48" s="113"/>
      <c r="K48" s="113"/>
      <c r="L48" s="113"/>
      <c r="M48" s="113"/>
      <c r="N48" s="113"/>
      <c r="O48" s="113"/>
      <c r="P48" s="113"/>
      <c r="Q48" s="113"/>
      <c r="R48" s="238">
        <f>SUM(H33:L33)/(D33+F33)</f>
        <v>0.11927137697943004</v>
      </c>
      <c r="S48" s="116"/>
      <c r="T48" s="2"/>
    </row>
    <row r="49" spans="1:21" ht="15.6" x14ac:dyDescent="0.3">
      <c r="A49" s="112"/>
      <c r="B49" s="113" t="s">
        <v>255</v>
      </c>
      <c r="C49" s="113"/>
      <c r="D49" s="113"/>
      <c r="E49" s="113"/>
      <c r="F49" s="113"/>
      <c r="G49" s="113"/>
      <c r="H49" s="113"/>
      <c r="I49" s="113"/>
      <c r="J49" s="113"/>
      <c r="K49" s="113"/>
      <c r="L49" s="113"/>
      <c r="M49" s="113"/>
      <c r="N49" s="113"/>
      <c r="O49" s="113"/>
      <c r="P49" s="123"/>
      <c r="Q49" s="123"/>
      <c r="R49" s="126" t="s">
        <v>149</v>
      </c>
      <c r="S49" s="116"/>
      <c r="T49" s="2"/>
    </row>
    <row r="50" spans="1:21" ht="15.6" x14ac:dyDescent="0.3">
      <c r="A50" s="112"/>
      <c r="B50" s="113"/>
      <c r="C50" s="113"/>
      <c r="D50" s="113"/>
      <c r="E50" s="113"/>
      <c r="F50" s="113"/>
      <c r="G50" s="113"/>
      <c r="H50" s="113"/>
      <c r="I50" s="113"/>
      <c r="J50" s="113"/>
      <c r="K50" s="113"/>
      <c r="L50" s="113"/>
      <c r="M50" s="113"/>
      <c r="N50" s="113"/>
      <c r="O50" s="113"/>
      <c r="P50" s="113"/>
      <c r="Q50" s="113"/>
      <c r="R50" s="146"/>
      <c r="S50" s="116"/>
      <c r="T50" s="2"/>
    </row>
    <row r="51" spans="1:21" ht="15.6" x14ac:dyDescent="0.3">
      <c r="A51" s="112"/>
      <c r="B51" s="113" t="s">
        <v>225</v>
      </c>
      <c r="C51" s="113"/>
      <c r="D51" s="113"/>
      <c r="E51" s="113"/>
      <c r="F51" s="113"/>
      <c r="G51" s="113"/>
      <c r="H51" s="113"/>
      <c r="I51" s="113"/>
      <c r="J51" s="113"/>
      <c r="K51" s="113"/>
      <c r="L51" s="113"/>
      <c r="M51" s="113"/>
      <c r="N51" s="113"/>
      <c r="O51" s="113"/>
      <c r="P51" s="113"/>
      <c r="Q51" s="113"/>
      <c r="R51" s="147" t="s">
        <v>91</v>
      </c>
      <c r="S51" s="116"/>
      <c r="T51" s="2"/>
    </row>
    <row r="52" spans="1:21" ht="15.6" x14ac:dyDescent="0.3">
      <c r="A52" s="112"/>
      <c r="B52" s="121" t="s">
        <v>131</v>
      </c>
      <c r="C52" s="121"/>
      <c r="D52" s="121"/>
      <c r="E52" s="121"/>
      <c r="F52" s="121"/>
      <c r="G52" s="121"/>
      <c r="H52" s="121"/>
      <c r="I52" s="121"/>
      <c r="J52" s="121"/>
      <c r="K52" s="121"/>
      <c r="L52" s="121"/>
      <c r="M52" s="121"/>
      <c r="N52" s="121"/>
      <c r="O52" s="121"/>
      <c r="P52" s="148"/>
      <c r="Q52" s="148"/>
      <c r="R52" s="149">
        <v>42262</v>
      </c>
      <c r="S52" s="116"/>
      <c r="T52" s="2"/>
    </row>
    <row r="53" spans="1:21" ht="15.6" x14ac:dyDescent="0.3">
      <c r="A53" s="112"/>
      <c r="B53" s="113" t="s">
        <v>99</v>
      </c>
      <c r="C53" s="113"/>
      <c r="D53" s="150"/>
      <c r="E53" s="150"/>
      <c r="F53" s="150"/>
      <c r="G53" s="150"/>
      <c r="H53" s="150"/>
      <c r="I53" s="150"/>
      <c r="J53" s="150"/>
      <c r="K53" s="150"/>
      <c r="L53" s="150"/>
      <c r="M53" s="150"/>
      <c r="N53" s="113">
        <f>+R53-P53+1</f>
        <v>82</v>
      </c>
      <c r="O53" s="113"/>
      <c r="P53" s="151">
        <v>42088</v>
      </c>
      <c r="Q53" s="152"/>
      <c r="R53" s="151">
        <v>42169</v>
      </c>
      <c r="S53" s="116"/>
      <c r="T53" s="2"/>
    </row>
    <row r="54" spans="1:21" ht="15.6" x14ac:dyDescent="0.3">
      <c r="A54" s="112"/>
      <c r="B54" s="113" t="s">
        <v>100</v>
      </c>
      <c r="C54" s="113"/>
      <c r="D54" s="113"/>
      <c r="E54" s="113"/>
      <c r="F54" s="113"/>
      <c r="G54" s="113"/>
      <c r="H54" s="113"/>
      <c r="I54" s="113"/>
      <c r="J54" s="113"/>
      <c r="K54" s="113"/>
      <c r="L54" s="113"/>
      <c r="M54" s="113"/>
      <c r="N54" s="113">
        <f>+R54-P54+1</f>
        <v>92</v>
      </c>
      <c r="O54" s="113"/>
      <c r="P54" s="151">
        <v>42170</v>
      </c>
      <c r="Q54" s="152"/>
      <c r="R54" s="151">
        <v>42261</v>
      </c>
      <c r="S54" s="116"/>
      <c r="T54" s="2"/>
    </row>
    <row r="55" spans="1:21" ht="15.6" x14ac:dyDescent="0.3">
      <c r="A55" s="112"/>
      <c r="B55" s="113" t="s">
        <v>261</v>
      </c>
      <c r="C55" s="113"/>
      <c r="D55" s="113"/>
      <c r="E55" s="113"/>
      <c r="F55" s="113"/>
      <c r="G55" s="113"/>
      <c r="H55" s="113"/>
      <c r="I55" s="113"/>
      <c r="J55" s="113"/>
      <c r="K55" s="113"/>
      <c r="L55" s="113"/>
      <c r="M55" s="113"/>
      <c r="N55" s="113"/>
      <c r="O55" s="113"/>
      <c r="P55" s="151"/>
      <c r="Q55" s="152"/>
      <c r="R55" s="151" t="s">
        <v>263</v>
      </c>
      <c r="S55" s="116"/>
      <c r="T55" s="2"/>
    </row>
    <row r="56" spans="1:21" ht="15.6" x14ac:dyDescent="0.3">
      <c r="A56" s="112"/>
      <c r="B56" s="113" t="s">
        <v>262</v>
      </c>
      <c r="C56" s="113"/>
      <c r="D56" s="113"/>
      <c r="E56" s="113"/>
      <c r="F56" s="113"/>
      <c r="G56" s="113"/>
      <c r="H56" s="113"/>
      <c r="I56" s="113"/>
      <c r="J56" s="113"/>
      <c r="K56" s="113"/>
      <c r="L56" s="113"/>
      <c r="M56" s="113"/>
      <c r="N56" s="113"/>
      <c r="O56" s="113"/>
      <c r="P56" s="151"/>
      <c r="Q56" s="152"/>
      <c r="R56" s="151" t="s">
        <v>118</v>
      </c>
      <c r="S56" s="116"/>
      <c r="T56" s="2"/>
      <c r="U56" s="5"/>
    </row>
    <row r="57" spans="1:21" ht="15.6" x14ac:dyDescent="0.3">
      <c r="A57" s="112"/>
      <c r="B57" s="113" t="s">
        <v>12</v>
      </c>
      <c r="C57" s="113"/>
      <c r="D57" s="113"/>
      <c r="E57" s="113"/>
      <c r="F57" s="113"/>
      <c r="G57" s="113"/>
      <c r="H57" s="113"/>
      <c r="I57" s="113"/>
      <c r="J57" s="113"/>
      <c r="K57" s="113"/>
      <c r="L57" s="113"/>
      <c r="M57" s="113"/>
      <c r="N57" s="113"/>
      <c r="O57" s="113"/>
      <c r="P57" s="151"/>
      <c r="Q57" s="152"/>
      <c r="R57" s="239">
        <v>42248</v>
      </c>
      <c r="S57" s="116"/>
      <c r="T57" s="2"/>
    </row>
    <row r="58" spans="1:21" ht="15.6" x14ac:dyDescent="0.3">
      <c r="A58" s="12"/>
      <c r="B58" s="43"/>
      <c r="C58" s="43"/>
      <c r="D58" s="43"/>
      <c r="E58" s="43"/>
      <c r="F58" s="43"/>
      <c r="G58" s="43"/>
      <c r="H58" s="43"/>
      <c r="I58" s="43"/>
      <c r="J58" s="43"/>
      <c r="K58" s="43"/>
      <c r="L58" s="43"/>
      <c r="M58" s="43"/>
      <c r="N58" s="43"/>
      <c r="O58" s="43"/>
      <c r="P58" s="110"/>
      <c r="Q58" s="111"/>
      <c r="R58" s="110"/>
      <c r="S58" s="217"/>
      <c r="T58" s="2"/>
    </row>
    <row r="59" spans="1:21" ht="15.6" x14ac:dyDescent="0.3">
      <c r="A59" s="12"/>
      <c r="B59" s="14"/>
      <c r="C59" s="14"/>
      <c r="D59" s="14"/>
      <c r="E59" s="14"/>
      <c r="F59" s="14"/>
      <c r="G59" s="14"/>
      <c r="H59" s="14"/>
      <c r="I59" s="14"/>
      <c r="J59" s="14"/>
      <c r="K59" s="14"/>
      <c r="L59" s="14"/>
      <c r="M59" s="14"/>
      <c r="N59" s="14"/>
      <c r="O59" s="14"/>
      <c r="P59" s="26"/>
      <c r="Q59" s="27"/>
      <c r="R59" s="26"/>
      <c r="S59" s="217"/>
      <c r="T59" s="2"/>
    </row>
    <row r="60" spans="1:21" ht="18" thickBot="1" x14ac:dyDescent="0.35">
      <c r="A60" s="28"/>
      <c r="B60" s="97" t="s">
        <v>276</v>
      </c>
      <c r="C60" s="29"/>
      <c r="D60" s="29"/>
      <c r="E60" s="29"/>
      <c r="F60" s="29"/>
      <c r="G60" s="29"/>
      <c r="H60" s="29"/>
      <c r="I60" s="29"/>
      <c r="J60" s="29"/>
      <c r="K60" s="29"/>
      <c r="L60" s="29"/>
      <c r="M60" s="29"/>
      <c r="N60" s="29"/>
      <c r="O60" s="29"/>
      <c r="P60" s="29"/>
      <c r="Q60" s="29"/>
      <c r="R60" s="30"/>
      <c r="S60" s="31"/>
      <c r="T60" s="2"/>
    </row>
    <row r="61" spans="1:21" ht="15.6" x14ac:dyDescent="0.3">
      <c r="A61" s="53"/>
      <c r="B61" s="59" t="s">
        <v>13</v>
      </c>
      <c r="C61" s="54"/>
      <c r="D61" s="54"/>
      <c r="E61" s="54"/>
      <c r="F61" s="54"/>
      <c r="G61" s="54"/>
      <c r="H61" s="54"/>
      <c r="I61" s="54"/>
      <c r="J61" s="54"/>
      <c r="K61" s="54"/>
      <c r="L61" s="54"/>
      <c r="M61" s="54"/>
      <c r="N61" s="54"/>
      <c r="O61" s="54"/>
      <c r="P61" s="54"/>
      <c r="Q61" s="54"/>
      <c r="R61" s="60"/>
      <c r="S61" s="54"/>
      <c r="T61" s="2"/>
    </row>
    <row r="62" spans="1:21" ht="15.6" x14ac:dyDescent="0.3">
      <c r="A62" s="12"/>
      <c r="B62" s="20"/>
      <c r="C62" s="14"/>
      <c r="D62" s="14"/>
      <c r="E62" s="14"/>
      <c r="F62" s="14"/>
      <c r="G62" s="14"/>
      <c r="H62" s="14"/>
      <c r="I62" s="14"/>
      <c r="J62" s="14"/>
      <c r="K62" s="14"/>
      <c r="L62" s="14"/>
      <c r="M62" s="14"/>
      <c r="N62" s="14"/>
      <c r="O62" s="14"/>
      <c r="P62" s="14"/>
      <c r="Q62" s="14"/>
      <c r="R62" s="33"/>
      <c r="S62" s="217"/>
      <c r="T62" s="2"/>
    </row>
    <row r="63" spans="1:21" ht="46.8" x14ac:dyDescent="0.3">
      <c r="A63" s="12"/>
      <c r="B63" s="34" t="s">
        <v>14</v>
      </c>
      <c r="C63" s="35"/>
      <c r="D63" s="35"/>
      <c r="E63" s="35"/>
      <c r="F63" s="35" t="s">
        <v>76</v>
      </c>
      <c r="G63" s="35"/>
      <c r="H63" s="35" t="s">
        <v>78</v>
      </c>
      <c r="I63" s="35"/>
      <c r="J63" s="35" t="s">
        <v>162</v>
      </c>
      <c r="K63" s="35"/>
      <c r="L63" s="35" t="s">
        <v>163</v>
      </c>
      <c r="M63" s="35"/>
      <c r="N63" s="35" t="s">
        <v>81</v>
      </c>
      <c r="O63" s="35"/>
      <c r="P63" s="35" t="s">
        <v>86</v>
      </c>
      <c r="Q63" s="35"/>
      <c r="R63" s="36" t="s">
        <v>92</v>
      </c>
      <c r="S63" s="221"/>
      <c r="T63" s="2"/>
    </row>
    <row r="64" spans="1:21" ht="15.6" x14ac:dyDescent="0.3">
      <c r="A64" s="112"/>
      <c r="B64" s="113" t="s">
        <v>15</v>
      </c>
      <c r="C64" s="155"/>
      <c r="D64" s="155"/>
      <c r="E64" s="155"/>
      <c r="F64" s="155">
        <v>244234</v>
      </c>
      <c r="G64" s="155"/>
      <c r="H64" s="156">
        <v>296725</v>
      </c>
      <c r="I64" s="155"/>
      <c r="J64" s="156">
        <v>198</v>
      </c>
      <c r="K64" s="155"/>
      <c r="L64" s="155">
        <f>3641+309-198</f>
        <v>3752</v>
      </c>
      <c r="M64" s="155"/>
      <c r="N64" s="155">
        <f>36+219</f>
        <v>255</v>
      </c>
      <c r="O64" s="155"/>
      <c r="P64" s="155">
        <v>0</v>
      </c>
      <c r="Q64" s="155"/>
      <c r="R64" s="156">
        <f>H64-J64-L64+N64-P64</f>
        <v>293030</v>
      </c>
      <c r="S64" s="116"/>
      <c r="T64" s="2"/>
    </row>
    <row r="65" spans="1:20" ht="15.6" x14ac:dyDescent="0.3">
      <c r="A65" s="112"/>
      <c r="B65" s="113" t="s">
        <v>16</v>
      </c>
      <c r="C65" s="155"/>
      <c r="D65" s="155"/>
      <c r="E65" s="155"/>
      <c r="F65" s="155">
        <v>0</v>
      </c>
      <c r="G65" s="155"/>
      <c r="H65" s="156">
        <v>0</v>
      </c>
      <c r="I65" s="155"/>
      <c r="J65" s="156">
        <v>0</v>
      </c>
      <c r="K65" s="155"/>
      <c r="L65" s="155">
        <v>0</v>
      </c>
      <c r="M65" s="155"/>
      <c r="N65" s="155">
        <v>0</v>
      </c>
      <c r="O65" s="155"/>
      <c r="P65" s="155">
        <v>0</v>
      </c>
      <c r="Q65" s="155"/>
      <c r="R65" s="156">
        <f>F65-J65-L65</f>
        <v>0</v>
      </c>
      <c r="S65" s="116"/>
      <c r="T65" s="2"/>
    </row>
    <row r="66" spans="1:20" ht="15.6" x14ac:dyDescent="0.3">
      <c r="A66" s="112"/>
      <c r="B66" s="113"/>
      <c r="C66" s="155"/>
      <c r="D66" s="155"/>
      <c r="E66" s="155"/>
      <c r="F66" s="155"/>
      <c r="G66" s="155"/>
      <c r="H66" s="156"/>
      <c r="I66" s="155"/>
      <c r="J66" s="156"/>
      <c r="K66" s="155"/>
      <c r="L66" s="155"/>
      <c r="M66" s="155"/>
      <c r="N66" s="155"/>
      <c r="O66" s="155"/>
      <c r="P66" s="155"/>
      <c r="Q66" s="155"/>
      <c r="R66" s="156"/>
      <c r="S66" s="116"/>
      <c r="T66" s="2"/>
    </row>
    <row r="67" spans="1:20" ht="15.6" x14ac:dyDescent="0.3">
      <c r="A67" s="112"/>
      <c r="B67" s="113" t="s">
        <v>17</v>
      </c>
      <c r="C67" s="155"/>
      <c r="D67" s="155"/>
      <c r="E67" s="155"/>
      <c r="F67" s="155">
        <f>SUM(F64:F66)</f>
        <v>244234</v>
      </c>
      <c r="G67" s="155"/>
      <c r="H67" s="155">
        <f>H64+H65</f>
        <v>296725</v>
      </c>
      <c r="I67" s="155"/>
      <c r="J67" s="155">
        <f>J64+J65</f>
        <v>198</v>
      </c>
      <c r="K67" s="155"/>
      <c r="L67" s="155">
        <f>SUM(L64:L66)</f>
        <v>3752</v>
      </c>
      <c r="M67" s="155"/>
      <c r="N67" s="155">
        <f>SUM(N64:N66)</f>
        <v>255</v>
      </c>
      <c r="O67" s="155"/>
      <c r="P67" s="155">
        <f>SUM(P64:P66)</f>
        <v>0</v>
      </c>
      <c r="Q67" s="155"/>
      <c r="R67" s="155">
        <f>SUM(R64:R66)</f>
        <v>293030</v>
      </c>
      <c r="S67" s="116"/>
      <c r="T67" s="2"/>
    </row>
    <row r="68" spans="1:20" ht="15.6" x14ac:dyDescent="0.3">
      <c r="A68" s="12"/>
      <c r="B68" s="43"/>
      <c r="C68" s="153"/>
      <c r="D68" s="153"/>
      <c r="E68" s="153"/>
      <c r="F68" s="153"/>
      <c r="G68" s="153"/>
      <c r="H68" s="153"/>
      <c r="I68" s="153"/>
      <c r="J68" s="153"/>
      <c r="K68" s="153"/>
      <c r="L68" s="153"/>
      <c r="M68" s="153"/>
      <c r="N68" s="153"/>
      <c r="O68" s="153"/>
      <c r="P68" s="153"/>
      <c r="Q68" s="153"/>
      <c r="R68" s="154"/>
      <c r="S68" s="217"/>
      <c r="T68" s="2"/>
    </row>
    <row r="69" spans="1:20" ht="15.6" x14ac:dyDescent="0.3">
      <c r="A69" s="12"/>
      <c r="B69" s="16" t="s">
        <v>18</v>
      </c>
      <c r="C69" s="38"/>
      <c r="D69" s="38"/>
      <c r="E69" s="38"/>
      <c r="F69" s="38"/>
      <c r="G69" s="38"/>
      <c r="H69" s="38"/>
      <c r="I69" s="38"/>
      <c r="J69" s="38"/>
      <c r="K69" s="38"/>
      <c r="L69" s="38"/>
      <c r="M69" s="38"/>
      <c r="N69" s="38"/>
      <c r="O69" s="38"/>
      <c r="P69" s="38"/>
      <c r="Q69" s="38"/>
      <c r="R69" s="39"/>
      <c r="S69" s="217"/>
      <c r="T69" s="2"/>
    </row>
    <row r="70" spans="1:20" ht="15.6" x14ac:dyDescent="0.3">
      <c r="A70" s="12"/>
      <c r="B70" s="14"/>
      <c r="C70" s="38"/>
      <c r="D70" s="38"/>
      <c r="E70" s="38"/>
      <c r="F70" s="38"/>
      <c r="G70" s="38"/>
      <c r="H70" s="38"/>
      <c r="I70" s="38"/>
      <c r="J70" s="38"/>
      <c r="K70" s="38"/>
      <c r="L70" s="38"/>
      <c r="M70" s="38"/>
      <c r="N70" s="38"/>
      <c r="O70" s="38"/>
      <c r="P70" s="38"/>
      <c r="Q70" s="38"/>
      <c r="R70" s="39"/>
      <c r="S70" s="217"/>
      <c r="T70" s="2"/>
    </row>
    <row r="71" spans="1:20" ht="15.6" x14ac:dyDescent="0.3">
      <c r="A71" s="112"/>
      <c r="B71" s="113" t="s">
        <v>15</v>
      </c>
      <c r="C71" s="155"/>
      <c r="D71" s="155"/>
      <c r="E71" s="155"/>
      <c r="F71" s="155"/>
      <c r="G71" s="155"/>
      <c r="H71" s="155"/>
      <c r="I71" s="155"/>
      <c r="J71" s="155"/>
      <c r="K71" s="155"/>
      <c r="L71" s="155"/>
      <c r="M71" s="155"/>
      <c r="N71" s="155"/>
      <c r="O71" s="155"/>
      <c r="P71" s="155"/>
      <c r="Q71" s="155"/>
      <c r="R71" s="155"/>
      <c r="S71" s="116"/>
      <c r="T71" s="2"/>
    </row>
    <row r="72" spans="1:20" ht="15.6" x14ac:dyDescent="0.3">
      <c r="A72" s="112"/>
      <c r="B72" s="113" t="s">
        <v>16</v>
      </c>
      <c r="C72" s="155"/>
      <c r="D72" s="155"/>
      <c r="E72" s="155"/>
      <c r="F72" s="155"/>
      <c r="G72" s="155"/>
      <c r="H72" s="155"/>
      <c r="I72" s="155"/>
      <c r="J72" s="155"/>
      <c r="K72" s="155"/>
      <c r="L72" s="155"/>
      <c r="M72" s="155"/>
      <c r="N72" s="155"/>
      <c r="O72" s="155"/>
      <c r="P72" s="155"/>
      <c r="Q72" s="155"/>
      <c r="R72" s="155"/>
      <c r="S72" s="116"/>
      <c r="T72" s="2"/>
    </row>
    <row r="73" spans="1:20" ht="15.6" x14ac:dyDescent="0.3">
      <c r="A73" s="112"/>
      <c r="B73" s="113"/>
      <c r="C73" s="155"/>
      <c r="D73" s="155"/>
      <c r="E73" s="155"/>
      <c r="F73" s="155"/>
      <c r="G73" s="155"/>
      <c r="H73" s="155"/>
      <c r="I73" s="155"/>
      <c r="J73" s="155"/>
      <c r="K73" s="155"/>
      <c r="L73" s="155"/>
      <c r="M73" s="155"/>
      <c r="N73" s="155"/>
      <c r="O73" s="155"/>
      <c r="P73" s="155"/>
      <c r="Q73" s="155"/>
      <c r="R73" s="155"/>
      <c r="S73" s="116"/>
      <c r="T73" s="2"/>
    </row>
    <row r="74" spans="1:20" ht="15.6" x14ac:dyDescent="0.3">
      <c r="A74" s="112"/>
      <c r="B74" s="113" t="s">
        <v>17</v>
      </c>
      <c r="C74" s="155"/>
      <c r="D74" s="155"/>
      <c r="E74" s="155"/>
      <c r="F74" s="155"/>
      <c r="G74" s="155"/>
      <c r="H74" s="155"/>
      <c r="I74" s="155"/>
      <c r="J74" s="155"/>
      <c r="K74" s="155"/>
      <c r="L74" s="155"/>
      <c r="M74" s="155"/>
      <c r="N74" s="155"/>
      <c r="O74" s="155"/>
      <c r="P74" s="155"/>
      <c r="Q74" s="155"/>
      <c r="R74" s="155"/>
      <c r="S74" s="116"/>
      <c r="T74" s="2"/>
    </row>
    <row r="75" spans="1:20" ht="15.6" x14ac:dyDescent="0.3">
      <c r="A75" s="112"/>
      <c r="B75" s="113"/>
      <c r="C75" s="155"/>
      <c r="D75" s="155"/>
      <c r="E75" s="155"/>
      <c r="F75" s="155"/>
      <c r="G75" s="155"/>
      <c r="H75" s="155"/>
      <c r="I75" s="155"/>
      <c r="J75" s="155"/>
      <c r="K75" s="155"/>
      <c r="L75" s="155"/>
      <c r="M75" s="155"/>
      <c r="N75" s="155"/>
      <c r="O75" s="155"/>
      <c r="P75" s="155"/>
      <c r="Q75" s="155"/>
      <c r="R75" s="155"/>
      <c r="S75" s="116"/>
      <c r="T75" s="2"/>
    </row>
    <row r="76" spans="1:20" ht="15.6" x14ac:dyDescent="0.3">
      <c r="A76" s="112"/>
      <c r="B76" s="113" t="s">
        <v>19</v>
      </c>
      <c r="C76" s="155"/>
      <c r="D76" s="155"/>
      <c r="E76" s="155"/>
      <c r="F76" s="155">
        <v>0</v>
      </c>
      <c r="G76" s="155"/>
      <c r="H76" s="155">
        <v>0</v>
      </c>
      <c r="I76" s="155"/>
      <c r="J76" s="155"/>
      <c r="K76" s="155"/>
      <c r="L76" s="155"/>
      <c r="M76" s="155"/>
      <c r="N76" s="155"/>
      <c r="O76" s="155"/>
      <c r="P76" s="155"/>
      <c r="Q76" s="155"/>
      <c r="R76" s="156">
        <v>0</v>
      </c>
      <c r="S76" s="116"/>
      <c r="T76" s="2"/>
    </row>
    <row r="77" spans="1:20" ht="15.6" x14ac:dyDescent="0.3">
      <c r="A77" s="112"/>
      <c r="B77" s="113" t="s">
        <v>196</v>
      </c>
      <c r="C77" s="155"/>
      <c r="D77" s="155"/>
      <c r="E77" s="155"/>
      <c r="F77" s="155">
        <v>53165</v>
      </c>
      <c r="G77" s="155"/>
      <c r="H77" s="155">
        <v>0</v>
      </c>
      <c r="I77" s="155"/>
      <c r="J77" s="155">
        <v>0</v>
      </c>
      <c r="K77" s="155"/>
      <c r="L77" s="155">
        <v>0</v>
      </c>
      <c r="M77" s="155"/>
      <c r="N77" s="155"/>
      <c r="O77" s="155"/>
      <c r="P77" s="155"/>
      <c r="Q77" s="155"/>
      <c r="R77" s="155">
        <v>0</v>
      </c>
      <c r="S77" s="116"/>
      <c r="T77" s="2"/>
    </row>
    <row r="78" spans="1:20" ht="15.6" x14ac:dyDescent="0.3">
      <c r="A78" s="112"/>
      <c r="B78" s="113" t="s">
        <v>206</v>
      </c>
      <c r="C78" s="155"/>
      <c r="D78" s="155"/>
      <c r="E78" s="155"/>
      <c r="F78" s="155">
        <v>2610</v>
      </c>
      <c r="G78" s="155"/>
      <c r="H78" s="155">
        <v>2610</v>
      </c>
      <c r="I78" s="155"/>
      <c r="J78" s="155"/>
      <c r="K78" s="155"/>
      <c r="L78" s="155"/>
      <c r="M78" s="155"/>
      <c r="N78" s="155">
        <v>-36</v>
      </c>
      <c r="O78" s="155"/>
      <c r="P78" s="155"/>
      <c r="Q78" s="155"/>
      <c r="R78" s="155">
        <f>H78+N78</f>
        <v>2574</v>
      </c>
      <c r="S78" s="116"/>
      <c r="T78" s="2"/>
    </row>
    <row r="79" spans="1:20" ht="15.6" x14ac:dyDescent="0.3">
      <c r="A79" s="112"/>
      <c r="B79" s="113" t="s">
        <v>20</v>
      </c>
      <c r="C79" s="155"/>
      <c r="D79" s="155"/>
      <c r="E79" s="155"/>
      <c r="F79" s="155">
        <v>0</v>
      </c>
      <c r="G79" s="155"/>
      <c r="H79" s="155">
        <v>0</v>
      </c>
      <c r="I79" s="155"/>
      <c r="J79" s="155"/>
      <c r="K79" s="155"/>
      <c r="L79" s="155"/>
      <c r="M79" s="155"/>
      <c r="N79" s="155"/>
      <c r="O79" s="155"/>
      <c r="P79" s="155"/>
      <c r="Q79" s="155"/>
      <c r="R79" s="155">
        <v>0</v>
      </c>
      <c r="S79" s="116"/>
      <c r="T79" s="2"/>
    </row>
    <row r="80" spans="1:20" ht="15.6" x14ac:dyDescent="0.3">
      <c r="A80" s="112"/>
      <c r="B80" s="113" t="s">
        <v>21</v>
      </c>
      <c r="C80" s="155"/>
      <c r="D80" s="155"/>
      <c r="E80" s="155"/>
      <c r="F80" s="155">
        <f>SUM(F67:F79)</f>
        <v>300009</v>
      </c>
      <c r="G80" s="155"/>
      <c r="H80" s="155">
        <f>SUM(H67:H79)</f>
        <v>299335</v>
      </c>
      <c r="I80" s="155"/>
      <c r="J80" s="155"/>
      <c r="K80" s="155"/>
      <c r="L80" s="155"/>
      <c r="M80" s="155"/>
      <c r="N80" s="155"/>
      <c r="O80" s="155"/>
      <c r="P80" s="155"/>
      <c r="Q80" s="155"/>
      <c r="R80" s="155">
        <f>SUM(R67:R79)</f>
        <v>295604</v>
      </c>
      <c r="S80" s="116"/>
      <c r="T80" s="2"/>
    </row>
    <row r="81" spans="1:20" ht="15.6" x14ac:dyDescent="0.3">
      <c r="A81" s="12"/>
      <c r="B81" s="43"/>
      <c r="C81" s="153"/>
      <c r="D81" s="153"/>
      <c r="E81" s="153"/>
      <c r="F81" s="153"/>
      <c r="G81" s="153"/>
      <c r="H81" s="153"/>
      <c r="I81" s="153"/>
      <c r="J81" s="153"/>
      <c r="K81" s="153"/>
      <c r="L81" s="153"/>
      <c r="M81" s="153"/>
      <c r="N81" s="153"/>
      <c r="O81" s="153"/>
      <c r="P81" s="153"/>
      <c r="Q81" s="153"/>
      <c r="R81" s="154"/>
      <c r="S81" s="217"/>
      <c r="T81" s="2"/>
    </row>
    <row r="82" spans="1:20" ht="15.6" x14ac:dyDescent="0.3">
      <c r="A82" s="12"/>
      <c r="B82" s="14"/>
      <c r="C82" s="14"/>
      <c r="D82" s="14"/>
      <c r="E82" s="14"/>
      <c r="F82" s="14"/>
      <c r="G82" s="14"/>
      <c r="H82" s="14"/>
      <c r="I82" s="14"/>
      <c r="J82" s="14"/>
      <c r="K82" s="14"/>
      <c r="L82" s="14"/>
      <c r="M82" s="14"/>
      <c r="N82" s="14"/>
      <c r="O82" s="14"/>
      <c r="P82" s="14"/>
      <c r="Q82" s="14"/>
      <c r="R82" s="14"/>
      <c r="S82" s="217"/>
      <c r="T82" s="2"/>
    </row>
    <row r="83" spans="1:20" ht="15.6" x14ac:dyDescent="0.3">
      <c r="A83" s="53"/>
      <c r="B83" s="61" t="s">
        <v>22</v>
      </c>
      <c r="C83" s="61"/>
      <c r="D83" s="62"/>
      <c r="E83" s="62"/>
      <c r="F83" s="62"/>
      <c r="G83" s="62"/>
      <c r="H83" s="63" t="s">
        <v>77</v>
      </c>
      <c r="I83" s="62"/>
      <c r="J83" s="64">
        <f>+P205</f>
        <v>42244</v>
      </c>
      <c r="K83" s="62"/>
      <c r="L83" s="62"/>
      <c r="M83" s="62"/>
      <c r="N83" s="62"/>
      <c r="O83" s="62"/>
      <c r="P83" s="62" t="s">
        <v>87</v>
      </c>
      <c r="Q83" s="62"/>
      <c r="R83" s="62" t="s">
        <v>93</v>
      </c>
      <c r="S83" s="219"/>
      <c r="T83" s="2"/>
    </row>
    <row r="84" spans="1:20" ht="15.6" x14ac:dyDescent="0.3">
      <c r="A84" s="77"/>
      <c r="B84" s="79" t="s">
        <v>23</v>
      </c>
      <c r="C84" s="25"/>
      <c r="D84" s="25"/>
      <c r="E84" s="25"/>
      <c r="F84" s="25"/>
      <c r="G84" s="25"/>
      <c r="H84" s="25"/>
      <c r="I84" s="25"/>
      <c r="J84" s="25"/>
      <c r="K84" s="25"/>
      <c r="L84" s="25"/>
      <c r="M84" s="25"/>
      <c r="N84" s="25"/>
      <c r="O84" s="25"/>
      <c r="P84" s="78">
        <v>0</v>
      </c>
      <c r="Q84" s="79"/>
      <c r="R84" s="82">
        <v>0</v>
      </c>
      <c r="S84" s="222"/>
      <c r="T84" s="2"/>
    </row>
    <row r="85" spans="1:20" ht="15.6" x14ac:dyDescent="0.3">
      <c r="A85" s="122"/>
      <c r="B85" s="113" t="s">
        <v>218</v>
      </c>
      <c r="C85" s="135"/>
      <c r="D85" s="157"/>
      <c r="E85" s="157"/>
      <c r="F85" s="157"/>
      <c r="G85" s="158"/>
      <c r="H85" s="157"/>
      <c r="I85" s="135"/>
      <c r="J85" s="159"/>
      <c r="K85" s="135"/>
      <c r="L85" s="135"/>
      <c r="M85" s="135"/>
      <c r="N85" s="135"/>
      <c r="O85" s="135"/>
      <c r="P85" s="155">
        <f>-N78</f>
        <v>36</v>
      </c>
      <c r="Q85" s="113"/>
      <c r="R85" s="156"/>
      <c r="S85" s="139"/>
      <c r="T85" s="2"/>
    </row>
    <row r="86" spans="1:20" ht="15.6" x14ac:dyDescent="0.3">
      <c r="A86" s="122"/>
      <c r="B86" s="113" t="s">
        <v>219</v>
      </c>
      <c r="C86" s="135"/>
      <c r="D86" s="157"/>
      <c r="E86" s="157"/>
      <c r="F86" s="157"/>
      <c r="G86" s="158"/>
      <c r="H86" s="157"/>
      <c r="I86" s="135"/>
      <c r="J86" s="159"/>
      <c r="K86" s="135"/>
      <c r="L86" s="135"/>
      <c r="M86" s="135"/>
      <c r="N86" s="135"/>
      <c r="O86" s="135"/>
      <c r="P86" s="155">
        <f>-P85</f>
        <v>-36</v>
      </c>
      <c r="Q86" s="113"/>
      <c r="R86" s="156"/>
      <c r="S86" s="139"/>
      <c r="T86" s="2"/>
    </row>
    <row r="87" spans="1:20" ht="15.6" x14ac:dyDescent="0.3">
      <c r="A87" s="122"/>
      <c r="B87" s="113" t="s">
        <v>24</v>
      </c>
      <c r="C87" s="135"/>
      <c r="D87" s="157"/>
      <c r="E87" s="157"/>
      <c r="F87" s="157"/>
      <c r="G87" s="158"/>
      <c r="H87" s="157"/>
      <c r="I87" s="135"/>
      <c r="J87" s="159"/>
      <c r="K87" s="135"/>
      <c r="L87" s="135"/>
      <c r="M87" s="135"/>
      <c r="N87" s="135"/>
      <c r="O87" s="135"/>
      <c r="P87" s="155">
        <f>+J64+L64</f>
        <v>3950</v>
      </c>
      <c r="Q87" s="113"/>
      <c r="R87" s="156"/>
      <c r="S87" s="139"/>
      <c r="T87" s="2"/>
    </row>
    <row r="88" spans="1:20" ht="15.6" x14ac:dyDescent="0.3">
      <c r="A88" s="122"/>
      <c r="B88" s="113" t="s">
        <v>135</v>
      </c>
      <c r="C88" s="135"/>
      <c r="D88" s="157"/>
      <c r="E88" s="157"/>
      <c r="F88" s="157"/>
      <c r="G88" s="158"/>
      <c r="H88" s="157"/>
      <c r="I88" s="135"/>
      <c r="J88" s="159"/>
      <c r="K88" s="135"/>
      <c r="L88" s="135"/>
      <c r="M88" s="135"/>
      <c r="N88" s="135"/>
      <c r="O88" s="135"/>
      <c r="P88" s="155"/>
      <c r="Q88" s="113"/>
      <c r="R88" s="156">
        <f>3265-309</f>
        <v>2956</v>
      </c>
      <c r="S88" s="139"/>
      <c r="T88" s="2"/>
    </row>
    <row r="89" spans="1:20" ht="15.6" x14ac:dyDescent="0.3">
      <c r="A89" s="122"/>
      <c r="B89" s="113" t="s">
        <v>133</v>
      </c>
      <c r="C89" s="135"/>
      <c r="D89" s="157"/>
      <c r="E89" s="157"/>
      <c r="F89" s="157"/>
      <c r="G89" s="158"/>
      <c r="H89" s="157"/>
      <c r="I89" s="135"/>
      <c r="J89" s="159"/>
      <c r="K89" s="135"/>
      <c r="L89" s="135"/>
      <c r="M89" s="135"/>
      <c r="N89" s="135"/>
      <c r="O89" s="135"/>
      <c r="P89" s="155"/>
      <c r="Q89" s="113"/>
      <c r="R89" s="156">
        <v>72</v>
      </c>
      <c r="S89" s="139"/>
      <c r="T89" s="2"/>
    </row>
    <row r="90" spans="1:20" ht="15.6" x14ac:dyDescent="0.3">
      <c r="A90" s="122"/>
      <c r="B90" s="113" t="s">
        <v>134</v>
      </c>
      <c r="C90" s="135"/>
      <c r="D90" s="157"/>
      <c r="E90" s="157"/>
      <c r="F90" s="157"/>
      <c r="G90" s="158"/>
      <c r="H90" s="157"/>
      <c r="I90" s="135"/>
      <c r="J90" s="159"/>
      <c r="K90" s="135"/>
      <c r="L90" s="135"/>
      <c r="M90" s="135"/>
      <c r="N90" s="135"/>
      <c r="O90" s="135"/>
      <c r="P90" s="155"/>
      <c r="Q90" s="113"/>
      <c r="R90" s="156">
        <v>10</v>
      </c>
      <c r="S90" s="139"/>
      <c r="T90" s="2"/>
    </row>
    <row r="91" spans="1:20" ht="15.6" x14ac:dyDescent="0.3">
      <c r="A91" s="122"/>
      <c r="B91" s="113" t="s">
        <v>143</v>
      </c>
      <c r="C91" s="135"/>
      <c r="D91" s="157"/>
      <c r="E91" s="157"/>
      <c r="F91" s="157"/>
      <c r="G91" s="158"/>
      <c r="H91" s="157"/>
      <c r="I91" s="135"/>
      <c r="J91" s="159"/>
      <c r="K91" s="135"/>
      <c r="L91" s="135"/>
      <c r="M91" s="135"/>
      <c r="N91" s="135"/>
      <c r="O91" s="135"/>
      <c r="P91" s="155"/>
      <c r="Q91" s="113"/>
      <c r="R91" s="156">
        <v>0</v>
      </c>
      <c r="S91" s="139"/>
      <c r="T91" s="2"/>
    </row>
    <row r="92" spans="1:20" ht="15.6" x14ac:dyDescent="0.3">
      <c r="A92" s="122"/>
      <c r="B92" s="113" t="s">
        <v>145</v>
      </c>
      <c r="C92" s="135"/>
      <c r="D92" s="157"/>
      <c r="E92" s="157"/>
      <c r="F92" s="157"/>
      <c r="G92" s="158"/>
      <c r="H92" s="157"/>
      <c r="I92" s="135"/>
      <c r="J92" s="159"/>
      <c r="K92" s="135"/>
      <c r="L92" s="135"/>
      <c r="M92" s="135"/>
      <c r="N92" s="135"/>
      <c r="O92" s="135"/>
      <c r="P92" s="155"/>
      <c r="Q92" s="113"/>
      <c r="R92" s="156">
        <v>23</v>
      </c>
      <c r="S92" s="139"/>
      <c r="T92" s="2"/>
    </row>
    <row r="93" spans="1:20" ht="15.6" x14ac:dyDescent="0.3">
      <c r="A93" s="122"/>
      <c r="B93" s="113" t="s">
        <v>164</v>
      </c>
      <c r="C93" s="135"/>
      <c r="D93" s="157"/>
      <c r="E93" s="157"/>
      <c r="F93" s="157"/>
      <c r="G93" s="158"/>
      <c r="H93" s="157"/>
      <c r="I93" s="135"/>
      <c r="J93" s="159"/>
      <c r="K93" s="135"/>
      <c r="L93" s="135"/>
      <c r="M93" s="135"/>
      <c r="N93" s="135"/>
      <c r="O93" s="135"/>
      <c r="P93" s="155"/>
      <c r="Q93" s="113"/>
      <c r="R93" s="156">
        <v>0</v>
      </c>
      <c r="S93" s="139"/>
      <c r="T93" s="2"/>
    </row>
    <row r="94" spans="1:20" ht="15.6" x14ac:dyDescent="0.3">
      <c r="A94" s="122"/>
      <c r="B94" s="113" t="s">
        <v>165</v>
      </c>
      <c r="C94" s="135"/>
      <c r="D94" s="157"/>
      <c r="E94" s="157"/>
      <c r="F94" s="157"/>
      <c r="G94" s="158"/>
      <c r="H94" s="157"/>
      <c r="I94" s="135"/>
      <c r="J94" s="159"/>
      <c r="K94" s="135"/>
      <c r="L94" s="135"/>
      <c r="M94" s="135"/>
      <c r="N94" s="135"/>
      <c r="O94" s="135"/>
      <c r="P94" s="155"/>
      <c r="Q94" s="113"/>
      <c r="R94" s="156">
        <v>0</v>
      </c>
      <c r="S94" s="139"/>
      <c r="T94" s="2"/>
    </row>
    <row r="95" spans="1:20" ht="15.6" x14ac:dyDescent="0.3">
      <c r="A95" s="122"/>
      <c r="B95" s="113" t="s">
        <v>166</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c r="B96" s="113" t="s">
        <v>264</v>
      </c>
      <c r="C96" s="135"/>
      <c r="D96" s="135"/>
      <c r="E96" s="135"/>
      <c r="F96" s="135"/>
      <c r="G96" s="135"/>
      <c r="H96" s="135"/>
      <c r="I96" s="135"/>
      <c r="J96" s="135"/>
      <c r="K96" s="135"/>
      <c r="L96" s="135"/>
      <c r="M96" s="135"/>
      <c r="N96" s="135"/>
      <c r="O96" s="135"/>
      <c r="P96" s="155"/>
      <c r="Q96" s="113"/>
      <c r="R96" s="156">
        <v>585</v>
      </c>
      <c r="S96" s="139"/>
      <c r="T96" s="2"/>
    </row>
    <row r="97" spans="1:21" ht="15.6" x14ac:dyDescent="0.3">
      <c r="A97" s="122"/>
      <c r="B97" s="113" t="s">
        <v>25</v>
      </c>
      <c r="C97" s="135"/>
      <c r="D97" s="135"/>
      <c r="E97" s="135"/>
      <c r="F97" s="135"/>
      <c r="G97" s="135"/>
      <c r="H97" s="135"/>
      <c r="I97" s="135"/>
      <c r="J97" s="135"/>
      <c r="K97" s="135"/>
      <c r="L97" s="135"/>
      <c r="M97" s="135"/>
      <c r="N97" s="135"/>
      <c r="O97" s="135"/>
      <c r="P97" s="155">
        <f>SUM(P84:P96)</f>
        <v>3950</v>
      </c>
      <c r="Q97" s="113"/>
      <c r="R97" s="155">
        <f>SUM(R84:R96)</f>
        <v>3646</v>
      </c>
      <c r="S97" s="139"/>
      <c r="T97" s="2"/>
    </row>
    <row r="98" spans="1:21" ht="15.6" x14ac:dyDescent="0.3">
      <c r="A98" s="122"/>
      <c r="B98" s="113" t="s">
        <v>26</v>
      </c>
      <c r="C98" s="135"/>
      <c r="D98" s="135"/>
      <c r="E98" s="135"/>
      <c r="F98" s="135"/>
      <c r="G98" s="135"/>
      <c r="H98" s="135"/>
      <c r="I98" s="135"/>
      <c r="J98" s="135"/>
      <c r="K98" s="135"/>
      <c r="L98" s="135"/>
      <c r="M98" s="135"/>
      <c r="N98" s="135"/>
      <c r="O98" s="135"/>
      <c r="P98" s="155">
        <f>-R98</f>
        <v>0</v>
      </c>
      <c r="Q98" s="113"/>
      <c r="R98" s="156">
        <v>0</v>
      </c>
      <c r="S98" s="139"/>
      <c r="T98" s="2"/>
    </row>
    <row r="99" spans="1:21" ht="15.6" x14ac:dyDescent="0.3">
      <c r="A99" s="122"/>
      <c r="B99" s="113" t="s">
        <v>150</v>
      </c>
      <c r="C99" s="135"/>
      <c r="D99" s="135"/>
      <c r="E99" s="135"/>
      <c r="F99" s="135"/>
      <c r="G99" s="135"/>
      <c r="H99" s="135"/>
      <c r="I99" s="135"/>
      <c r="J99" s="135"/>
      <c r="K99" s="135"/>
      <c r="L99" s="135"/>
      <c r="M99" s="135"/>
      <c r="N99" s="135"/>
      <c r="O99" s="135"/>
      <c r="P99" s="155"/>
      <c r="Q99" s="113"/>
      <c r="R99" s="156">
        <v>0</v>
      </c>
      <c r="S99" s="139"/>
      <c r="T99" s="2"/>
    </row>
    <row r="100" spans="1:21" ht="15.6" x14ac:dyDescent="0.3">
      <c r="A100" s="122"/>
      <c r="B100" s="113" t="s">
        <v>27</v>
      </c>
      <c r="C100" s="135"/>
      <c r="D100" s="135"/>
      <c r="E100" s="135"/>
      <c r="F100" s="135"/>
      <c r="G100" s="135"/>
      <c r="H100" s="135"/>
      <c r="I100" s="135"/>
      <c r="J100" s="135"/>
      <c r="K100" s="135"/>
      <c r="L100" s="135"/>
      <c r="M100" s="135"/>
      <c r="N100" s="135"/>
      <c r="O100" s="135"/>
      <c r="P100" s="155">
        <f>P97+P98</f>
        <v>3950</v>
      </c>
      <c r="Q100" s="113"/>
      <c r="R100" s="155">
        <f>R97+R98+R99</f>
        <v>3646</v>
      </c>
      <c r="S100" s="139"/>
      <c r="T100" s="2"/>
    </row>
    <row r="101" spans="1:21" ht="15.6" x14ac:dyDescent="0.3">
      <c r="A101" s="112"/>
      <c r="B101" s="160" t="s">
        <v>28</v>
      </c>
      <c r="C101" s="135"/>
      <c r="D101" s="135"/>
      <c r="E101" s="135"/>
      <c r="F101" s="135"/>
      <c r="G101" s="135"/>
      <c r="H101" s="135"/>
      <c r="I101" s="135"/>
      <c r="J101" s="135"/>
      <c r="K101" s="135"/>
      <c r="L101" s="135"/>
      <c r="M101" s="135"/>
      <c r="N101" s="135"/>
      <c r="O101" s="135"/>
      <c r="P101" s="155"/>
      <c r="Q101" s="113"/>
      <c r="R101" s="156"/>
      <c r="S101" s="139"/>
      <c r="T101" s="2"/>
    </row>
    <row r="102" spans="1:21" ht="15.6" x14ac:dyDescent="0.3">
      <c r="A102" s="122">
        <v>1</v>
      </c>
      <c r="B102" s="113" t="s">
        <v>175</v>
      </c>
      <c r="C102" s="135"/>
      <c r="D102" s="135"/>
      <c r="E102" s="135"/>
      <c r="F102" s="135"/>
      <c r="G102" s="135"/>
      <c r="H102" s="135"/>
      <c r="I102" s="135"/>
      <c r="J102" s="135"/>
      <c r="K102" s="135"/>
      <c r="L102" s="135"/>
      <c r="M102" s="135"/>
      <c r="N102" s="135"/>
      <c r="O102" s="135"/>
      <c r="P102" s="155"/>
      <c r="Q102" s="113"/>
      <c r="R102" s="156">
        <v>0</v>
      </c>
      <c r="S102" s="139"/>
      <c r="T102" s="2"/>
    </row>
    <row r="103" spans="1:21" ht="15.6" x14ac:dyDescent="0.3">
      <c r="A103" s="122">
        <v>2</v>
      </c>
      <c r="B103" s="113" t="s">
        <v>195</v>
      </c>
      <c r="C103" s="113"/>
      <c r="D103" s="135"/>
      <c r="E103" s="135"/>
      <c r="F103" s="135"/>
      <c r="G103" s="135"/>
      <c r="H103" s="135"/>
      <c r="I103" s="135"/>
      <c r="J103" s="135"/>
      <c r="K103" s="135"/>
      <c r="L103" s="135"/>
      <c r="M103" s="135"/>
      <c r="N103" s="135"/>
      <c r="O103" s="135"/>
      <c r="P103" s="113"/>
      <c r="Q103" s="113"/>
      <c r="R103" s="156">
        <v>-3</v>
      </c>
      <c r="S103" s="139"/>
      <c r="T103" s="2"/>
    </row>
    <row r="104" spans="1:21" ht="15.6" x14ac:dyDescent="0.3">
      <c r="A104" s="122">
        <v>3</v>
      </c>
      <c r="B104" s="113" t="s">
        <v>265</v>
      </c>
      <c r="C104" s="113"/>
      <c r="D104" s="135"/>
      <c r="E104" s="135"/>
      <c r="F104" s="135"/>
      <c r="G104" s="135"/>
      <c r="H104" s="135"/>
      <c r="I104" s="135"/>
      <c r="J104" s="135"/>
      <c r="K104" s="135"/>
      <c r="L104" s="135"/>
      <c r="M104" s="135"/>
      <c r="N104" s="135"/>
      <c r="O104" s="135"/>
      <c r="P104" s="113"/>
      <c r="Q104" s="113"/>
      <c r="R104" s="156">
        <f>-112-2-3</f>
        <v>-117</v>
      </c>
      <c r="S104" s="139"/>
      <c r="T104" s="2"/>
    </row>
    <row r="105" spans="1:21" ht="15.6" x14ac:dyDescent="0.3">
      <c r="A105" s="122">
        <v>4</v>
      </c>
      <c r="B105" s="113" t="s">
        <v>96</v>
      </c>
      <c r="C105" s="113"/>
      <c r="D105" s="135"/>
      <c r="E105" s="135"/>
      <c r="F105" s="135"/>
      <c r="G105" s="135"/>
      <c r="H105" s="135"/>
      <c r="I105" s="135"/>
      <c r="J105" s="135"/>
      <c r="K105" s="135"/>
      <c r="L105" s="135"/>
      <c r="M105" s="135"/>
      <c r="N105" s="135"/>
      <c r="O105" s="135"/>
      <c r="P105" s="113"/>
      <c r="Q105" s="113"/>
      <c r="R105" s="156">
        <v>-299</v>
      </c>
      <c r="S105" s="139"/>
      <c r="T105" s="2"/>
    </row>
    <row r="106" spans="1:21" ht="15.6" x14ac:dyDescent="0.3">
      <c r="A106" s="122" t="s">
        <v>274</v>
      </c>
      <c r="B106" s="113" t="s">
        <v>272</v>
      </c>
      <c r="C106" s="113"/>
      <c r="D106" s="135"/>
      <c r="E106" s="135"/>
      <c r="F106" s="135"/>
      <c r="G106" s="135"/>
      <c r="H106" s="135"/>
      <c r="I106" s="135"/>
      <c r="J106" s="135"/>
      <c r="K106" s="135"/>
      <c r="L106" s="135"/>
      <c r="M106" s="135"/>
      <c r="N106" s="135"/>
      <c r="O106" s="135"/>
      <c r="P106" s="113"/>
      <c r="Q106" s="113"/>
      <c r="R106" s="156">
        <v>-473</v>
      </c>
      <c r="S106" s="139"/>
      <c r="T106" s="2"/>
      <c r="U106" s="4"/>
    </row>
    <row r="107" spans="1:21" ht="15.6" x14ac:dyDescent="0.3">
      <c r="A107" s="122" t="s">
        <v>275</v>
      </c>
      <c r="B107" s="113" t="s">
        <v>266</v>
      </c>
      <c r="C107" s="113"/>
      <c r="D107" s="135"/>
      <c r="E107" s="135"/>
      <c r="F107" s="135"/>
      <c r="G107" s="135"/>
      <c r="H107" s="135"/>
      <c r="I107" s="135"/>
      <c r="J107" s="135"/>
      <c r="K107" s="135"/>
      <c r="L107" s="135"/>
      <c r="M107" s="135"/>
      <c r="N107" s="135"/>
      <c r="O107" s="135"/>
      <c r="P107" s="113"/>
      <c r="Q107" s="113"/>
      <c r="R107" s="156">
        <v>-523</v>
      </c>
      <c r="S107" s="139"/>
      <c r="T107" s="2"/>
      <c r="U107" s="4"/>
    </row>
    <row r="108" spans="1:21" ht="15.6" x14ac:dyDescent="0.3">
      <c r="A108" s="122">
        <v>6</v>
      </c>
      <c r="B108" s="113" t="s">
        <v>189</v>
      </c>
      <c r="C108" s="113"/>
      <c r="D108" s="135"/>
      <c r="E108" s="135"/>
      <c r="F108" s="135"/>
      <c r="G108" s="135"/>
      <c r="H108" s="135"/>
      <c r="I108" s="135"/>
      <c r="J108" s="135"/>
      <c r="K108" s="135"/>
      <c r="L108" s="135"/>
      <c r="M108" s="135"/>
      <c r="N108" s="135"/>
      <c r="O108" s="135"/>
      <c r="P108" s="113"/>
      <c r="Q108" s="113"/>
      <c r="R108" s="156">
        <v>-58</v>
      </c>
      <c r="S108" s="139"/>
      <c r="T108" s="2"/>
      <c r="U108" s="4"/>
    </row>
    <row r="109" spans="1:21" ht="15.6" x14ac:dyDescent="0.3">
      <c r="A109" s="122">
        <v>7</v>
      </c>
      <c r="B109" s="113" t="s">
        <v>190</v>
      </c>
      <c r="C109" s="113"/>
      <c r="D109" s="135"/>
      <c r="E109" s="135"/>
      <c r="F109" s="135"/>
      <c r="G109" s="135"/>
      <c r="H109" s="135"/>
      <c r="I109" s="135"/>
      <c r="J109" s="135"/>
      <c r="K109" s="135"/>
      <c r="L109" s="135"/>
      <c r="M109" s="135"/>
      <c r="N109" s="135"/>
      <c r="O109" s="135"/>
      <c r="P109" s="113"/>
      <c r="Q109" s="113"/>
      <c r="R109" s="156">
        <v>-67</v>
      </c>
      <c r="S109" s="139"/>
      <c r="T109" s="2"/>
      <c r="U109" s="4"/>
    </row>
    <row r="110" spans="1:21" ht="15.6" x14ac:dyDescent="0.3">
      <c r="A110" s="122">
        <v>8</v>
      </c>
      <c r="B110" s="113" t="s">
        <v>156</v>
      </c>
      <c r="C110" s="113"/>
      <c r="D110" s="135"/>
      <c r="E110" s="135"/>
      <c r="F110" s="135"/>
      <c r="G110" s="135"/>
      <c r="H110" s="135"/>
      <c r="I110" s="135"/>
      <c r="J110" s="135"/>
      <c r="K110" s="135"/>
      <c r="L110" s="135"/>
      <c r="M110" s="135"/>
      <c r="N110" s="135"/>
      <c r="O110" s="135"/>
      <c r="P110" s="113"/>
      <c r="Q110" s="113"/>
      <c r="R110" s="156">
        <v>-1</v>
      </c>
      <c r="S110" s="139"/>
      <c r="T110" s="2"/>
      <c r="U110" s="4"/>
    </row>
    <row r="111" spans="1:21" ht="15.6" x14ac:dyDescent="0.3">
      <c r="A111" s="122">
        <v>9</v>
      </c>
      <c r="B111" s="113" t="s">
        <v>37</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22">
        <v>10</v>
      </c>
      <c r="B112" s="113" t="s">
        <v>101</v>
      </c>
      <c r="C112" s="113"/>
      <c r="D112" s="135"/>
      <c r="E112" s="135"/>
      <c r="F112" s="135"/>
      <c r="G112" s="135"/>
      <c r="H112" s="135"/>
      <c r="I112" s="135"/>
      <c r="J112" s="135"/>
      <c r="K112" s="135"/>
      <c r="L112" s="135"/>
      <c r="M112" s="135"/>
      <c r="N112" s="135"/>
      <c r="O112" s="135"/>
      <c r="P112" s="113"/>
      <c r="Q112" s="113"/>
      <c r="R112" s="156">
        <v>0</v>
      </c>
      <c r="S112" s="139"/>
      <c r="T112" s="2"/>
    </row>
    <row r="113" spans="1:20" ht="15.6" x14ac:dyDescent="0.3">
      <c r="A113" s="122">
        <v>11</v>
      </c>
      <c r="B113" s="113" t="s">
        <v>29</v>
      </c>
      <c r="C113" s="113"/>
      <c r="D113" s="135"/>
      <c r="E113" s="135"/>
      <c r="F113" s="135"/>
      <c r="G113" s="135"/>
      <c r="H113" s="135"/>
      <c r="I113" s="135"/>
      <c r="J113" s="135"/>
      <c r="K113" s="135"/>
      <c r="L113" s="135"/>
      <c r="M113" s="135"/>
      <c r="N113" s="135"/>
      <c r="O113" s="135"/>
      <c r="P113" s="113"/>
      <c r="Q113" s="113"/>
      <c r="R113" s="156">
        <v>-20</v>
      </c>
      <c r="S113" s="139"/>
      <c r="T113" s="2"/>
    </row>
    <row r="114" spans="1:20" ht="15.6" x14ac:dyDescent="0.3">
      <c r="A114" s="122">
        <v>12</v>
      </c>
      <c r="B114" s="113" t="s">
        <v>138</v>
      </c>
      <c r="C114" s="113"/>
      <c r="D114" s="135"/>
      <c r="E114" s="135"/>
      <c r="F114" s="135"/>
      <c r="G114" s="135"/>
      <c r="H114" s="135"/>
      <c r="I114" s="135"/>
      <c r="J114" s="135"/>
      <c r="K114" s="135"/>
      <c r="L114" s="135"/>
      <c r="M114" s="135"/>
      <c r="N114" s="135"/>
      <c r="O114" s="135"/>
      <c r="P114" s="113"/>
      <c r="Q114" s="113"/>
      <c r="R114" s="156">
        <v>0</v>
      </c>
      <c r="S114" s="139"/>
      <c r="T114" s="2"/>
    </row>
    <row r="115" spans="1:20" ht="15.6" x14ac:dyDescent="0.3">
      <c r="A115" s="122">
        <v>13</v>
      </c>
      <c r="B115" s="113" t="s">
        <v>267</v>
      </c>
      <c r="C115" s="113"/>
      <c r="D115" s="135"/>
      <c r="E115" s="135"/>
      <c r="F115" s="135"/>
      <c r="G115" s="135"/>
      <c r="H115" s="135"/>
      <c r="I115" s="135"/>
      <c r="J115" s="135"/>
      <c r="K115" s="135"/>
      <c r="L115" s="135"/>
      <c r="M115" s="135"/>
      <c r="N115" s="135"/>
      <c r="O115" s="135"/>
      <c r="P115" s="113"/>
      <c r="Q115" s="113"/>
      <c r="R115" s="156">
        <v>-49</v>
      </c>
      <c r="S115" s="139"/>
      <c r="T115" s="2"/>
    </row>
    <row r="116" spans="1:20" ht="15.6" x14ac:dyDescent="0.3">
      <c r="A116" s="122">
        <v>14</v>
      </c>
      <c r="B116" s="113" t="s">
        <v>157</v>
      </c>
      <c r="C116" s="113"/>
      <c r="D116" s="135"/>
      <c r="E116" s="135"/>
      <c r="F116" s="135"/>
      <c r="G116" s="135"/>
      <c r="H116" s="135"/>
      <c r="I116" s="135"/>
      <c r="J116" s="135"/>
      <c r="K116" s="135"/>
      <c r="L116" s="135"/>
      <c r="M116" s="135"/>
      <c r="N116" s="135"/>
      <c r="O116" s="135"/>
      <c r="P116" s="113"/>
      <c r="Q116" s="113"/>
      <c r="R116" s="156">
        <v>0</v>
      </c>
      <c r="S116" s="139"/>
      <c r="T116" s="2"/>
    </row>
    <row r="117" spans="1:20" ht="15.6" x14ac:dyDescent="0.3">
      <c r="A117" s="122">
        <v>15</v>
      </c>
      <c r="B117" s="113" t="s">
        <v>207</v>
      </c>
      <c r="C117" s="113"/>
      <c r="D117" s="135"/>
      <c r="E117" s="135"/>
      <c r="F117" s="135"/>
      <c r="G117" s="135"/>
      <c r="H117" s="135"/>
      <c r="I117" s="135"/>
      <c r="J117" s="135"/>
      <c r="K117" s="135"/>
      <c r="L117" s="135"/>
      <c r="M117" s="135"/>
      <c r="N117" s="135"/>
      <c r="O117" s="135"/>
      <c r="P117" s="113"/>
      <c r="Q117" s="113"/>
      <c r="R117" s="156">
        <v>-112</v>
      </c>
      <c r="S117" s="139"/>
      <c r="T117" s="2"/>
    </row>
    <row r="118" spans="1:20" ht="15.6" x14ac:dyDescent="0.3">
      <c r="A118" s="122">
        <v>16</v>
      </c>
      <c r="B118" s="113" t="s">
        <v>167</v>
      </c>
      <c r="C118" s="113"/>
      <c r="D118" s="135"/>
      <c r="E118" s="135"/>
      <c r="F118" s="135"/>
      <c r="G118" s="135"/>
      <c r="H118" s="135"/>
      <c r="I118" s="135"/>
      <c r="J118" s="135"/>
      <c r="K118" s="135"/>
      <c r="L118" s="135"/>
      <c r="M118" s="135"/>
      <c r="N118" s="135"/>
      <c r="O118" s="135"/>
      <c r="P118" s="113"/>
      <c r="Q118" s="113"/>
      <c r="R118" s="156">
        <f>-33-176</f>
        <v>-209</v>
      </c>
      <c r="S118" s="139"/>
      <c r="T118" s="2"/>
    </row>
    <row r="119" spans="1:20" ht="15.6" x14ac:dyDescent="0.3">
      <c r="A119" s="122">
        <v>17</v>
      </c>
      <c r="B119" s="113" t="s">
        <v>268</v>
      </c>
      <c r="C119" s="113"/>
      <c r="D119" s="135"/>
      <c r="E119" s="135"/>
      <c r="F119" s="135"/>
      <c r="G119" s="135"/>
      <c r="H119" s="135"/>
      <c r="I119" s="135"/>
      <c r="J119" s="135"/>
      <c r="K119" s="135"/>
      <c r="L119" s="135"/>
      <c r="M119" s="135"/>
      <c r="N119" s="135"/>
      <c r="O119" s="135"/>
      <c r="P119" s="113"/>
      <c r="Q119" s="113"/>
      <c r="R119" s="156">
        <f>-R100-SUM(R102:R118)</f>
        <v>-1715</v>
      </c>
      <c r="S119" s="139"/>
      <c r="T119" s="2"/>
    </row>
    <row r="120" spans="1:20" ht="15.6" x14ac:dyDescent="0.3">
      <c r="A120" s="112"/>
      <c r="B120" s="160" t="s">
        <v>30</v>
      </c>
      <c r="C120" s="135"/>
      <c r="D120" s="135"/>
      <c r="E120" s="135"/>
      <c r="F120" s="135"/>
      <c r="G120" s="135"/>
      <c r="H120" s="135"/>
      <c r="I120" s="135"/>
      <c r="J120" s="135"/>
      <c r="K120" s="135"/>
      <c r="L120" s="135"/>
      <c r="M120" s="135"/>
      <c r="N120" s="135"/>
      <c r="O120" s="135"/>
      <c r="P120" s="113"/>
      <c r="Q120" s="113"/>
      <c r="R120" s="161"/>
      <c r="S120" s="139"/>
      <c r="T120" s="2"/>
    </row>
    <row r="121" spans="1:20" ht="15.6" x14ac:dyDescent="0.3">
      <c r="A121" s="112"/>
      <c r="B121" s="113" t="s">
        <v>208</v>
      </c>
      <c r="C121" s="135"/>
      <c r="D121" s="135"/>
      <c r="E121" s="135"/>
      <c r="F121" s="135"/>
      <c r="G121" s="135"/>
      <c r="H121" s="135"/>
      <c r="I121" s="135"/>
      <c r="J121" s="135"/>
      <c r="K121" s="135"/>
      <c r="L121" s="135"/>
      <c r="M121" s="135"/>
      <c r="N121" s="135"/>
      <c r="O121" s="135"/>
      <c r="P121" s="155">
        <f>-P187</f>
        <v>-219</v>
      </c>
      <c r="Q121" s="155"/>
      <c r="R121" s="156"/>
      <c r="S121" s="139"/>
      <c r="T121" s="2"/>
    </row>
    <row r="122" spans="1:20" ht="15.6" x14ac:dyDescent="0.3">
      <c r="A122" s="112"/>
      <c r="B122" s="113" t="s">
        <v>209</v>
      </c>
      <c r="C122" s="135"/>
      <c r="D122" s="135"/>
      <c r="E122" s="135"/>
      <c r="F122" s="135"/>
      <c r="G122" s="135"/>
      <c r="H122" s="135"/>
      <c r="I122" s="135"/>
      <c r="J122" s="135"/>
      <c r="K122" s="135"/>
      <c r="L122" s="135"/>
      <c r="M122" s="135"/>
      <c r="N122" s="135"/>
      <c r="O122" s="135"/>
      <c r="P122" s="155">
        <v>0</v>
      </c>
      <c r="Q122" s="155"/>
      <c r="R122" s="156"/>
      <c r="S122" s="139"/>
      <c r="T122" s="2"/>
    </row>
    <row r="123" spans="1:20" ht="15.6" x14ac:dyDescent="0.3">
      <c r="A123" s="112"/>
      <c r="B123" s="113" t="s">
        <v>270</v>
      </c>
      <c r="C123" s="135"/>
      <c r="D123" s="135"/>
      <c r="E123" s="135"/>
      <c r="F123" s="135"/>
      <c r="G123" s="135"/>
      <c r="H123" s="135"/>
      <c r="I123" s="135"/>
      <c r="J123" s="135"/>
      <c r="K123" s="135"/>
      <c r="L123" s="135"/>
      <c r="M123" s="135"/>
      <c r="N123" s="135"/>
      <c r="O123" s="135"/>
      <c r="P123" s="155">
        <v>-1623</v>
      </c>
      <c r="Q123" s="155"/>
      <c r="R123" s="156"/>
      <c r="S123" s="139"/>
      <c r="T123" s="2"/>
    </row>
    <row r="124" spans="1:20" ht="15.6" x14ac:dyDescent="0.3">
      <c r="A124" s="112"/>
      <c r="B124" s="113" t="s">
        <v>269</v>
      </c>
      <c r="C124" s="135"/>
      <c r="D124" s="135"/>
      <c r="E124" s="135"/>
      <c r="F124" s="135"/>
      <c r="G124" s="135"/>
      <c r="H124" s="135"/>
      <c r="I124" s="135"/>
      <c r="J124" s="135"/>
      <c r="K124" s="135"/>
      <c r="L124" s="135"/>
      <c r="M124" s="135"/>
      <c r="N124" s="135"/>
      <c r="O124" s="135"/>
      <c r="P124" s="155">
        <v>-2108</v>
      </c>
      <c r="Q124" s="155"/>
      <c r="R124" s="156"/>
      <c r="S124" s="139"/>
      <c r="T124" s="2"/>
    </row>
    <row r="125" spans="1:20" ht="15.6" x14ac:dyDescent="0.3">
      <c r="A125" s="112"/>
      <c r="B125" s="113" t="s">
        <v>181</v>
      </c>
      <c r="C125" s="135"/>
      <c r="D125" s="135"/>
      <c r="E125" s="135"/>
      <c r="F125" s="135"/>
      <c r="G125" s="135"/>
      <c r="H125" s="135"/>
      <c r="I125" s="135"/>
      <c r="J125" s="135"/>
      <c r="K125" s="135"/>
      <c r="L125" s="135"/>
      <c r="M125" s="135"/>
      <c r="N125" s="135"/>
      <c r="O125" s="135"/>
      <c r="P125" s="155">
        <v>0</v>
      </c>
      <c r="Q125" s="155"/>
      <c r="R125" s="156"/>
      <c r="S125" s="139"/>
      <c r="T125" s="2"/>
    </row>
    <row r="126" spans="1:20" ht="15.6" x14ac:dyDescent="0.3">
      <c r="A126" s="112"/>
      <c r="B126" s="113" t="s">
        <v>182</v>
      </c>
      <c r="C126" s="135"/>
      <c r="D126" s="135"/>
      <c r="E126" s="135"/>
      <c r="F126" s="135"/>
      <c r="G126" s="135"/>
      <c r="H126" s="135"/>
      <c r="I126" s="135"/>
      <c r="J126" s="135"/>
      <c r="K126" s="135"/>
      <c r="L126" s="135"/>
      <c r="M126" s="135"/>
      <c r="N126" s="135"/>
      <c r="O126" s="135"/>
      <c r="P126" s="155">
        <v>0</v>
      </c>
      <c r="Q126" s="155"/>
      <c r="R126" s="156"/>
      <c r="S126" s="139"/>
      <c r="T126" s="2"/>
    </row>
    <row r="127" spans="1:20" ht="15.6" x14ac:dyDescent="0.3">
      <c r="A127" s="112"/>
      <c r="B127" s="113" t="s">
        <v>271</v>
      </c>
      <c r="C127" s="135"/>
      <c r="D127" s="135"/>
      <c r="E127" s="135"/>
      <c r="F127" s="135"/>
      <c r="G127" s="135"/>
      <c r="H127" s="135"/>
      <c r="I127" s="135"/>
      <c r="J127" s="135"/>
      <c r="K127" s="135"/>
      <c r="L127" s="135"/>
      <c r="M127" s="135"/>
      <c r="N127" s="135"/>
      <c r="O127" s="135"/>
      <c r="P127" s="155">
        <v>0</v>
      </c>
      <c r="Q127" s="155"/>
      <c r="R127" s="156"/>
      <c r="S127" s="139"/>
      <c r="T127" s="2"/>
    </row>
    <row r="128" spans="1:20" ht="15.6" x14ac:dyDescent="0.3">
      <c r="A128" s="112"/>
      <c r="B128" s="113" t="s">
        <v>31</v>
      </c>
      <c r="C128" s="135"/>
      <c r="D128" s="135"/>
      <c r="E128" s="135"/>
      <c r="F128" s="135"/>
      <c r="G128" s="135"/>
      <c r="H128" s="135"/>
      <c r="I128" s="135"/>
      <c r="J128" s="135"/>
      <c r="K128" s="135"/>
      <c r="L128" s="135"/>
      <c r="M128" s="135"/>
      <c r="N128" s="135"/>
      <c r="O128" s="135"/>
      <c r="P128" s="155">
        <f>SUM(P121:P127)</f>
        <v>-3950</v>
      </c>
      <c r="Q128" s="155"/>
      <c r="R128" s="155">
        <f>SUM(R101:R127)</f>
        <v>-3646</v>
      </c>
      <c r="S128" s="139"/>
      <c r="T128" s="2"/>
    </row>
    <row r="129" spans="1:20" ht="15.6" x14ac:dyDescent="0.3">
      <c r="A129" s="112"/>
      <c r="B129" s="113" t="s">
        <v>32</v>
      </c>
      <c r="C129" s="135"/>
      <c r="D129" s="135"/>
      <c r="E129" s="135"/>
      <c r="F129" s="135"/>
      <c r="G129" s="135"/>
      <c r="H129" s="135"/>
      <c r="I129" s="135"/>
      <c r="J129" s="135"/>
      <c r="K129" s="135"/>
      <c r="L129" s="135"/>
      <c r="M129" s="135"/>
      <c r="N129" s="135"/>
      <c r="O129" s="135"/>
      <c r="P129" s="155">
        <f>P100+P128+P111</f>
        <v>0</v>
      </c>
      <c r="Q129" s="155"/>
      <c r="R129" s="155">
        <f>R100+R128</f>
        <v>0</v>
      </c>
      <c r="S129" s="139"/>
      <c r="T129" s="2"/>
    </row>
    <row r="130" spans="1:20" ht="15.6" x14ac:dyDescent="0.3">
      <c r="A130" s="12"/>
      <c r="B130" s="43"/>
      <c r="C130" s="43"/>
      <c r="D130" s="43"/>
      <c r="E130" s="43"/>
      <c r="F130" s="43"/>
      <c r="G130" s="43"/>
      <c r="H130" s="43"/>
      <c r="I130" s="43"/>
      <c r="J130" s="43"/>
      <c r="K130" s="43"/>
      <c r="L130" s="43"/>
      <c r="M130" s="43"/>
      <c r="N130" s="43"/>
      <c r="O130" s="43"/>
      <c r="P130" s="153"/>
      <c r="Q130" s="153"/>
      <c r="R130" s="153"/>
      <c r="S130" s="217"/>
      <c r="T130" s="2"/>
    </row>
    <row r="131" spans="1:20" ht="15.6" x14ac:dyDescent="0.3">
      <c r="A131" s="12"/>
      <c r="B131" s="14"/>
      <c r="C131" s="14"/>
      <c r="D131" s="14"/>
      <c r="E131" s="14"/>
      <c r="F131" s="14"/>
      <c r="G131" s="14"/>
      <c r="H131" s="14"/>
      <c r="I131" s="14"/>
      <c r="J131" s="14"/>
      <c r="K131" s="14"/>
      <c r="L131" s="14"/>
      <c r="M131" s="14"/>
      <c r="N131" s="14"/>
      <c r="O131" s="14"/>
      <c r="P131" s="14"/>
      <c r="Q131" s="14"/>
      <c r="R131" s="33"/>
      <c r="S131" s="217"/>
      <c r="T131" s="2"/>
    </row>
    <row r="132" spans="1:20" ht="18" thickBot="1" x14ac:dyDescent="0.35">
      <c r="A132" s="28"/>
      <c r="B132" s="97" t="str">
        <f>B60</f>
        <v>PM22 INVESTOR REPORT QUARTER ENDING AUGUST 2015</v>
      </c>
      <c r="C132" s="29"/>
      <c r="D132" s="29"/>
      <c r="E132" s="29"/>
      <c r="F132" s="29"/>
      <c r="G132" s="29"/>
      <c r="H132" s="29"/>
      <c r="I132" s="29"/>
      <c r="J132" s="29"/>
      <c r="K132" s="29"/>
      <c r="L132" s="29"/>
      <c r="M132" s="29"/>
      <c r="N132" s="29"/>
      <c r="O132" s="29"/>
      <c r="P132" s="29"/>
      <c r="Q132" s="29"/>
      <c r="R132" s="40"/>
      <c r="S132" s="31"/>
      <c r="T132" s="2"/>
    </row>
    <row r="133" spans="1:20" ht="15.6" x14ac:dyDescent="0.3">
      <c r="A133" s="65"/>
      <c r="B133" s="66" t="s">
        <v>33</v>
      </c>
      <c r="C133" s="67"/>
      <c r="D133" s="67"/>
      <c r="E133" s="67"/>
      <c r="F133" s="67"/>
      <c r="G133" s="67"/>
      <c r="H133" s="67"/>
      <c r="I133" s="67"/>
      <c r="J133" s="67"/>
      <c r="K133" s="67"/>
      <c r="L133" s="67"/>
      <c r="M133" s="67"/>
      <c r="N133" s="67"/>
      <c r="O133" s="67"/>
      <c r="P133" s="67"/>
      <c r="Q133" s="67"/>
      <c r="R133" s="68"/>
      <c r="S133" s="223"/>
      <c r="T133" s="2"/>
    </row>
    <row r="134" spans="1:20" ht="15.6" x14ac:dyDescent="0.3">
      <c r="A134" s="12"/>
      <c r="B134" s="22"/>
      <c r="C134" s="14"/>
      <c r="D134" s="14"/>
      <c r="E134" s="14"/>
      <c r="F134" s="14"/>
      <c r="G134" s="14"/>
      <c r="H134" s="14"/>
      <c r="I134" s="14"/>
      <c r="J134" s="14"/>
      <c r="K134" s="14"/>
      <c r="L134" s="14"/>
      <c r="M134" s="14"/>
      <c r="N134" s="14"/>
      <c r="O134" s="14"/>
      <c r="P134" s="14"/>
      <c r="Q134" s="14"/>
      <c r="R134" s="33"/>
      <c r="S134" s="217"/>
      <c r="T134" s="2"/>
    </row>
    <row r="135" spans="1:20" ht="15.6" x14ac:dyDescent="0.3">
      <c r="A135" s="12"/>
      <c r="B135" s="41" t="s">
        <v>34</v>
      </c>
      <c r="C135" s="14"/>
      <c r="D135" s="14"/>
      <c r="E135" s="14"/>
      <c r="F135" s="14"/>
      <c r="G135" s="14"/>
      <c r="H135" s="14"/>
      <c r="I135" s="14"/>
      <c r="J135" s="14"/>
      <c r="K135" s="14"/>
      <c r="L135" s="14"/>
      <c r="M135" s="14"/>
      <c r="N135" s="14"/>
      <c r="O135" s="14"/>
      <c r="P135" s="14"/>
      <c r="Q135" s="14"/>
      <c r="R135" s="33"/>
      <c r="S135" s="217"/>
      <c r="T135" s="2"/>
    </row>
    <row r="136" spans="1:20" ht="15.6" x14ac:dyDescent="0.3">
      <c r="A136" s="112"/>
      <c r="B136" s="113" t="s">
        <v>35</v>
      </c>
      <c r="C136" s="113"/>
      <c r="D136" s="113"/>
      <c r="E136" s="113"/>
      <c r="F136" s="113"/>
      <c r="G136" s="113"/>
      <c r="H136" s="113"/>
      <c r="I136" s="113"/>
      <c r="J136" s="113"/>
      <c r="K136" s="113"/>
      <c r="L136" s="113"/>
      <c r="M136" s="113"/>
      <c r="N136" s="113"/>
      <c r="O136" s="113"/>
      <c r="P136" s="113"/>
      <c r="Q136" s="113"/>
      <c r="R136" s="156">
        <v>7502</v>
      </c>
      <c r="S136" s="116"/>
      <c r="T136" s="2"/>
    </row>
    <row r="137" spans="1:20" ht="15.6" x14ac:dyDescent="0.3">
      <c r="A137" s="112"/>
      <c r="B137" s="113" t="s">
        <v>36</v>
      </c>
      <c r="C137" s="113"/>
      <c r="D137" s="113"/>
      <c r="E137" s="113"/>
      <c r="F137" s="113"/>
      <c r="G137" s="113"/>
      <c r="H137" s="113"/>
      <c r="I137" s="113"/>
      <c r="J137" s="113"/>
      <c r="K137" s="113"/>
      <c r="L137" s="113"/>
      <c r="M137" s="113"/>
      <c r="N137" s="113"/>
      <c r="O137" s="113"/>
      <c r="P137" s="113"/>
      <c r="Q137" s="113"/>
      <c r="R137" s="156">
        <v>0</v>
      </c>
      <c r="S137" s="116"/>
      <c r="T137" s="2"/>
    </row>
    <row r="138" spans="1:20" ht="15.6" x14ac:dyDescent="0.3">
      <c r="A138" s="112"/>
      <c r="B138" s="113" t="s">
        <v>169</v>
      </c>
      <c r="C138" s="113"/>
      <c r="D138" s="113"/>
      <c r="E138" s="113"/>
      <c r="F138" s="113"/>
      <c r="G138" s="113"/>
      <c r="H138" s="113"/>
      <c r="I138" s="113"/>
      <c r="J138" s="113"/>
      <c r="K138" s="113"/>
      <c r="L138" s="113"/>
      <c r="M138" s="113"/>
      <c r="N138" s="113"/>
      <c r="O138" s="113"/>
      <c r="P138" s="113"/>
      <c r="Q138" s="113"/>
      <c r="R138" s="156">
        <f>R136-R139</f>
        <v>299.41000780250033</v>
      </c>
      <c r="S138" s="116"/>
      <c r="T138" s="2"/>
    </row>
    <row r="139" spans="1:20" ht="15.6" x14ac:dyDescent="0.3">
      <c r="A139" s="112"/>
      <c r="B139" s="113" t="s">
        <v>210</v>
      </c>
      <c r="C139" s="113"/>
      <c r="D139" s="113"/>
      <c r="E139" s="113"/>
      <c r="F139" s="113"/>
      <c r="G139" s="113"/>
      <c r="H139" s="113"/>
      <c r="I139" s="113"/>
      <c r="J139" s="113"/>
      <c r="K139" s="113"/>
      <c r="L139" s="113"/>
      <c r="M139" s="113"/>
      <c r="N139" s="113"/>
      <c r="O139" s="113"/>
      <c r="P139" s="113"/>
      <c r="Q139" s="113"/>
      <c r="R139" s="156">
        <f>SUM(D33:J33)*0.025</f>
        <v>7202.5899921974997</v>
      </c>
      <c r="S139" s="116"/>
      <c r="T139" s="2"/>
    </row>
    <row r="140" spans="1:20" ht="15.6" x14ac:dyDescent="0.3">
      <c r="A140" s="112"/>
      <c r="B140" s="113" t="s">
        <v>108</v>
      </c>
      <c r="C140" s="113"/>
      <c r="D140" s="113"/>
      <c r="E140" s="113"/>
      <c r="F140" s="113"/>
      <c r="G140" s="113"/>
      <c r="H140" s="113"/>
      <c r="I140" s="113"/>
      <c r="J140" s="113"/>
      <c r="K140" s="113"/>
      <c r="L140" s="113"/>
      <c r="M140" s="113"/>
      <c r="N140" s="113"/>
      <c r="O140" s="113"/>
      <c r="P140" s="113"/>
      <c r="Q140" s="113"/>
      <c r="R140" s="156"/>
      <c r="S140" s="116"/>
      <c r="T140" s="2"/>
    </row>
    <row r="141" spans="1:20" ht="15.6" x14ac:dyDescent="0.3">
      <c r="A141" s="112"/>
      <c r="B141" s="113" t="s">
        <v>155</v>
      </c>
      <c r="C141" s="113"/>
      <c r="D141" s="113"/>
      <c r="E141" s="113"/>
      <c r="F141" s="113"/>
      <c r="G141" s="113"/>
      <c r="H141" s="113"/>
      <c r="I141" s="113"/>
      <c r="J141" s="113"/>
      <c r="K141" s="113"/>
      <c r="L141" s="113"/>
      <c r="M141" s="113"/>
      <c r="N141" s="113"/>
      <c r="O141" s="113"/>
      <c r="P141" s="113"/>
      <c r="Q141" s="113"/>
      <c r="R141" s="156">
        <v>0</v>
      </c>
      <c r="S141" s="116"/>
      <c r="T141" s="2"/>
    </row>
    <row r="142" spans="1:20" ht="15.6" x14ac:dyDescent="0.3">
      <c r="A142" s="112"/>
      <c r="B142" s="113" t="s">
        <v>189</v>
      </c>
      <c r="C142" s="113"/>
      <c r="D142" s="113"/>
      <c r="E142" s="113"/>
      <c r="F142" s="113"/>
      <c r="G142" s="113"/>
      <c r="H142" s="113"/>
      <c r="I142" s="113"/>
      <c r="J142" s="113"/>
      <c r="K142" s="113"/>
      <c r="L142" s="113"/>
      <c r="M142" s="113"/>
      <c r="N142" s="113"/>
      <c r="O142" s="113"/>
      <c r="P142" s="113"/>
      <c r="Q142" s="113"/>
      <c r="R142" s="156">
        <v>0</v>
      </c>
      <c r="S142" s="116"/>
      <c r="T142" s="2"/>
    </row>
    <row r="143" spans="1:20" ht="15.6" x14ac:dyDescent="0.3">
      <c r="A143" s="112"/>
      <c r="B143" s="113" t="s">
        <v>190</v>
      </c>
      <c r="C143" s="113"/>
      <c r="D143" s="113"/>
      <c r="E143" s="113"/>
      <c r="F143" s="113"/>
      <c r="G143" s="113"/>
      <c r="H143" s="113"/>
      <c r="I143" s="113"/>
      <c r="J143" s="113"/>
      <c r="K143" s="113"/>
      <c r="L143" s="113"/>
      <c r="M143" s="113"/>
      <c r="N143" s="113"/>
      <c r="O143" s="113"/>
      <c r="P143" s="113"/>
      <c r="Q143" s="113"/>
      <c r="R143" s="156">
        <v>0</v>
      </c>
      <c r="S143" s="116"/>
      <c r="T143" s="2"/>
    </row>
    <row r="144" spans="1:20" ht="15.6" x14ac:dyDescent="0.3">
      <c r="A144" s="112"/>
      <c r="B144" s="113" t="s">
        <v>37</v>
      </c>
      <c r="C144" s="113"/>
      <c r="D144" s="113"/>
      <c r="E144" s="113"/>
      <c r="F144" s="113"/>
      <c r="G144" s="113"/>
      <c r="H144" s="113"/>
      <c r="I144" s="113"/>
      <c r="J144" s="113"/>
      <c r="K144" s="113"/>
      <c r="L144" s="113"/>
      <c r="M144" s="113"/>
      <c r="N144" s="113"/>
      <c r="O144" s="113"/>
      <c r="P144" s="113"/>
      <c r="Q144" s="113"/>
      <c r="R144" s="156">
        <v>0</v>
      </c>
      <c r="S144" s="116"/>
      <c r="T144" s="2"/>
    </row>
    <row r="145" spans="1:21" ht="15.6" x14ac:dyDescent="0.3">
      <c r="A145" s="112"/>
      <c r="B145" s="113" t="s">
        <v>102</v>
      </c>
      <c r="C145" s="113"/>
      <c r="D145" s="113"/>
      <c r="E145" s="113"/>
      <c r="F145" s="113"/>
      <c r="G145" s="113"/>
      <c r="H145" s="113"/>
      <c r="I145" s="113"/>
      <c r="J145" s="113"/>
      <c r="K145" s="113"/>
      <c r="L145" s="113"/>
      <c r="M145" s="113"/>
      <c r="N145" s="113"/>
      <c r="O145" s="113"/>
      <c r="P145" s="113"/>
      <c r="Q145" s="113"/>
      <c r="R145" s="156">
        <v>0</v>
      </c>
      <c r="S145" s="116"/>
      <c r="T145" s="2"/>
    </row>
    <row r="146" spans="1:21" ht="15.6" x14ac:dyDescent="0.3">
      <c r="A146" s="112"/>
      <c r="B146" s="113" t="s">
        <v>256</v>
      </c>
      <c r="C146" s="113"/>
      <c r="D146" s="113"/>
      <c r="E146" s="113"/>
      <c r="F146" s="113"/>
      <c r="G146" s="113"/>
      <c r="H146" s="113"/>
      <c r="I146" s="113"/>
      <c r="J146" s="113"/>
      <c r="K146" s="113"/>
      <c r="L146" s="113"/>
      <c r="M146" s="113"/>
      <c r="N146" s="113"/>
      <c r="O146" s="113"/>
      <c r="P146" s="113"/>
      <c r="Q146" s="113"/>
      <c r="R146" s="156">
        <v>0</v>
      </c>
      <c r="S146" s="116"/>
      <c r="T146" s="2"/>
      <c r="U146" s="4"/>
    </row>
    <row r="147" spans="1:21" ht="15.6" x14ac:dyDescent="0.3">
      <c r="A147" s="112"/>
      <c r="B147" s="113" t="s">
        <v>38</v>
      </c>
      <c r="C147" s="113"/>
      <c r="D147" s="113"/>
      <c r="E147" s="113"/>
      <c r="F147" s="113"/>
      <c r="G147" s="113"/>
      <c r="H147" s="113"/>
      <c r="I147" s="113"/>
      <c r="J147" s="113"/>
      <c r="K147" s="113"/>
      <c r="L147" s="113"/>
      <c r="M147" s="113"/>
      <c r="N147" s="113"/>
      <c r="O147" s="113"/>
      <c r="P147" s="113"/>
      <c r="Q147" s="113"/>
      <c r="R147" s="156">
        <f>SUM(R137:R146)</f>
        <v>7502</v>
      </c>
      <c r="S147" s="116"/>
      <c r="T147" s="2"/>
    </row>
    <row r="148" spans="1:21" ht="15.6" x14ac:dyDescent="0.3">
      <c r="A148" s="12"/>
      <c r="B148" s="43"/>
      <c r="C148" s="43"/>
      <c r="D148" s="43"/>
      <c r="E148" s="43"/>
      <c r="F148" s="43"/>
      <c r="G148" s="43"/>
      <c r="H148" s="43"/>
      <c r="I148" s="43"/>
      <c r="J148" s="43"/>
      <c r="K148" s="43"/>
      <c r="L148" s="43"/>
      <c r="M148" s="43"/>
      <c r="N148" s="43"/>
      <c r="O148" s="43"/>
      <c r="P148" s="43"/>
      <c r="Q148" s="43"/>
      <c r="R148" s="162"/>
      <c r="S148" s="217"/>
      <c r="T148" s="2"/>
    </row>
    <row r="149" spans="1:21" ht="15.6" x14ac:dyDescent="0.3">
      <c r="A149" s="12"/>
      <c r="B149" s="41" t="s">
        <v>203</v>
      </c>
      <c r="C149" s="14"/>
      <c r="D149" s="14"/>
      <c r="E149" s="14"/>
      <c r="F149" s="14"/>
      <c r="G149" s="14"/>
      <c r="H149" s="14"/>
      <c r="I149" s="14"/>
      <c r="J149" s="14"/>
      <c r="K149" s="14"/>
      <c r="L149" s="14"/>
      <c r="M149" s="14"/>
      <c r="N149" s="14"/>
      <c r="O149" s="14"/>
      <c r="P149" s="14"/>
      <c r="Q149" s="14"/>
      <c r="R149" s="33"/>
      <c r="S149" s="217"/>
      <c r="T149" s="2"/>
    </row>
    <row r="150" spans="1:21" ht="15.6" x14ac:dyDescent="0.3">
      <c r="A150" s="112"/>
      <c r="B150" s="113" t="s">
        <v>278</v>
      </c>
      <c r="C150" s="113"/>
      <c r="D150" s="113"/>
      <c r="E150" s="113"/>
      <c r="F150" s="113"/>
      <c r="G150" s="113"/>
      <c r="H150" s="113"/>
      <c r="I150" s="113"/>
      <c r="J150" s="113"/>
      <c r="K150" s="113"/>
      <c r="L150" s="113"/>
      <c r="M150" s="113"/>
      <c r="N150" s="113"/>
      <c r="O150" s="113"/>
      <c r="P150" s="113"/>
      <c r="Q150" s="113"/>
      <c r="R150" s="156">
        <v>0</v>
      </c>
      <c r="S150" s="139"/>
      <c r="T150" s="2"/>
    </row>
    <row r="151" spans="1:21" ht="15.6" x14ac:dyDescent="0.3">
      <c r="A151" s="112"/>
      <c r="B151" s="113" t="s">
        <v>191</v>
      </c>
      <c r="C151" s="115"/>
      <c r="D151" s="115"/>
      <c r="E151" s="115"/>
      <c r="F151" s="115"/>
      <c r="G151" s="115"/>
      <c r="H151" s="115"/>
      <c r="I151" s="115"/>
      <c r="J151" s="115"/>
      <c r="K151" s="115"/>
      <c r="L151" s="115"/>
      <c r="M151" s="115"/>
      <c r="N151" s="115"/>
      <c r="O151" s="115"/>
      <c r="P151" s="115"/>
      <c r="Q151" s="115"/>
      <c r="R151" s="156">
        <f>+J77</f>
        <v>0</v>
      </c>
      <c r="S151" s="139"/>
      <c r="T151" s="2"/>
    </row>
    <row r="152" spans="1:21" ht="15.6" x14ac:dyDescent="0.3">
      <c r="A152" s="112"/>
      <c r="B152" s="113" t="s">
        <v>205</v>
      </c>
      <c r="C152" s="113"/>
      <c r="D152" s="113"/>
      <c r="E152" s="113"/>
      <c r="F152" s="113"/>
      <c r="G152" s="113"/>
      <c r="H152" s="113"/>
      <c r="I152" s="113"/>
      <c r="J152" s="113"/>
      <c r="K152" s="113"/>
      <c r="L152" s="113"/>
      <c r="M152" s="113"/>
      <c r="N152" s="113"/>
      <c r="O152" s="113"/>
      <c r="P152" s="113"/>
      <c r="Q152" s="113"/>
      <c r="R152" s="156">
        <f>R150+R151</f>
        <v>0</v>
      </c>
      <c r="S152" s="139"/>
      <c r="T152" s="2"/>
    </row>
    <row r="153" spans="1:21" ht="15.6" x14ac:dyDescent="0.3">
      <c r="A153" s="12"/>
      <c r="B153" s="163"/>
      <c r="C153" s="163"/>
      <c r="D153" s="163"/>
      <c r="E153" s="163"/>
      <c r="F153" s="163"/>
      <c r="G153" s="163"/>
      <c r="H153" s="163"/>
      <c r="I153" s="163"/>
      <c r="J153" s="163"/>
      <c r="K153" s="163"/>
      <c r="L153" s="163"/>
      <c r="M153" s="163"/>
      <c r="N153" s="163"/>
      <c r="O153" s="163"/>
      <c r="P153" s="163"/>
      <c r="Q153" s="163"/>
      <c r="R153" s="195"/>
      <c r="S153" s="217"/>
      <c r="T153" s="2"/>
    </row>
    <row r="154" spans="1:21" ht="15.6" x14ac:dyDescent="0.3">
      <c r="A154" s="12"/>
      <c r="B154" s="41" t="s">
        <v>211</v>
      </c>
      <c r="C154" s="163"/>
      <c r="D154" s="163"/>
      <c r="E154" s="163"/>
      <c r="F154" s="163"/>
      <c r="G154" s="163"/>
      <c r="H154" s="163"/>
      <c r="I154" s="163"/>
      <c r="J154" s="163"/>
      <c r="K154" s="163"/>
      <c r="L154" s="163"/>
      <c r="M154" s="163"/>
      <c r="N154" s="163"/>
      <c r="O154" s="163"/>
      <c r="P154" s="163"/>
      <c r="Q154" s="163"/>
      <c r="R154" s="195"/>
      <c r="S154" s="217"/>
      <c r="T154" s="2"/>
    </row>
    <row r="155" spans="1:21" ht="15.6" x14ac:dyDescent="0.3">
      <c r="A155" s="231"/>
      <c r="B155" s="232" t="s">
        <v>277</v>
      </c>
      <c r="C155" s="232"/>
      <c r="D155" s="232"/>
      <c r="E155" s="232"/>
      <c r="F155" s="232"/>
      <c r="G155" s="232"/>
      <c r="H155" s="232"/>
      <c r="I155" s="232"/>
      <c r="J155" s="232"/>
      <c r="K155" s="232"/>
      <c r="L155" s="232"/>
      <c r="M155" s="232"/>
      <c r="N155" s="232"/>
      <c r="O155" s="232"/>
      <c r="P155" s="232"/>
      <c r="Q155" s="232"/>
      <c r="R155" s="233">
        <f>+'May 15'!R159</f>
        <v>2610</v>
      </c>
      <c r="S155" s="234"/>
      <c r="T155" s="2"/>
    </row>
    <row r="156" spans="1:21" ht="15.6" x14ac:dyDescent="0.3">
      <c r="A156" s="231"/>
      <c r="B156" s="232" t="s">
        <v>213</v>
      </c>
      <c r="C156" s="232"/>
      <c r="D156" s="232"/>
      <c r="E156" s="232"/>
      <c r="F156" s="232"/>
      <c r="G156" s="232"/>
      <c r="H156" s="232"/>
      <c r="I156" s="232"/>
      <c r="J156" s="232"/>
      <c r="K156" s="232"/>
      <c r="L156" s="232"/>
      <c r="M156" s="232"/>
      <c r="N156" s="232"/>
      <c r="O156" s="232"/>
      <c r="P156" s="232"/>
      <c r="Q156" s="232"/>
      <c r="R156" s="233">
        <f>P86</f>
        <v>-36</v>
      </c>
      <c r="S156" s="234"/>
      <c r="T156" s="2"/>
    </row>
    <row r="157" spans="1:21" ht="15.6" x14ac:dyDescent="0.3">
      <c r="A157" s="231"/>
      <c r="B157" s="232" t="s">
        <v>214</v>
      </c>
      <c r="C157" s="232"/>
      <c r="D157" s="232"/>
      <c r="E157" s="232"/>
      <c r="F157" s="232"/>
      <c r="G157" s="232"/>
      <c r="H157" s="232"/>
      <c r="I157" s="232"/>
      <c r="J157" s="232"/>
      <c r="K157" s="232"/>
      <c r="L157" s="232"/>
      <c r="M157" s="232"/>
      <c r="N157" s="232"/>
      <c r="O157" s="232"/>
      <c r="P157" s="232"/>
      <c r="Q157" s="232"/>
      <c r="R157" s="233">
        <v>0</v>
      </c>
      <c r="S157" s="234"/>
      <c r="T157" s="2"/>
    </row>
    <row r="158" spans="1:21" ht="15.6" x14ac:dyDescent="0.3">
      <c r="A158" s="231"/>
      <c r="B158" s="232" t="s">
        <v>215</v>
      </c>
      <c r="C158" s="232"/>
      <c r="D158" s="232"/>
      <c r="E158" s="232"/>
      <c r="F158" s="232"/>
      <c r="G158" s="232"/>
      <c r="H158" s="232"/>
      <c r="I158" s="232"/>
      <c r="J158" s="232"/>
      <c r="K158" s="232"/>
      <c r="L158" s="232"/>
      <c r="M158" s="232"/>
      <c r="N158" s="232"/>
      <c r="O158" s="232"/>
      <c r="P158" s="232"/>
      <c r="Q158" s="232"/>
      <c r="R158" s="233">
        <f>R155+R156+R157</f>
        <v>2574</v>
      </c>
      <c r="S158" s="234"/>
      <c r="T158" s="2"/>
    </row>
    <row r="159" spans="1:21" ht="15.6" x14ac:dyDescent="0.3">
      <c r="A159" s="12"/>
      <c r="B159" s="43"/>
      <c r="C159" s="43"/>
      <c r="D159" s="43"/>
      <c r="E159" s="43"/>
      <c r="F159" s="43"/>
      <c r="G159" s="43"/>
      <c r="H159" s="43"/>
      <c r="I159" s="43"/>
      <c r="J159" s="43"/>
      <c r="K159" s="43"/>
      <c r="L159" s="43"/>
      <c r="M159" s="43"/>
      <c r="N159" s="43"/>
      <c r="O159" s="43"/>
      <c r="P159" s="43"/>
      <c r="Q159" s="43"/>
      <c r="R159" s="162"/>
      <c r="S159" s="217"/>
      <c r="T159" s="2"/>
    </row>
    <row r="160" spans="1:21" ht="15.6" x14ac:dyDescent="0.3">
      <c r="A160" s="12"/>
      <c r="B160" s="41" t="s">
        <v>39</v>
      </c>
      <c r="C160" s="14"/>
      <c r="D160" s="14"/>
      <c r="E160" s="14"/>
      <c r="F160" s="14"/>
      <c r="G160" s="14"/>
      <c r="H160" s="14"/>
      <c r="I160" s="14"/>
      <c r="J160" s="14"/>
      <c r="K160" s="14"/>
      <c r="L160" s="14"/>
      <c r="M160" s="14"/>
      <c r="N160" s="14"/>
      <c r="O160" s="14"/>
      <c r="P160" s="14"/>
      <c r="Q160" s="14"/>
      <c r="R160" s="42"/>
      <c r="S160" s="217"/>
      <c r="T160" s="2"/>
    </row>
    <row r="161" spans="1:252" ht="15.6" x14ac:dyDescent="0.3">
      <c r="A161" s="112"/>
      <c r="B161" s="113" t="s">
        <v>40</v>
      </c>
      <c r="C161" s="113"/>
      <c r="D161" s="113"/>
      <c r="E161" s="113"/>
      <c r="F161" s="113"/>
      <c r="G161" s="113"/>
      <c r="H161" s="113"/>
      <c r="I161" s="113"/>
      <c r="J161" s="113"/>
      <c r="K161" s="113"/>
      <c r="L161" s="113"/>
      <c r="M161" s="113"/>
      <c r="N161" s="113"/>
      <c r="O161" s="113"/>
      <c r="P161" s="113"/>
      <c r="Q161" s="113"/>
      <c r="R161" s="156">
        <v>0</v>
      </c>
      <c r="S161" s="116"/>
      <c r="T161" s="2"/>
    </row>
    <row r="162" spans="1:252" ht="15.6" x14ac:dyDescent="0.3">
      <c r="A162" s="112"/>
      <c r="B162" s="113" t="s">
        <v>41</v>
      </c>
      <c r="C162" s="113"/>
      <c r="D162" s="113"/>
      <c r="E162" s="113"/>
      <c r="F162" s="113"/>
      <c r="G162" s="113"/>
      <c r="H162" s="113"/>
      <c r="I162" s="113"/>
      <c r="J162" s="113"/>
      <c r="K162" s="113"/>
      <c r="L162" s="113"/>
      <c r="M162" s="113"/>
      <c r="N162" s="113"/>
      <c r="O162" s="113"/>
      <c r="P162" s="113"/>
      <c r="Q162" s="113"/>
      <c r="R162" s="156">
        <v>0</v>
      </c>
      <c r="S162" s="116"/>
      <c r="T162" s="2"/>
    </row>
    <row r="163" spans="1:252" ht="15.6" x14ac:dyDescent="0.3">
      <c r="A163" s="112"/>
      <c r="B163" s="113" t="s">
        <v>42</v>
      </c>
      <c r="C163" s="113"/>
      <c r="D163" s="113"/>
      <c r="E163" s="113"/>
      <c r="F163" s="113"/>
      <c r="G163" s="113"/>
      <c r="H163" s="113"/>
      <c r="I163" s="113"/>
      <c r="J163" s="113"/>
      <c r="K163" s="113"/>
      <c r="L163" s="113"/>
      <c r="M163" s="113"/>
      <c r="N163" s="113"/>
      <c r="O163" s="113"/>
      <c r="P163" s="113"/>
      <c r="Q163" s="113"/>
      <c r="R163" s="156">
        <f>R162+R161</f>
        <v>0</v>
      </c>
      <c r="S163" s="116"/>
      <c r="T163" s="2"/>
    </row>
    <row r="164" spans="1:252" ht="15.6" x14ac:dyDescent="0.3">
      <c r="A164" s="112"/>
      <c r="B164" s="113" t="s">
        <v>174</v>
      </c>
      <c r="C164" s="113"/>
      <c r="D164" s="113"/>
      <c r="E164" s="113"/>
      <c r="F164" s="113"/>
      <c r="G164" s="113"/>
      <c r="H164" s="113"/>
      <c r="I164" s="113"/>
      <c r="J164" s="113"/>
      <c r="K164" s="113"/>
      <c r="L164" s="113"/>
      <c r="M164" s="113"/>
      <c r="N164" s="113"/>
      <c r="O164" s="113"/>
      <c r="P164" s="113"/>
      <c r="Q164" s="113"/>
      <c r="R164" s="156">
        <f>R111</f>
        <v>0</v>
      </c>
      <c r="S164" s="116"/>
      <c r="T164" s="2"/>
    </row>
    <row r="165" spans="1:252" ht="15.6" x14ac:dyDescent="0.3">
      <c r="A165" s="112"/>
      <c r="B165" s="113" t="s">
        <v>43</v>
      </c>
      <c r="C165" s="113"/>
      <c r="D165" s="113"/>
      <c r="E165" s="113"/>
      <c r="F165" s="113"/>
      <c r="G165" s="113"/>
      <c r="H165" s="113"/>
      <c r="I165" s="113"/>
      <c r="J165" s="113"/>
      <c r="K165" s="113"/>
      <c r="L165" s="113"/>
      <c r="M165" s="113"/>
      <c r="N165" s="113"/>
      <c r="O165" s="113"/>
      <c r="P165" s="113"/>
      <c r="Q165" s="113"/>
      <c r="R165" s="156">
        <f>R163+R164</f>
        <v>0</v>
      </c>
      <c r="S165" s="116"/>
      <c r="T165" s="2"/>
    </row>
    <row r="166" spans="1:252" ht="15.6" x14ac:dyDescent="0.3">
      <c r="A166" s="112"/>
      <c r="B166" s="113" t="s">
        <v>150</v>
      </c>
      <c r="C166" s="113"/>
      <c r="D166" s="113"/>
      <c r="E166" s="113"/>
      <c r="F166" s="113"/>
      <c r="G166" s="113"/>
      <c r="H166" s="113"/>
      <c r="I166" s="113"/>
      <c r="J166" s="113"/>
      <c r="K166" s="113"/>
      <c r="L166" s="113"/>
      <c r="M166" s="113"/>
      <c r="N166" s="113"/>
      <c r="O166" s="113"/>
      <c r="P166" s="113"/>
      <c r="Q166" s="113"/>
      <c r="R166" s="156">
        <f>-R99</f>
        <v>0</v>
      </c>
      <c r="S166" s="116"/>
      <c r="T166" s="2"/>
    </row>
    <row r="167" spans="1:252" ht="16.2" thickBot="1" x14ac:dyDescent="0.35">
      <c r="A167" s="12"/>
      <c r="B167" s="43"/>
      <c r="C167" s="43"/>
      <c r="D167" s="43"/>
      <c r="E167" s="43"/>
      <c r="F167" s="43"/>
      <c r="G167" s="43"/>
      <c r="H167" s="43"/>
      <c r="I167" s="43"/>
      <c r="J167" s="43"/>
      <c r="K167" s="43"/>
      <c r="L167" s="43"/>
      <c r="M167" s="43"/>
      <c r="N167" s="43"/>
      <c r="O167" s="43"/>
      <c r="P167" s="43"/>
      <c r="Q167" s="43"/>
      <c r="R167" s="162"/>
      <c r="S167" s="217"/>
      <c r="T167" s="2"/>
    </row>
    <row r="168" spans="1:252" ht="15.6" x14ac:dyDescent="0.3">
      <c r="A168" s="10"/>
      <c r="B168" s="11"/>
      <c r="C168" s="11"/>
      <c r="D168" s="11"/>
      <c r="E168" s="11"/>
      <c r="F168" s="11"/>
      <c r="G168" s="11"/>
      <c r="H168" s="11"/>
      <c r="I168" s="11"/>
      <c r="J168" s="11"/>
      <c r="K168" s="11"/>
      <c r="L168" s="11"/>
      <c r="M168" s="11"/>
      <c r="N168" s="11"/>
      <c r="O168" s="11"/>
      <c r="P168" s="11"/>
      <c r="Q168" s="11"/>
      <c r="R168" s="32"/>
      <c r="S168" s="216"/>
      <c r="T168" s="2"/>
    </row>
    <row r="169" spans="1:252" s="6" customFormat="1" ht="15.6" x14ac:dyDescent="0.3">
      <c r="A169" s="12"/>
      <c r="B169" s="41" t="s">
        <v>204</v>
      </c>
      <c r="C169" s="43"/>
      <c r="D169" s="43"/>
      <c r="E169" s="43"/>
      <c r="F169" s="43"/>
      <c r="G169" s="43"/>
      <c r="H169" s="43"/>
      <c r="I169" s="43"/>
      <c r="J169" s="43"/>
      <c r="K169" s="43"/>
      <c r="L169" s="43"/>
      <c r="M169" s="43"/>
      <c r="N169" s="43"/>
      <c r="O169" s="43"/>
      <c r="P169" s="43"/>
      <c r="Q169" s="43"/>
      <c r="R169" s="44"/>
      <c r="S169" s="217"/>
      <c r="T169" s="2"/>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row>
    <row r="170" spans="1:252" s="7" customFormat="1" ht="15.6" x14ac:dyDescent="0.3">
      <c r="A170" s="112"/>
      <c r="B170" s="113" t="s">
        <v>141</v>
      </c>
      <c r="C170" s="113"/>
      <c r="D170" s="113"/>
      <c r="E170" s="113"/>
      <c r="F170" s="113"/>
      <c r="G170" s="113"/>
      <c r="H170" s="113"/>
      <c r="I170" s="113"/>
      <c r="J170" s="113"/>
      <c r="K170" s="113"/>
      <c r="L170" s="113"/>
      <c r="M170" s="113"/>
      <c r="N170" s="113"/>
      <c r="O170" s="113"/>
      <c r="P170" s="113"/>
      <c r="Q170" s="113"/>
      <c r="R170" s="156">
        <f>+'May 15'!R173</f>
        <v>468</v>
      </c>
      <c r="S170" s="116"/>
      <c r="T170" s="2"/>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row>
    <row r="171" spans="1:252" s="7" customFormat="1" ht="15.6" x14ac:dyDescent="0.3">
      <c r="A171" s="112"/>
      <c r="B171" s="113" t="s">
        <v>144</v>
      </c>
      <c r="C171" s="113"/>
      <c r="D171" s="113"/>
      <c r="E171" s="113"/>
      <c r="F171" s="113"/>
      <c r="G171" s="113"/>
      <c r="H171" s="113"/>
      <c r="I171" s="113"/>
      <c r="J171" s="113"/>
      <c r="K171" s="113"/>
      <c r="L171" s="113"/>
      <c r="M171" s="113"/>
      <c r="N171" s="113"/>
      <c r="O171" s="113"/>
      <c r="P171" s="113"/>
      <c r="Q171" s="113"/>
      <c r="R171" s="156">
        <f>+R92</f>
        <v>23</v>
      </c>
      <c r="S171" s="116"/>
      <c r="T171" s="2"/>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1:252" s="7" customFormat="1" ht="15.6" x14ac:dyDescent="0.3">
      <c r="A172" s="112"/>
      <c r="B172" s="113" t="s">
        <v>142</v>
      </c>
      <c r="C172" s="113"/>
      <c r="D172" s="113"/>
      <c r="E172" s="113"/>
      <c r="F172" s="113"/>
      <c r="G172" s="113"/>
      <c r="H172" s="113"/>
      <c r="I172" s="113"/>
      <c r="J172" s="113"/>
      <c r="K172" s="113"/>
      <c r="L172" s="113"/>
      <c r="M172" s="113"/>
      <c r="N172" s="113"/>
      <c r="O172" s="113"/>
      <c r="P172" s="113"/>
      <c r="Q172" s="113"/>
      <c r="R172" s="156">
        <f>+R170-R171</f>
        <v>445</v>
      </c>
      <c r="S172" s="116"/>
      <c r="T172" s="2"/>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1:252" s="8" customFormat="1" ht="16.2" thickBot="1" x14ac:dyDescent="0.35">
      <c r="A173" s="28"/>
      <c r="B173" s="43"/>
      <c r="C173" s="43"/>
      <c r="D173" s="43"/>
      <c r="E173" s="43"/>
      <c r="F173" s="43"/>
      <c r="G173" s="43"/>
      <c r="H173" s="43"/>
      <c r="I173" s="43"/>
      <c r="J173" s="43"/>
      <c r="K173" s="43"/>
      <c r="L173" s="43"/>
      <c r="M173" s="43"/>
      <c r="N173" s="43"/>
      <c r="O173" s="43"/>
      <c r="P173" s="43"/>
      <c r="Q173" s="43"/>
      <c r="R173" s="162"/>
      <c r="S173" s="217"/>
      <c r="T173" s="2"/>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1:252" s="9" customFormat="1" ht="15.6" x14ac:dyDescent="0.3">
      <c r="A174" s="10"/>
      <c r="B174" s="11"/>
      <c r="C174" s="11"/>
      <c r="D174" s="11"/>
      <c r="E174" s="11"/>
      <c r="F174" s="11"/>
      <c r="G174" s="11"/>
      <c r="H174" s="11"/>
      <c r="I174" s="11"/>
      <c r="J174" s="11"/>
      <c r="K174" s="11"/>
      <c r="L174" s="11"/>
      <c r="M174" s="11"/>
      <c r="N174" s="11"/>
      <c r="O174" s="11"/>
      <c r="P174" s="11"/>
      <c r="Q174" s="11"/>
      <c r="R174" s="32"/>
      <c r="S174" s="216"/>
      <c r="T174" s="2"/>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1:252" ht="15.6" x14ac:dyDescent="0.3">
      <c r="A175" s="12"/>
      <c r="B175" s="41" t="s">
        <v>44</v>
      </c>
      <c r="C175" s="14"/>
      <c r="D175" s="14"/>
      <c r="E175" s="14"/>
      <c r="F175" s="14"/>
      <c r="G175" s="14"/>
      <c r="H175" s="14"/>
      <c r="I175" s="14"/>
      <c r="J175" s="14"/>
      <c r="K175" s="14"/>
      <c r="L175" s="14"/>
      <c r="M175" s="14"/>
      <c r="N175" s="14"/>
      <c r="O175" s="14"/>
      <c r="P175" s="14"/>
      <c r="Q175" s="14"/>
      <c r="R175" s="33"/>
      <c r="S175" s="217"/>
      <c r="T175" s="2"/>
    </row>
    <row r="176" spans="1:252" ht="15.6" x14ac:dyDescent="0.3">
      <c r="A176" s="12"/>
      <c r="B176" s="22"/>
      <c r="C176" s="14"/>
      <c r="D176" s="14"/>
      <c r="E176" s="14"/>
      <c r="F176" s="14"/>
      <c r="G176" s="14"/>
      <c r="H176" s="14"/>
      <c r="I176" s="14"/>
      <c r="J176" s="14"/>
      <c r="K176" s="14"/>
      <c r="L176" s="14"/>
      <c r="M176" s="14"/>
      <c r="N176" s="14"/>
      <c r="O176" s="14"/>
      <c r="P176" s="14"/>
      <c r="Q176" s="14"/>
      <c r="R176" s="33"/>
      <c r="S176" s="217"/>
      <c r="T176" s="2"/>
    </row>
    <row r="177" spans="1:20" ht="15.6" x14ac:dyDescent="0.3">
      <c r="A177" s="112"/>
      <c r="B177" s="113" t="s">
        <v>172</v>
      </c>
      <c r="C177" s="113"/>
      <c r="D177" s="113"/>
      <c r="E177" s="113"/>
      <c r="F177" s="113"/>
      <c r="G177" s="113"/>
      <c r="H177" s="113"/>
      <c r="I177" s="113"/>
      <c r="J177" s="113"/>
      <c r="K177" s="113"/>
      <c r="L177" s="113"/>
      <c r="M177" s="113"/>
      <c r="N177" s="113"/>
      <c r="O177" s="113"/>
      <c r="P177" s="113"/>
      <c r="Q177" s="113"/>
      <c r="R177" s="156">
        <f>+R67</f>
        <v>293030</v>
      </c>
      <c r="S177" s="116"/>
      <c r="T177" s="2"/>
    </row>
    <row r="178" spans="1:20" ht="15.6" x14ac:dyDescent="0.3">
      <c r="A178" s="112"/>
      <c r="B178" s="113" t="s">
        <v>173</v>
      </c>
      <c r="C178" s="113"/>
      <c r="D178" s="113"/>
      <c r="E178" s="113"/>
      <c r="F178" s="113"/>
      <c r="G178" s="113"/>
      <c r="H178" s="113"/>
      <c r="I178" s="113"/>
      <c r="J178" s="113"/>
      <c r="K178" s="113"/>
      <c r="L178" s="113"/>
      <c r="M178" s="113"/>
      <c r="N178" s="113"/>
      <c r="O178" s="113"/>
      <c r="P178" s="113"/>
      <c r="Q178" s="113"/>
      <c r="R178" s="156">
        <f>+R77</f>
        <v>0</v>
      </c>
      <c r="S178" s="116"/>
      <c r="T178" s="2"/>
    </row>
    <row r="179" spans="1:20" ht="15.6" x14ac:dyDescent="0.3">
      <c r="A179" s="112"/>
      <c r="B179" s="113" t="s">
        <v>216</v>
      </c>
      <c r="C179" s="113"/>
      <c r="D179" s="113"/>
      <c r="E179" s="113"/>
      <c r="F179" s="113"/>
      <c r="G179" s="113"/>
      <c r="H179" s="113"/>
      <c r="I179" s="113"/>
      <c r="J179" s="113"/>
      <c r="K179" s="113"/>
      <c r="L179" s="113"/>
      <c r="M179" s="113"/>
      <c r="N179" s="113"/>
      <c r="O179" s="113"/>
      <c r="P179" s="113"/>
      <c r="Q179" s="113"/>
      <c r="R179" s="156">
        <f>+R78</f>
        <v>2574</v>
      </c>
      <c r="S179" s="116"/>
      <c r="T179" s="2"/>
    </row>
    <row r="180" spans="1:20" ht="15.6" x14ac:dyDescent="0.3">
      <c r="A180" s="112"/>
      <c r="B180" s="113" t="s">
        <v>126</v>
      </c>
      <c r="C180" s="113"/>
      <c r="D180" s="113"/>
      <c r="E180" s="113"/>
      <c r="F180" s="113"/>
      <c r="G180" s="113"/>
      <c r="H180" s="113"/>
      <c r="I180" s="113"/>
      <c r="J180" s="113"/>
      <c r="K180" s="113"/>
      <c r="L180" s="113"/>
      <c r="M180" s="113"/>
      <c r="N180" s="113"/>
      <c r="O180" s="113"/>
      <c r="P180" s="113"/>
      <c r="Q180" s="113"/>
      <c r="R180" s="156">
        <f>+R177+R178+R179</f>
        <v>295604</v>
      </c>
      <c r="S180" s="116"/>
      <c r="T180" s="2"/>
    </row>
    <row r="181" spans="1:20" ht="15.6" x14ac:dyDescent="0.3">
      <c r="A181" s="112"/>
      <c r="B181" s="113" t="s">
        <v>45</v>
      </c>
      <c r="C181" s="113"/>
      <c r="D181" s="113"/>
      <c r="E181" s="113"/>
      <c r="F181" s="113"/>
      <c r="G181" s="113"/>
      <c r="H181" s="113"/>
      <c r="I181" s="113"/>
      <c r="J181" s="113"/>
      <c r="K181" s="113"/>
      <c r="L181" s="113"/>
      <c r="M181" s="113"/>
      <c r="N181" s="113"/>
      <c r="O181" s="113"/>
      <c r="P181" s="113"/>
      <c r="Q181" s="113"/>
      <c r="R181" s="156">
        <f>R80</f>
        <v>295604</v>
      </c>
      <c r="S181" s="116"/>
      <c r="T181" s="2"/>
    </row>
    <row r="182" spans="1:20" ht="16.2" thickBot="1" x14ac:dyDescent="0.35">
      <c r="A182" s="12"/>
      <c r="B182" s="43"/>
      <c r="C182" s="43"/>
      <c r="D182" s="43"/>
      <c r="E182" s="43"/>
      <c r="F182" s="43"/>
      <c r="G182" s="43"/>
      <c r="H182" s="43"/>
      <c r="I182" s="43"/>
      <c r="J182" s="43"/>
      <c r="K182" s="43"/>
      <c r="L182" s="43"/>
      <c r="M182" s="43"/>
      <c r="N182" s="43"/>
      <c r="O182" s="43"/>
      <c r="P182" s="43"/>
      <c r="Q182" s="43"/>
      <c r="R182" s="162"/>
      <c r="S182" s="217"/>
      <c r="T182" s="2"/>
    </row>
    <row r="183" spans="1:20" ht="15.6" x14ac:dyDescent="0.3">
      <c r="A183" s="10"/>
      <c r="B183" s="11"/>
      <c r="C183" s="11"/>
      <c r="D183" s="11"/>
      <c r="E183" s="11"/>
      <c r="F183" s="11"/>
      <c r="G183" s="11"/>
      <c r="H183" s="11"/>
      <c r="I183" s="11"/>
      <c r="J183" s="11"/>
      <c r="K183" s="11"/>
      <c r="L183" s="11"/>
      <c r="M183" s="11"/>
      <c r="N183" s="11"/>
      <c r="O183" s="11"/>
      <c r="P183" s="11"/>
      <c r="Q183" s="11"/>
      <c r="R183" s="32"/>
      <c r="S183" s="216"/>
      <c r="T183" s="2"/>
    </row>
    <row r="184" spans="1:20" ht="15.6" x14ac:dyDescent="0.3">
      <c r="A184" s="12"/>
      <c r="B184" s="41" t="s">
        <v>46</v>
      </c>
      <c r="C184" s="37"/>
      <c r="D184" s="45"/>
      <c r="E184" s="45"/>
      <c r="F184" s="45"/>
      <c r="G184" s="45"/>
      <c r="H184" s="45"/>
      <c r="I184" s="45"/>
      <c r="J184" s="45"/>
      <c r="K184" s="45"/>
      <c r="L184" s="45"/>
      <c r="M184" s="45"/>
      <c r="N184" s="45"/>
      <c r="O184" s="45" t="s">
        <v>82</v>
      </c>
      <c r="P184" s="45" t="s">
        <v>170</v>
      </c>
      <c r="Q184" s="16"/>
      <c r="R184" s="46" t="s">
        <v>94</v>
      </c>
      <c r="S184" s="224"/>
      <c r="T184" s="2"/>
    </row>
    <row r="185" spans="1:20" ht="15.6" x14ac:dyDescent="0.3">
      <c r="A185" s="112"/>
      <c r="B185" s="113" t="s">
        <v>47</v>
      </c>
      <c r="C185" s="113"/>
      <c r="D185" s="113"/>
      <c r="E185" s="113"/>
      <c r="F185" s="113"/>
      <c r="G185" s="113"/>
      <c r="H185" s="113"/>
      <c r="I185" s="113"/>
      <c r="J185" s="113"/>
      <c r="K185" s="113"/>
      <c r="L185" s="113"/>
      <c r="M185" s="113"/>
      <c r="N185" s="113"/>
      <c r="O185" s="156">
        <f>+R31*0.08</f>
        <v>24000.720000000001</v>
      </c>
      <c r="P185" s="145"/>
      <c r="Q185" s="113"/>
      <c r="R185" s="156"/>
      <c r="S185" s="116"/>
      <c r="T185" s="2"/>
    </row>
    <row r="186" spans="1:20" ht="15.6" x14ac:dyDescent="0.3">
      <c r="A186" s="112"/>
      <c r="B186" s="113" t="s">
        <v>48</v>
      </c>
      <c r="C186" s="113"/>
      <c r="D186" s="113"/>
      <c r="E186" s="113"/>
      <c r="F186" s="113"/>
      <c r="G186" s="113"/>
      <c r="H186" s="113"/>
      <c r="I186" s="113"/>
      <c r="J186" s="113"/>
      <c r="K186" s="113"/>
      <c r="L186" s="113"/>
      <c r="M186" s="113"/>
      <c r="N186" s="113"/>
      <c r="O186" s="156">
        <f>+'May 15'!O189</f>
        <v>0</v>
      </c>
      <c r="P186" s="156">
        <f>+'May 15'!P189</f>
        <v>217</v>
      </c>
      <c r="Q186" s="113"/>
      <c r="R186" s="156">
        <f>O186+P186</f>
        <v>217</v>
      </c>
      <c r="S186" s="116"/>
      <c r="T186" s="2"/>
    </row>
    <row r="187" spans="1:20" ht="15.6" x14ac:dyDescent="0.3">
      <c r="A187" s="112"/>
      <c r="B187" s="113" t="s">
        <v>49</v>
      </c>
      <c r="C187" s="113"/>
      <c r="D187" s="113"/>
      <c r="E187" s="113"/>
      <c r="F187" s="113"/>
      <c r="G187" s="113"/>
      <c r="H187" s="113"/>
      <c r="I187" s="113"/>
      <c r="J187" s="113"/>
      <c r="K187" s="113"/>
      <c r="L187" s="113"/>
      <c r="M187" s="113"/>
      <c r="N187" s="113"/>
      <c r="O187" s="155">
        <v>36</v>
      </c>
      <c r="P187" s="155">
        <v>219</v>
      </c>
      <c r="Q187" s="113"/>
      <c r="R187" s="156">
        <f>O187+P187</f>
        <v>255</v>
      </c>
      <c r="S187" s="116"/>
      <c r="T187" s="2"/>
    </row>
    <row r="188" spans="1:20" ht="15.6" x14ac:dyDescent="0.3">
      <c r="A188" s="112"/>
      <c r="B188" s="113" t="s">
        <v>50</v>
      </c>
      <c r="C188" s="113"/>
      <c r="D188" s="113"/>
      <c r="E188" s="113"/>
      <c r="F188" s="113"/>
      <c r="G188" s="113"/>
      <c r="H188" s="113"/>
      <c r="I188" s="113"/>
      <c r="J188" s="113"/>
      <c r="K188" s="113"/>
      <c r="L188" s="113"/>
      <c r="M188" s="113"/>
      <c r="N188" s="113"/>
      <c r="O188" s="156">
        <f>O186+O187</f>
        <v>36</v>
      </c>
      <c r="P188" s="156">
        <f>P187+P186</f>
        <v>436</v>
      </c>
      <c r="Q188" s="113"/>
      <c r="R188" s="156">
        <f>O188+P188</f>
        <v>472</v>
      </c>
      <c r="S188" s="116"/>
      <c r="T188" s="2"/>
    </row>
    <row r="189" spans="1:20" ht="15.6" x14ac:dyDescent="0.3">
      <c r="A189" s="112"/>
      <c r="B189" s="113" t="s">
        <v>51</v>
      </c>
      <c r="C189" s="113"/>
      <c r="D189" s="113"/>
      <c r="E189" s="113"/>
      <c r="F189" s="113"/>
      <c r="G189" s="113"/>
      <c r="H189" s="113"/>
      <c r="I189" s="113"/>
      <c r="J189" s="113"/>
      <c r="K189" s="113"/>
      <c r="L189" s="113"/>
      <c r="M189" s="113"/>
      <c r="N189" s="113"/>
      <c r="O189" s="156">
        <f>O185-O188-P188</f>
        <v>23528.720000000001</v>
      </c>
      <c r="P189" s="145"/>
      <c r="Q189" s="113"/>
      <c r="R189" s="156"/>
      <c r="S189" s="116"/>
      <c r="T189" s="2"/>
    </row>
    <row r="190" spans="1:20" ht="16.2" thickBot="1" x14ac:dyDescent="0.35">
      <c r="A190" s="12"/>
      <c r="B190" s="43"/>
      <c r="C190" s="43"/>
      <c r="D190" s="43"/>
      <c r="E190" s="43"/>
      <c r="F190" s="43"/>
      <c r="G190" s="43"/>
      <c r="H190" s="43"/>
      <c r="I190" s="43"/>
      <c r="J190" s="43"/>
      <c r="K190" s="43"/>
      <c r="L190" s="43"/>
      <c r="M190" s="43"/>
      <c r="N190" s="43"/>
      <c r="O190" s="43"/>
      <c r="P190" s="43"/>
      <c r="Q190" s="43"/>
      <c r="R190" s="162"/>
      <c r="S190" s="217"/>
      <c r="T190" s="2"/>
    </row>
    <row r="191" spans="1:20" ht="15.6" x14ac:dyDescent="0.3">
      <c r="A191" s="10"/>
      <c r="B191" s="11"/>
      <c r="C191" s="11"/>
      <c r="D191" s="11"/>
      <c r="E191" s="11"/>
      <c r="F191" s="11"/>
      <c r="G191" s="11"/>
      <c r="H191" s="11"/>
      <c r="I191" s="11"/>
      <c r="J191" s="11"/>
      <c r="K191" s="11"/>
      <c r="L191" s="11"/>
      <c r="M191" s="11"/>
      <c r="N191" s="11"/>
      <c r="O191" s="11"/>
      <c r="P191" s="11"/>
      <c r="Q191" s="11"/>
      <c r="R191" s="32"/>
      <c r="S191" s="216"/>
      <c r="T191" s="2"/>
    </row>
    <row r="192" spans="1:20" ht="15.6" x14ac:dyDescent="0.3">
      <c r="A192" s="12"/>
      <c r="B192" s="41" t="s">
        <v>52</v>
      </c>
      <c r="C192" s="14"/>
      <c r="D192" s="14"/>
      <c r="E192" s="14"/>
      <c r="F192" s="14"/>
      <c r="G192" s="14"/>
      <c r="H192" s="14"/>
      <c r="I192" s="14"/>
      <c r="J192" s="14"/>
      <c r="K192" s="14"/>
      <c r="L192" s="14"/>
      <c r="M192" s="14"/>
      <c r="N192" s="14"/>
      <c r="O192" s="14"/>
      <c r="P192" s="14"/>
      <c r="Q192" s="14"/>
      <c r="R192" s="47"/>
      <c r="S192" s="217"/>
      <c r="T192" s="2"/>
    </row>
    <row r="193" spans="1:20" ht="15.6" x14ac:dyDescent="0.3">
      <c r="A193" s="112"/>
      <c r="B193" s="113" t="s">
        <v>53</v>
      </c>
      <c r="C193" s="113"/>
      <c r="D193" s="113"/>
      <c r="E193" s="113"/>
      <c r="F193" s="113"/>
      <c r="G193" s="113"/>
      <c r="H193" s="113"/>
      <c r="I193" s="113"/>
      <c r="J193" s="113"/>
      <c r="K193" s="113"/>
      <c r="L193" s="113"/>
      <c r="M193" s="113"/>
      <c r="N193" s="113"/>
      <c r="O193" s="113"/>
      <c r="P193" s="113"/>
      <c r="Q193" s="113"/>
      <c r="R193" s="161">
        <f>(R100+R102+R103+R104+R105)/-(R106+R107)</f>
        <v>3.2399598393574296</v>
      </c>
      <c r="S193" s="116" t="s">
        <v>95</v>
      </c>
      <c r="T193" s="2"/>
    </row>
    <row r="194" spans="1:20" ht="15.6" x14ac:dyDescent="0.3">
      <c r="A194" s="112"/>
      <c r="B194" s="113" t="s">
        <v>54</v>
      </c>
      <c r="C194" s="113"/>
      <c r="D194" s="113"/>
      <c r="E194" s="113"/>
      <c r="F194" s="113"/>
      <c r="G194" s="113"/>
      <c r="H194" s="113"/>
      <c r="I194" s="113"/>
      <c r="J194" s="113"/>
      <c r="K194" s="113"/>
      <c r="L194" s="113"/>
      <c r="M194" s="113"/>
      <c r="N194" s="113"/>
      <c r="O194" s="113"/>
      <c r="P194" s="113"/>
      <c r="Q194" s="113"/>
      <c r="R194" s="241">
        <v>2.97</v>
      </c>
      <c r="S194" s="116" t="s">
        <v>95</v>
      </c>
      <c r="T194" s="2"/>
    </row>
    <row r="195" spans="1:20" ht="15.6" x14ac:dyDescent="0.3">
      <c r="A195" s="112"/>
      <c r="B195" s="113" t="s">
        <v>183</v>
      </c>
      <c r="C195" s="113"/>
      <c r="D195" s="113"/>
      <c r="E195" s="113"/>
      <c r="F195" s="113"/>
      <c r="G195" s="113"/>
      <c r="H195" s="113"/>
      <c r="I195" s="113"/>
      <c r="J195" s="113"/>
      <c r="K195" s="113"/>
      <c r="L195" s="113"/>
      <c r="M195" s="113"/>
      <c r="N195" s="113"/>
      <c r="O195" s="113"/>
      <c r="P195" s="113"/>
      <c r="Q195" s="113"/>
      <c r="R195" s="242">
        <f>(R100+R102+R103+R104+R105+R106+R107)/-(R108)</f>
        <v>38.46551724137931</v>
      </c>
      <c r="S195" s="116" t="s">
        <v>95</v>
      </c>
      <c r="T195" s="2"/>
    </row>
    <row r="196" spans="1:20" ht="15.6" x14ac:dyDescent="0.3">
      <c r="A196" s="112"/>
      <c r="B196" s="113" t="s">
        <v>184</v>
      </c>
      <c r="C196" s="113"/>
      <c r="D196" s="113"/>
      <c r="E196" s="113"/>
      <c r="F196" s="113"/>
      <c r="G196" s="113"/>
      <c r="H196" s="113"/>
      <c r="I196" s="113"/>
      <c r="J196" s="113"/>
      <c r="K196" s="113"/>
      <c r="L196" s="113"/>
      <c r="M196" s="113"/>
      <c r="N196" s="113"/>
      <c r="O196" s="113"/>
      <c r="P196" s="113"/>
      <c r="Q196" s="113"/>
      <c r="R196" s="241">
        <v>33.85</v>
      </c>
      <c r="S196" s="116" t="s">
        <v>95</v>
      </c>
      <c r="T196" s="2"/>
    </row>
    <row r="197" spans="1:20" ht="15.6" x14ac:dyDescent="0.3">
      <c r="A197" s="112"/>
      <c r="B197" s="113" t="s">
        <v>185</v>
      </c>
      <c r="C197" s="113"/>
      <c r="D197" s="113"/>
      <c r="E197" s="113"/>
      <c r="F197" s="113"/>
      <c r="G197" s="113"/>
      <c r="H197" s="113"/>
      <c r="I197" s="113"/>
      <c r="J197" s="113"/>
      <c r="K197" s="113"/>
      <c r="L197" s="113"/>
      <c r="M197" s="113"/>
      <c r="N197" s="113"/>
      <c r="O197" s="113"/>
      <c r="P197" s="113"/>
      <c r="Q197" s="113"/>
      <c r="R197" s="242">
        <f>(R100+R102+R103+R104+R105+R106+R107+R108)/-(R109)</f>
        <v>32.432835820895519</v>
      </c>
      <c r="S197" s="116" t="s">
        <v>95</v>
      </c>
      <c r="T197" s="2"/>
    </row>
    <row r="198" spans="1:20" ht="15.6" x14ac:dyDescent="0.3">
      <c r="A198" s="112"/>
      <c r="B198" s="113" t="s">
        <v>186</v>
      </c>
      <c r="C198" s="113"/>
      <c r="D198" s="113"/>
      <c r="E198" s="113"/>
      <c r="F198" s="113"/>
      <c r="G198" s="113"/>
      <c r="H198" s="113"/>
      <c r="I198" s="113"/>
      <c r="J198" s="113"/>
      <c r="K198" s="113"/>
      <c r="L198" s="113"/>
      <c r="M198" s="113"/>
      <c r="N198" s="113"/>
      <c r="O198" s="113"/>
      <c r="P198" s="113"/>
      <c r="Q198" s="113"/>
      <c r="R198" s="241">
        <v>28.42</v>
      </c>
      <c r="S198" s="116" t="s">
        <v>95</v>
      </c>
      <c r="T198" s="2"/>
    </row>
    <row r="199" spans="1:20" ht="15.6" x14ac:dyDescent="0.3">
      <c r="A199" s="112"/>
      <c r="B199" s="113" t="s">
        <v>257</v>
      </c>
      <c r="C199" s="113"/>
      <c r="D199" s="113"/>
      <c r="E199" s="113"/>
      <c r="F199" s="113"/>
      <c r="G199" s="113"/>
      <c r="H199" s="113"/>
      <c r="I199" s="113"/>
      <c r="J199" s="113"/>
      <c r="K199" s="113"/>
      <c r="L199" s="113"/>
      <c r="M199" s="113"/>
      <c r="N199" s="113"/>
      <c r="O199" s="113"/>
      <c r="P199" s="113"/>
      <c r="Q199" s="113"/>
      <c r="R199" s="242">
        <f>(R100+R102+R103+R104+R105+R106+R107+R108+R109+R110+R111+R112+R113+R114)/-(R115)</f>
        <v>42.551020408163268</v>
      </c>
      <c r="S199" s="116" t="s">
        <v>95</v>
      </c>
      <c r="T199" s="2"/>
    </row>
    <row r="200" spans="1:20" ht="15.6" x14ac:dyDescent="0.3">
      <c r="A200" s="112"/>
      <c r="B200" s="113" t="s">
        <v>258</v>
      </c>
      <c r="C200" s="113"/>
      <c r="D200" s="113"/>
      <c r="E200" s="113"/>
      <c r="F200" s="113"/>
      <c r="G200" s="113"/>
      <c r="H200" s="113"/>
      <c r="I200" s="113"/>
      <c r="J200" s="113"/>
      <c r="K200" s="113"/>
      <c r="L200" s="113"/>
      <c r="M200" s="113"/>
      <c r="N200" s="113"/>
      <c r="O200" s="113"/>
      <c r="P200" s="113"/>
      <c r="Q200" s="113"/>
      <c r="R200" s="241">
        <v>37.1</v>
      </c>
      <c r="S200" s="116" t="s">
        <v>95</v>
      </c>
      <c r="T200" s="2"/>
    </row>
    <row r="201" spans="1:20" ht="15.6" x14ac:dyDescent="0.3">
      <c r="A201" s="112"/>
      <c r="B201" s="113"/>
      <c r="C201" s="113"/>
      <c r="D201" s="113"/>
      <c r="E201" s="113"/>
      <c r="F201" s="113"/>
      <c r="G201" s="113"/>
      <c r="H201" s="113"/>
      <c r="I201" s="113"/>
      <c r="J201" s="113"/>
      <c r="K201" s="113"/>
      <c r="L201" s="113"/>
      <c r="M201" s="113"/>
      <c r="N201" s="113"/>
      <c r="O201" s="113"/>
      <c r="P201" s="113"/>
      <c r="Q201" s="113"/>
      <c r="R201" s="113"/>
      <c r="S201" s="116"/>
      <c r="T201" s="2"/>
    </row>
    <row r="202" spans="1:20" ht="15.6" x14ac:dyDescent="0.3">
      <c r="A202" s="12"/>
      <c r="B202" s="163"/>
      <c r="C202" s="163"/>
      <c r="D202" s="163"/>
      <c r="E202" s="163"/>
      <c r="F202" s="163"/>
      <c r="G202" s="163"/>
      <c r="H202" s="163"/>
      <c r="I202" s="163"/>
      <c r="J202" s="163"/>
      <c r="K202" s="163"/>
      <c r="L202" s="163"/>
      <c r="M202" s="163"/>
      <c r="N202" s="163"/>
      <c r="O202" s="163"/>
      <c r="P202" s="163"/>
      <c r="Q202" s="163"/>
      <c r="R202" s="163"/>
      <c r="S202" s="218"/>
      <c r="T202" s="2"/>
    </row>
    <row r="203" spans="1:20" ht="15.6" x14ac:dyDescent="0.3">
      <c r="A203" s="12"/>
      <c r="B203" s="84"/>
      <c r="C203" s="84"/>
      <c r="D203" s="84"/>
      <c r="E203" s="84"/>
      <c r="F203" s="84"/>
      <c r="G203" s="84"/>
      <c r="H203" s="84"/>
      <c r="I203" s="84"/>
      <c r="J203" s="84"/>
      <c r="K203" s="84"/>
      <c r="L203" s="84"/>
      <c r="M203" s="84"/>
      <c r="N203" s="84"/>
      <c r="O203" s="84"/>
      <c r="P203" s="84"/>
      <c r="Q203" s="84"/>
      <c r="R203" s="84"/>
      <c r="S203" s="218"/>
      <c r="T203" s="2"/>
    </row>
    <row r="204" spans="1:20" ht="18" thickBot="1" x14ac:dyDescent="0.35">
      <c r="A204" s="28"/>
      <c r="B204" s="97" t="str">
        <f>B132</f>
        <v>PM22 INVESTOR REPORT QUARTER ENDING AUGUST 2015</v>
      </c>
      <c r="C204" s="98"/>
      <c r="D204" s="98"/>
      <c r="E204" s="98"/>
      <c r="F204" s="98"/>
      <c r="G204" s="98"/>
      <c r="H204" s="98"/>
      <c r="I204" s="98"/>
      <c r="J204" s="98"/>
      <c r="K204" s="98"/>
      <c r="L204" s="98"/>
      <c r="M204" s="98"/>
      <c r="N204" s="98"/>
      <c r="O204" s="98"/>
      <c r="P204" s="98"/>
      <c r="Q204" s="98"/>
      <c r="R204" s="98"/>
      <c r="S204" s="99"/>
      <c r="T204" s="2"/>
    </row>
    <row r="205" spans="1:20" ht="15.6" x14ac:dyDescent="0.3">
      <c r="A205" s="65"/>
      <c r="B205" s="66" t="s">
        <v>55</v>
      </c>
      <c r="C205" s="69"/>
      <c r="D205" s="70"/>
      <c r="E205" s="70"/>
      <c r="F205" s="70"/>
      <c r="G205" s="70"/>
      <c r="H205" s="70"/>
      <c r="I205" s="70"/>
      <c r="J205" s="70"/>
      <c r="K205" s="70"/>
      <c r="L205" s="70"/>
      <c r="M205" s="70"/>
      <c r="N205" s="70"/>
      <c r="O205" s="70"/>
      <c r="P205" s="70">
        <v>42244</v>
      </c>
      <c r="Q205" s="67"/>
      <c r="R205" s="67"/>
      <c r="S205" s="223"/>
      <c r="T205" s="2"/>
    </row>
    <row r="206" spans="1:20" ht="15.6" x14ac:dyDescent="0.3">
      <c r="A206" s="48"/>
      <c r="B206" s="49"/>
      <c r="C206" s="50"/>
      <c r="D206" s="51"/>
      <c r="E206" s="51"/>
      <c r="F206" s="51"/>
      <c r="G206" s="51"/>
      <c r="H206" s="51"/>
      <c r="I206" s="51"/>
      <c r="J206" s="51"/>
      <c r="K206" s="51"/>
      <c r="L206" s="51"/>
      <c r="M206" s="51"/>
      <c r="N206" s="51"/>
      <c r="O206" s="51"/>
      <c r="P206" s="51"/>
      <c r="Q206" s="14"/>
      <c r="R206" s="14"/>
      <c r="S206" s="217"/>
      <c r="T206" s="2"/>
    </row>
    <row r="207" spans="1:20" ht="15.6" x14ac:dyDescent="0.3">
      <c r="A207" s="166"/>
      <c r="B207" s="113" t="s">
        <v>56</v>
      </c>
      <c r="C207" s="167"/>
      <c r="D207" s="148"/>
      <c r="E207" s="148"/>
      <c r="F207" s="148"/>
      <c r="G207" s="148"/>
      <c r="H207" s="148"/>
      <c r="I207" s="148"/>
      <c r="J207" s="148"/>
      <c r="K207" s="148"/>
      <c r="L207" s="148"/>
      <c r="M207" s="148"/>
      <c r="N207" s="148"/>
      <c r="O207" s="148"/>
      <c r="P207" s="142">
        <v>4.079E-2</v>
      </c>
      <c r="Q207" s="113"/>
      <c r="R207" s="113"/>
      <c r="S207" s="116"/>
      <c r="T207" s="2"/>
    </row>
    <row r="208" spans="1:20" ht="15.6" x14ac:dyDescent="0.3">
      <c r="A208" s="166"/>
      <c r="B208" s="113" t="s">
        <v>158</v>
      </c>
      <c r="C208" s="167"/>
      <c r="D208" s="148"/>
      <c r="E208" s="148"/>
      <c r="F208" s="148"/>
      <c r="G208" s="148"/>
      <c r="H208" s="148"/>
      <c r="I208" s="148"/>
      <c r="J208" s="148"/>
      <c r="K208" s="148"/>
      <c r="L208" s="148"/>
      <c r="M208" s="148"/>
      <c r="N208" s="148"/>
      <c r="O208" s="148"/>
      <c r="P208" s="142">
        <v>1.5340718167454973E-2</v>
      </c>
      <c r="Q208" s="113"/>
      <c r="R208" s="113"/>
      <c r="S208" s="116"/>
      <c r="T208" s="2"/>
    </row>
    <row r="209" spans="1:20" ht="15.6" x14ac:dyDescent="0.3">
      <c r="A209" s="166"/>
      <c r="B209" s="113" t="s">
        <v>57</v>
      </c>
      <c r="C209" s="167"/>
      <c r="D209" s="148"/>
      <c r="E209" s="148"/>
      <c r="F209" s="148"/>
      <c r="G209" s="148"/>
      <c r="H209" s="148"/>
      <c r="I209" s="148"/>
      <c r="J209" s="148"/>
      <c r="K209" s="148"/>
      <c r="L209" s="148"/>
      <c r="M209" s="148"/>
      <c r="N209" s="148"/>
      <c r="O209" s="148"/>
      <c r="P209" s="210">
        <f>P207-P208</f>
        <v>2.5449281832545027E-2</v>
      </c>
      <c r="Q209" s="113"/>
      <c r="R209" s="113"/>
      <c r="S209" s="116"/>
      <c r="T209" s="2"/>
    </row>
    <row r="210" spans="1:20" ht="15.6" x14ac:dyDescent="0.3">
      <c r="A210" s="166"/>
      <c r="B210" s="113" t="s">
        <v>161</v>
      </c>
      <c r="C210" s="167"/>
      <c r="D210" s="148"/>
      <c r="E210" s="148"/>
      <c r="F210" s="148"/>
      <c r="G210" s="148"/>
      <c r="H210" s="148"/>
      <c r="I210" s="148"/>
      <c r="J210" s="148"/>
      <c r="K210" s="148"/>
      <c r="L210" s="148"/>
      <c r="M210" s="148"/>
      <c r="N210" s="148"/>
      <c r="O210" s="148"/>
      <c r="P210" s="210">
        <v>4.5712500000000003E-2</v>
      </c>
      <c r="Q210" s="113"/>
      <c r="R210" s="113"/>
      <c r="S210" s="116"/>
      <c r="T210" s="2"/>
    </row>
    <row r="211" spans="1:20" ht="15.6" x14ac:dyDescent="0.3">
      <c r="A211" s="166"/>
      <c r="B211" s="113" t="s">
        <v>58</v>
      </c>
      <c r="C211" s="167"/>
      <c r="D211" s="148"/>
      <c r="E211" s="148"/>
      <c r="F211" s="148"/>
      <c r="G211" s="148"/>
      <c r="H211" s="148"/>
      <c r="I211" s="148"/>
      <c r="J211" s="148"/>
      <c r="K211" s="148"/>
      <c r="L211" s="148"/>
      <c r="M211" s="148"/>
      <c r="N211" s="148"/>
      <c r="O211" s="148"/>
      <c r="P211" s="208">
        <v>4.0439999999999997E-2</v>
      </c>
      <c r="Q211" s="113"/>
      <c r="R211" s="113"/>
      <c r="S211" s="116"/>
      <c r="T211" s="2"/>
    </row>
    <row r="212" spans="1:20" ht="15.6" x14ac:dyDescent="0.3">
      <c r="A212" s="166"/>
      <c r="B212" s="113" t="s">
        <v>159</v>
      </c>
      <c r="C212" s="167"/>
      <c r="D212" s="148"/>
      <c r="E212" s="148"/>
      <c r="F212" s="148"/>
      <c r="G212" s="148"/>
      <c r="H212" s="148"/>
      <c r="I212" s="148"/>
      <c r="J212" s="148"/>
      <c r="K212" s="148"/>
      <c r="L212" s="148"/>
      <c r="M212" s="148"/>
      <c r="N212" s="148"/>
      <c r="O212" s="148"/>
      <c r="P212" s="142">
        <f>R40</f>
        <v>1.5508607728120564E-2</v>
      </c>
      <c r="Q212" s="113"/>
      <c r="R212" s="113"/>
      <c r="S212" s="116"/>
      <c r="T212" s="2"/>
    </row>
    <row r="213" spans="1:20" ht="15.6" x14ac:dyDescent="0.3">
      <c r="A213" s="166"/>
      <c r="B213" s="113" t="s">
        <v>59</v>
      </c>
      <c r="C213" s="167"/>
      <c r="D213" s="148"/>
      <c r="E213" s="148"/>
      <c r="F213" s="148"/>
      <c r="G213" s="148"/>
      <c r="H213" s="148"/>
      <c r="I213" s="148"/>
      <c r="J213" s="148"/>
      <c r="K213" s="148"/>
      <c r="L213" s="148"/>
      <c r="M213" s="148"/>
      <c r="N213" s="148"/>
      <c r="O213" s="148"/>
      <c r="P213" s="142">
        <f>P211-P212</f>
        <v>2.4931392271879432E-2</v>
      </c>
      <c r="Q213" s="113"/>
      <c r="R213" s="113"/>
      <c r="S213" s="116"/>
      <c r="T213" s="2"/>
    </row>
    <row r="214" spans="1:20" ht="15.6" x14ac:dyDescent="0.3">
      <c r="A214" s="166"/>
      <c r="B214" s="113" t="s">
        <v>139</v>
      </c>
      <c r="C214" s="167"/>
      <c r="D214" s="148"/>
      <c r="E214" s="148"/>
      <c r="F214" s="148"/>
      <c r="G214" s="148"/>
      <c r="H214" s="148"/>
      <c r="I214" s="148"/>
      <c r="J214" s="148"/>
      <c r="K214" s="148"/>
      <c r="L214" s="148"/>
      <c r="M214" s="148"/>
      <c r="N214" s="148"/>
      <c r="O214" s="148"/>
      <c r="P214" s="142">
        <f>(+R100+R102)/H80</f>
        <v>1.218033307164214E-2</v>
      </c>
      <c r="Q214" s="113"/>
      <c r="R214" s="113"/>
      <c r="S214" s="116"/>
      <c r="T214" s="2"/>
    </row>
    <row r="215" spans="1:20" ht="15.6" x14ac:dyDescent="0.3">
      <c r="A215" s="166"/>
      <c r="B215" s="113" t="s">
        <v>132</v>
      </c>
      <c r="C215" s="167"/>
      <c r="D215" s="148"/>
      <c r="E215" s="148"/>
      <c r="F215" s="148"/>
      <c r="G215" s="148"/>
      <c r="H215" s="148"/>
      <c r="I215" s="148"/>
      <c r="J215" s="148"/>
      <c r="K215" s="148"/>
      <c r="L215" s="148"/>
      <c r="M215" s="148"/>
      <c r="N215" s="148"/>
      <c r="O215" s="148"/>
      <c r="P215" s="168">
        <v>52124</v>
      </c>
      <c r="Q215" s="113"/>
      <c r="R215" s="113"/>
      <c r="S215" s="116"/>
      <c r="T215" s="2"/>
    </row>
    <row r="216" spans="1:20" ht="15.6" x14ac:dyDescent="0.3">
      <c r="A216" s="166"/>
      <c r="B216" s="113" t="s">
        <v>187</v>
      </c>
      <c r="C216" s="167"/>
      <c r="D216" s="148"/>
      <c r="E216" s="148"/>
      <c r="F216" s="148"/>
      <c r="G216" s="148"/>
      <c r="H216" s="148"/>
      <c r="I216" s="148"/>
      <c r="J216" s="148"/>
      <c r="K216" s="148"/>
      <c r="L216" s="148"/>
      <c r="M216" s="148"/>
      <c r="N216" s="148"/>
      <c r="O216" s="148"/>
      <c r="P216" s="168">
        <v>15599</v>
      </c>
      <c r="Q216" s="113"/>
      <c r="R216" s="113"/>
      <c r="S216" s="116"/>
      <c r="T216" s="2"/>
    </row>
    <row r="217" spans="1:20" ht="15.6" x14ac:dyDescent="0.3">
      <c r="A217" s="166"/>
      <c r="B217" s="113" t="s">
        <v>188</v>
      </c>
      <c r="C217" s="167"/>
      <c r="D217" s="148"/>
      <c r="E217" s="148"/>
      <c r="F217" s="148"/>
      <c r="G217" s="148"/>
      <c r="H217" s="148"/>
      <c r="I217" s="148"/>
      <c r="J217" s="148"/>
      <c r="K217" s="148"/>
      <c r="L217" s="148"/>
      <c r="M217" s="148"/>
      <c r="N217" s="148"/>
      <c r="O217" s="148"/>
      <c r="P217" s="168">
        <v>15599</v>
      </c>
      <c r="Q217" s="113"/>
      <c r="R217" s="113"/>
      <c r="S217" s="116"/>
      <c r="T217" s="2"/>
    </row>
    <row r="218" spans="1:20" ht="15.6" x14ac:dyDescent="0.3">
      <c r="A218" s="166"/>
      <c r="B218" s="113" t="s">
        <v>259</v>
      </c>
      <c r="C218" s="167"/>
      <c r="D218" s="148"/>
      <c r="E218" s="148"/>
      <c r="F218" s="148"/>
      <c r="G218" s="148"/>
      <c r="H218" s="148"/>
      <c r="I218" s="148"/>
      <c r="J218" s="148"/>
      <c r="K218" s="148"/>
      <c r="L218" s="148"/>
      <c r="M218" s="148"/>
      <c r="N218" s="148"/>
      <c r="O218" s="148"/>
      <c r="P218" s="168">
        <v>15599</v>
      </c>
      <c r="Q218" s="113"/>
      <c r="R218" s="113"/>
      <c r="S218" s="116"/>
      <c r="T218" s="2"/>
    </row>
    <row r="219" spans="1:20" ht="15.6" x14ac:dyDescent="0.3">
      <c r="A219" s="166"/>
      <c r="B219" s="113" t="s">
        <v>60</v>
      </c>
      <c r="C219" s="167"/>
      <c r="D219" s="148"/>
      <c r="E219" s="148"/>
      <c r="F219" s="148"/>
      <c r="G219" s="148"/>
      <c r="H219" s="148"/>
      <c r="I219" s="148"/>
      <c r="J219" s="148"/>
      <c r="K219" s="148"/>
      <c r="L219" s="148"/>
      <c r="M219" s="148"/>
      <c r="N219" s="148"/>
      <c r="O219" s="148"/>
      <c r="P219" s="146">
        <v>20.55</v>
      </c>
      <c r="Q219" s="113" t="s">
        <v>90</v>
      </c>
      <c r="R219" s="113"/>
      <c r="S219" s="116"/>
      <c r="T219" s="2"/>
    </row>
    <row r="220" spans="1:20" ht="15.6" x14ac:dyDescent="0.3">
      <c r="A220" s="166"/>
      <c r="B220" s="113" t="s">
        <v>61</v>
      </c>
      <c r="C220" s="167"/>
      <c r="D220" s="148"/>
      <c r="E220" s="148"/>
      <c r="F220" s="148"/>
      <c r="G220" s="148"/>
      <c r="H220" s="148"/>
      <c r="I220" s="148"/>
      <c r="J220" s="148"/>
      <c r="K220" s="148"/>
      <c r="L220" s="148"/>
      <c r="M220" s="148"/>
      <c r="N220" s="148"/>
      <c r="O220" s="148"/>
      <c r="P220" s="209">
        <v>20.22</v>
      </c>
      <c r="Q220" s="113" t="s">
        <v>90</v>
      </c>
      <c r="R220" s="113"/>
      <c r="S220" s="116"/>
      <c r="T220" s="2"/>
    </row>
    <row r="221" spans="1:20" ht="15.6" x14ac:dyDescent="0.3">
      <c r="A221" s="166"/>
      <c r="B221" s="113" t="s">
        <v>62</v>
      </c>
      <c r="C221" s="167"/>
      <c r="D221" s="148"/>
      <c r="E221" s="148"/>
      <c r="F221" s="148"/>
      <c r="G221" s="148"/>
      <c r="H221" s="148"/>
      <c r="I221" s="148"/>
      <c r="J221" s="148"/>
      <c r="K221" s="148"/>
      <c r="L221" s="148"/>
      <c r="M221" s="148"/>
      <c r="N221" s="148"/>
      <c r="O221" s="148"/>
      <c r="P221" s="142">
        <f>(+J64+L64)/H64</f>
        <v>1.3311989215603674E-2</v>
      </c>
      <c r="Q221" s="113"/>
      <c r="R221" s="113"/>
      <c r="S221" s="116"/>
      <c r="T221" s="2"/>
    </row>
    <row r="222" spans="1:20" ht="15.6" x14ac:dyDescent="0.3">
      <c r="A222" s="166"/>
      <c r="B222" s="113" t="s">
        <v>63</v>
      </c>
      <c r="C222" s="167"/>
      <c r="D222" s="148"/>
      <c r="E222" s="148"/>
      <c r="F222" s="148"/>
      <c r="G222" s="148"/>
      <c r="H222" s="148"/>
      <c r="I222" s="148"/>
      <c r="J222" s="148"/>
      <c r="K222" s="148"/>
      <c r="L222" s="148"/>
      <c r="M222" s="148"/>
      <c r="N222" s="148"/>
      <c r="O222" s="148"/>
      <c r="P222" s="210">
        <v>3.3500000000000002E-2</v>
      </c>
      <c r="Q222" s="113"/>
      <c r="R222" s="113"/>
      <c r="S222" s="116"/>
      <c r="T222" s="2"/>
    </row>
    <row r="223" spans="1:20" ht="15.6" x14ac:dyDescent="0.3">
      <c r="A223" s="48"/>
      <c r="B223" s="164"/>
      <c r="C223" s="164"/>
      <c r="D223" s="43"/>
      <c r="E223" s="43"/>
      <c r="F223" s="43"/>
      <c r="G223" s="43"/>
      <c r="H223" s="43"/>
      <c r="I223" s="43"/>
      <c r="J223" s="43"/>
      <c r="K223" s="43"/>
      <c r="L223" s="43"/>
      <c r="M223" s="43"/>
      <c r="N223" s="43"/>
      <c r="O223" s="43"/>
      <c r="P223" s="162"/>
      <c r="Q223" s="43"/>
      <c r="R223" s="165"/>
      <c r="S223" s="217"/>
      <c r="T223" s="2"/>
    </row>
    <row r="224" spans="1:20" ht="15.6" x14ac:dyDescent="0.3">
      <c r="A224" s="71"/>
      <c r="B224" s="61" t="s">
        <v>64</v>
      </c>
      <c r="C224" s="62"/>
      <c r="D224" s="62"/>
      <c r="E224" s="62"/>
      <c r="F224" s="62"/>
      <c r="G224" s="62"/>
      <c r="H224" s="62"/>
      <c r="I224" s="62"/>
      <c r="J224" s="62"/>
      <c r="K224" s="62"/>
      <c r="L224" s="62"/>
      <c r="M224" s="62"/>
      <c r="N224" s="62"/>
      <c r="O224" s="62" t="s">
        <v>83</v>
      </c>
      <c r="P224" s="72" t="s">
        <v>88</v>
      </c>
      <c r="Q224" s="54"/>
      <c r="R224" s="54"/>
      <c r="S224" s="219"/>
      <c r="T224" s="2"/>
    </row>
    <row r="225" spans="1:20" ht="15.6" x14ac:dyDescent="0.3">
      <c r="A225" s="52"/>
      <c r="B225" s="79" t="s">
        <v>65</v>
      </c>
      <c r="C225" s="78"/>
      <c r="D225" s="95"/>
      <c r="E225" s="95"/>
      <c r="F225" s="95"/>
      <c r="G225" s="95"/>
      <c r="H225" s="95"/>
      <c r="I225" s="95"/>
      <c r="J225" s="95"/>
      <c r="K225" s="95"/>
      <c r="L225" s="95"/>
      <c r="M225" s="95"/>
      <c r="N225" s="95"/>
      <c r="O225" s="95">
        <v>0</v>
      </c>
      <c r="P225" s="96">
        <v>0</v>
      </c>
      <c r="Q225" s="79"/>
      <c r="R225" s="94"/>
      <c r="S225" s="225"/>
      <c r="T225" s="2"/>
    </row>
    <row r="226" spans="1:20" ht="15.6" x14ac:dyDescent="0.3">
      <c r="A226" s="172"/>
      <c r="B226" s="113" t="s">
        <v>113</v>
      </c>
      <c r="C226" s="155"/>
      <c r="D226" s="123"/>
      <c r="E226" s="123"/>
      <c r="F226" s="123"/>
      <c r="G226" s="123"/>
      <c r="H226" s="123"/>
      <c r="I226" s="123"/>
      <c r="J226" s="123"/>
      <c r="K226" s="123"/>
      <c r="L226" s="123"/>
      <c r="M226" s="123"/>
      <c r="N226" s="123"/>
      <c r="O226" s="173">
        <f>+N278</f>
        <v>0</v>
      </c>
      <c r="P226" s="174">
        <f>+P278</f>
        <v>0</v>
      </c>
      <c r="Q226" s="113"/>
      <c r="R226" s="175"/>
      <c r="S226" s="176"/>
      <c r="T226" s="2"/>
    </row>
    <row r="227" spans="1:20" ht="15.6" x14ac:dyDescent="0.3">
      <c r="A227" s="172"/>
      <c r="B227" s="113" t="s">
        <v>66</v>
      </c>
      <c r="C227" s="155"/>
      <c r="D227" s="123"/>
      <c r="E227" s="123"/>
      <c r="F227" s="123"/>
      <c r="G227" s="123"/>
      <c r="H227" s="123"/>
      <c r="I227" s="123"/>
      <c r="J227" s="123"/>
      <c r="K227" s="123"/>
      <c r="L227" s="123"/>
      <c r="M227" s="123"/>
      <c r="N227" s="123"/>
      <c r="O227" s="173">
        <f>+N290</f>
        <v>0</v>
      </c>
      <c r="P227" s="174">
        <f>+P290</f>
        <v>0</v>
      </c>
      <c r="Q227" s="113"/>
      <c r="R227" s="175"/>
      <c r="S227" s="176"/>
      <c r="T227" s="2"/>
    </row>
    <row r="228" spans="1:20" ht="15.6" x14ac:dyDescent="0.3">
      <c r="A228" s="172"/>
      <c r="B228" s="134" t="s">
        <v>284</v>
      </c>
      <c r="C228" s="177"/>
      <c r="D228" s="135"/>
      <c r="E228" s="135"/>
      <c r="F228" s="135"/>
      <c r="G228" s="135"/>
      <c r="H228" s="135"/>
      <c r="I228" s="135"/>
      <c r="J228" s="135"/>
      <c r="K228" s="135"/>
      <c r="L228" s="135"/>
      <c r="M228" s="135"/>
      <c r="N228" s="135"/>
      <c r="O228" s="113"/>
      <c r="P228" s="174">
        <v>0</v>
      </c>
      <c r="Q228" s="135"/>
      <c r="R228" s="178"/>
      <c r="S228" s="176"/>
      <c r="T228" s="2"/>
    </row>
    <row r="229" spans="1:20" ht="15.6" x14ac:dyDescent="0.3">
      <c r="A229" s="172"/>
      <c r="B229" s="134" t="s">
        <v>140</v>
      </c>
      <c r="C229" s="177"/>
      <c r="D229" s="135"/>
      <c r="E229" s="135"/>
      <c r="F229" s="135"/>
      <c r="G229" s="135"/>
      <c r="H229" s="135"/>
      <c r="I229" s="135"/>
      <c r="J229" s="135"/>
      <c r="K229" s="135"/>
      <c r="L229" s="135"/>
      <c r="M229" s="135"/>
      <c r="N229" s="135"/>
      <c r="O229" s="113"/>
      <c r="P229" s="174">
        <f>-J77</f>
        <v>0</v>
      </c>
      <c r="Q229" s="135"/>
      <c r="R229" s="178"/>
      <c r="S229" s="176"/>
      <c r="T229" s="2"/>
    </row>
    <row r="230" spans="1:20" ht="15.6" x14ac:dyDescent="0.3">
      <c r="A230" s="179"/>
      <c r="B230" s="134" t="s">
        <v>67</v>
      </c>
      <c r="C230" s="180"/>
      <c r="D230" s="135"/>
      <c r="E230" s="135"/>
      <c r="F230" s="135"/>
      <c r="G230" s="135"/>
      <c r="H230" s="135"/>
      <c r="I230" s="135"/>
      <c r="J230" s="135"/>
      <c r="K230" s="135"/>
      <c r="L230" s="135"/>
      <c r="M230" s="135"/>
      <c r="N230" s="135"/>
      <c r="O230" s="113"/>
      <c r="P230" s="174"/>
      <c r="Q230" s="135"/>
      <c r="R230" s="178"/>
      <c r="S230" s="181"/>
      <c r="T230" s="2"/>
    </row>
    <row r="231" spans="1:20" ht="15.6" x14ac:dyDescent="0.3">
      <c r="A231" s="179"/>
      <c r="B231" s="118" t="s">
        <v>68</v>
      </c>
      <c r="C231" s="180"/>
      <c r="D231" s="135"/>
      <c r="E231" s="135"/>
      <c r="F231" s="135"/>
      <c r="G231" s="135"/>
      <c r="H231" s="135"/>
      <c r="I231" s="135"/>
      <c r="J231" s="135"/>
      <c r="K231" s="135"/>
      <c r="L231" s="135"/>
      <c r="M231" s="135"/>
      <c r="N231" s="135"/>
      <c r="O231" s="123"/>
      <c r="P231" s="174">
        <f>R162</f>
        <v>0</v>
      </c>
      <c r="Q231" s="135"/>
      <c r="R231" s="178"/>
      <c r="S231" s="181"/>
      <c r="T231" s="2"/>
    </row>
    <row r="232" spans="1:20" ht="15.6" x14ac:dyDescent="0.3">
      <c r="A232" s="172"/>
      <c r="B232" s="113" t="s">
        <v>69</v>
      </c>
      <c r="C232" s="177"/>
      <c r="D232" s="135"/>
      <c r="E232" s="135"/>
      <c r="F232" s="135"/>
      <c r="G232" s="135"/>
      <c r="H232" s="135"/>
      <c r="I232" s="135"/>
      <c r="J232" s="135"/>
      <c r="K232" s="135"/>
      <c r="L232" s="135"/>
      <c r="M232" s="135"/>
      <c r="N232" s="135"/>
      <c r="O232" s="123"/>
      <c r="P232" s="174">
        <f>+'May 15'!P233+P231</f>
        <v>0</v>
      </c>
      <c r="Q232" s="135"/>
      <c r="R232" s="178"/>
      <c r="S232" s="181"/>
      <c r="T232" s="2"/>
    </row>
    <row r="233" spans="1:20" ht="15.6" x14ac:dyDescent="0.3">
      <c r="A233" s="179"/>
      <c r="B233" s="134" t="s">
        <v>151</v>
      </c>
      <c r="C233" s="180"/>
      <c r="D233" s="135"/>
      <c r="E233" s="135"/>
      <c r="F233" s="135"/>
      <c r="G233" s="135"/>
      <c r="H233" s="135"/>
      <c r="I233" s="135"/>
      <c r="J233" s="135"/>
      <c r="K233" s="135"/>
      <c r="L233" s="135"/>
      <c r="M233" s="135"/>
      <c r="N233" s="135"/>
      <c r="O233" s="123"/>
      <c r="P233" s="174"/>
      <c r="Q233" s="135"/>
      <c r="R233" s="178"/>
      <c r="S233" s="181"/>
      <c r="T233" s="2"/>
    </row>
    <row r="234" spans="1:20" ht="15.6" x14ac:dyDescent="0.3">
      <c r="A234" s="179"/>
      <c r="B234" s="113" t="s">
        <v>160</v>
      </c>
      <c r="C234" s="180"/>
      <c r="D234" s="135"/>
      <c r="E234" s="135"/>
      <c r="F234" s="135"/>
      <c r="G234" s="135"/>
      <c r="H234" s="135"/>
      <c r="I234" s="135"/>
      <c r="J234" s="135"/>
      <c r="K234" s="135"/>
      <c r="L234" s="135"/>
      <c r="M234" s="135"/>
      <c r="N234" s="135"/>
      <c r="O234" s="123">
        <v>0</v>
      </c>
      <c r="P234" s="174">
        <v>0</v>
      </c>
      <c r="Q234" s="135"/>
      <c r="R234" s="178"/>
      <c r="S234" s="181"/>
      <c r="T234" s="2"/>
    </row>
    <row r="235" spans="1:20" ht="15.6" x14ac:dyDescent="0.3">
      <c r="A235" s="172"/>
      <c r="B235" s="113" t="s">
        <v>70</v>
      </c>
      <c r="C235" s="182"/>
      <c r="D235" s="135"/>
      <c r="E235" s="135"/>
      <c r="F235" s="135"/>
      <c r="G235" s="135"/>
      <c r="H235" s="135"/>
      <c r="I235" s="135"/>
      <c r="J235" s="135"/>
      <c r="K235" s="135"/>
      <c r="L235" s="135"/>
      <c r="M235" s="135"/>
      <c r="N235" s="135"/>
      <c r="O235" s="113"/>
      <c r="P235" s="183">
        <v>0</v>
      </c>
      <c r="Q235" s="135"/>
      <c r="R235" s="178"/>
      <c r="S235" s="181"/>
      <c r="T235" s="2"/>
    </row>
    <row r="236" spans="1:20" ht="15.6" x14ac:dyDescent="0.3">
      <c r="A236" s="172"/>
      <c r="B236" s="113" t="s">
        <v>71</v>
      </c>
      <c r="C236" s="182"/>
      <c r="D236" s="135"/>
      <c r="E236" s="135"/>
      <c r="F236" s="135"/>
      <c r="G236" s="135"/>
      <c r="H236" s="135"/>
      <c r="I236" s="135"/>
      <c r="J236" s="135"/>
      <c r="K236" s="135"/>
      <c r="L236" s="135"/>
      <c r="M236" s="135"/>
      <c r="N236" s="135"/>
      <c r="O236" s="113"/>
      <c r="P236" s="183">
        <v>0</v>
      </c>
      <c r="Q236" s="135"/>
      <c r="R236" s="178"/>
      <c r="S236" s="181"/>
      <c r="T236" s="2"/>
    </row>
    <row r="237" spans="1:20" ht="15.6" x14ac:dyDescent="0.3">
      <c r="A237" s="172"/>
      <c r="B237" s="134" t="s">
        <v>136</v>
      </c>
      <c r="C237" s="182"/>
      <c r="D237" s="135"/>
      <c r="E237" s="135"/>
      <c r="F237" s="135"/>
      <c r="G237" s="135"/>
      <c r="H237" s="135"/>
      <c r="I237" s="135"/>
      <c r="J237" s="135"/>
      <c r="K237" s="135"/>
      <c r="L237" s="135"/>
      <c r="M237" s="135"/>
      <c r="N237" s="135"/>
      <c r="O237" s="113"/>
      <c r="P237" s="184"/>
      <c r="Q237" s="135"/>
      <c r="R237" s="178"/>
      <c r="S237" s="181"/>
      <c r="T237" s="2"/>
    </row>
    <row r="238" spans="1:20" ht="15.6" x14ac:dyDescent="0.3">
      <c r="A238" s="172"/>
      <c r="B238" s="113" t="s">
        <v>160</v>
      </c>
      <c r="C238" s="182"/>
      <c r="D238" s="135"/>
      <c r="E238" s="135"/>
      <c r="F238" s="135"/>
      <c r="G238" s="135"/>
      <c r="H238" s="135"/>
      <c r="I238" s="135"/>
      <c r="J238" s="135"/>
      <c r="K238" s="135"/>
      <c r="L238" s="135"/>
      <c r="M238" s="135"/>
      <c r="N238" s="135"/>
      <c r="O238" s="123">
        <v>0</v>
      </c>
      <c r="P238" s="174">
        <v>0</v>
      </c>
      <c r="Q238" s="135"/>
      <c r="R238" s="178"/>
      <c r="S238" s="181"/>
      <c r="T238" s="2"/>
    </row>
    <row r="239" spans="1:20" ht="15.6" x14ac:dyDescent="0.3">
      <c r="A239" s="172"/>
      <c r="B239" s="113" t="s">
        <v>137</v>
      </c>
      <c r="C239" s="182"/>
      <c r="D239" s="135"/>
      <c r="E239" s="135"/>
      <c r="F239" s="135"/>
      <c r="G239" s="135"/>
      <c r="H239" s="135"/>
      <c r="I239" s="135"/>
      <c r="J239" s="135"/>
      <c r="K239" s="135"/>
      <c r="L239" s="135"/>
      <c r="M239" s="135"/>
      <c r="N239" s="135"/>
      <c r="O239" s="113"/>
      <c r="P239" s="183">
        <v>0</v>
      </c>
      <c r="Q239" s="135"/>
      <c r="R239" s="178"/>
      <c r="S239" s="181"/>
      <c r="T239" s="2"/>
    </row>
    <row r="240" spans="1:20" ht="15.6" x14ac:dyDescent="0.3">
      <c r="A240" s="172"/>
      <c r="B240" s="180"/>
      <c r="C240" s="182"/>
      <c r="D240" s="135"/>
      <c r="E240" s="135"/>
      <c r="F240" s="135"/>
      <c r="G240" s="135"/>
      <c r="H240" s="135"/>
      <c r="I240" s="135"/>
      <c r="J240" s="135"/>
      <c r="K240" s="135"/>
      <c r="L240" s="135"/>
      <c r="M240" s="135"/>
      <c r="N240" s="135"/>
      <c r="O240" s="113"/>
      <c r="P240" s="184"/>
      <c r="Q240" s="135"/>
      <c r="R240" s="178"/>
      <c r="S240" s="181"/>
      <c r="T240" s="2"/>
    </row>
    <row r="241" spans="1:20" ht="15.6" x14ac:dyDescent="0.3">
      <c r="A241" s="172"/>
      <c r="B241" s="180"/>
      <c r="C241" s="182"/>
      <c r="D241" s="135"/>
      <c r="E241" s="135"/>
      <c r="F241" s="135"/>
      <c r="G241" s="135"/>
      <c r="H241" s="135"/>
      <c r="I241" s="135"/>
      <c r="J241" s="135"/>
      <c r="K241" s="135"/>
      <c r="L241" s="135"/>
      <c r="M241" s="135"/>
      <c r="N241" s="135"/>
      <c r="O241" s="135"/>
      <c r="P241" s="185"/>
      <c r="Q241" s="135"/>
      <c r="R241" s="178"/>
      <c r="S241" s="181"/>
      <c r="T241" s="2"/>
    </row>
    <row r="242" spans="1:20" ht="17.399999999999999" x14ac:dyDescent="0.3">
      <c r="A242" s="172"/>
      <c r="B242" s="186" t="s">
        <v>129</v>
      </c>
      <c r="C242" s="182"/>
      <c r="D242" s="135"/>
      <c r="E242" s="135"/>
      <c r="F242" s="135"/>
      <c r="G242" s="135"/>
      <c r="H242" s="135"/>
      <c r="I242" s="135"/>
      <c r="J242" s="135"/>
      <c r="K242" s="135"/>
      <c r="L242" s="187"/>
      <c r="M242" s="135"/>
      <c r="N242" s="187" t="s">
        <v>128</v>
      </c>
      <c r="O242" s="187"/>
      <c r="P242" s="185"/>
      <c r="Q242" s="135"/>
      <c r="R242" s="178"/>
      <c r="S242" s="181"/>
      <c r="T242" s="2"/>
    </row>
    <row r="243" spans="1:20" ht="17.399999999999999" x14ac:dyDescent="0.3">
      <c r="A243" s="169"/>
      <c r="B243" s="199"/>
      <c r="C243" s="170"/>
      <c r="D243" s="43"/>
      <c r="E243" s="43"/>
      <c r="F243" s="43"/>
      <c r="G243" s="43"/>
      <c r="H243" s="43"/>
      <c r="I243" s="43"/>
      <c r="J243" s="43"/>
      <c r="K243" s="43"/>
      <c r="L243" s="200"/>
      <c r="M243" s="43"/>
      <c r="N243" s="43"/>
      <c r="O243" s="43"/>
      <c r="P243" s="171"/>
      <c r="Q243" s="43"/>
      <c r="R243" s="165"/>
      <c r="S243" s="226"/>
      <c r="T243" s="2"/>
    </row>
    <row r="244" spans="1:20" ht="15.6" x14ac:dyDescent="0.3">
      <c r="A244" s="53"/>
      <c r="B244" s="61" t="s">
        <v>152</v>
      </c>
      <c r="C244" s="62"/>
      <c r="D244" s="62"/>
      <c r="E244" s="62"/>
      <c r="F244" s="62"/>
      <c r="G244" s="62"/>
      <c r="H244" s="62"/>
      <c r="I244" s="62"/>
      <c r="J244" s="62"/>
      <c r="K244" s="62"/>
      <c r="L244" s="62"/>
      <c r="M244" s="62"/>
      <c r="N244" s="72" t="s">
        <v>83</v>
      </c>
      <c r="O244" s="62" t="s">
        <v>84</v>
      </c>
      <c r="P244" s="72" t="s">
        <v>89</v>
      </c>
      <c r="Q244" s="62" t="s">
        <v>84</v>
      </c>
      <c r="R244" s="54"/>
      <c r="S244" s="227"/>
      <c r="T244" s="2"/>
    </row>
    <row r="245" spans="1:20" ht="15.6" x14ac:dyDescent="0.3">
      <c r="A245" s="24"/>
      <c r="B245" s="78" t="s">
        <v>72</v>
      </c>
      <c r="C245" s="93"/>
      <c r="D245" s="93"/>
      <c r="E245" s="93"/>
      <c r="F245" s="93"/>
      <c r="G245" s="93"/>
      <c r="H245" s="93"/>
      <c r="I245" s="93"/>
      <c r="J245" s="93"/>
      <c r="K245" s="93"/>
      <c r="L245" s="93"/>
      <c r="M245" s="93"/>
      <c r="N245" s="78">
        <f>+N257+N269+N281</f>
        <v>1835</v>
      </c>
      <c r="O245" s="81">
        <f>N245/$N$254</f>
        <v>0.99945533769063177</v>
      </c>
      <c r="P245" s="82">
        <f t="shared" ref="P245:P252" si="5">+P257+P269+P281</f>
        <v>292803</v>
      </c>
      <c r="Q245" s="81">
        <f t="shared" ref="Q245:Q252" si="6">P245/$P$254</f>
        <v>0.99922533528990209</v>
      </c>
      <c r="R245" s="94"/>
      <c r="S245" s="228"/>
      <c r="T245" s="2"/>
    </row>
    <row r="246" spans="1:20" ht="15.6" x14ac:dyDescent="0.3">
      <c r="A246" s="112"/>
      <c r="B246" s="155" t="s">
        <v>73</v>
      </c>
      <c r="C246" s="191"/>
      <c r="D246" s="191"/>
      <c r="E246" s="191"/>
      <c r="F246" s="191"/>
      <c r="G246" s="191"/>
      <c r="H246" s="191"/>
      <c r="I246" s="191"/>
      <c r="J246" s="191"/>
      <c r="K246" s="191"/>
      <c r="L246" s="191"/>
      <c r="M246" s="191"/>
      <c r="N246" s="155">
        <f t="shared" ref="N246:N252" si="7">+N258+N270+N282</f>
        <v>1</v>
      </c>
      <c r="O246" s="192">
        <f t="shared" ref="O246:O252" si="8">N246/$N$254</f>
        <v>5.4466230936819177E-4</v>
      </c>
      <c r="P246" s="156">
        <f t="shared" si="5"/>
        <v>227</v>
      </c>
      <c r="Q246" s="192">
        <f t="shared" si="6"/>
        <v>7.7466471009794214E-4</v>
      </c>
      <c r="R246" s="175"/>
      <c r="S246" s="193"/>
      <c r="T246" s="2"/>
    </row>
    <row r="247" spans="1:20" ht="15.6" x14ac:dyDescent="0.3">
      <c r="A247" s="112"/>
      <c r="B247" s="155" t="s">
        <v>74</v>
      </c>
      <c r="C247" s="191"/>
      <c r="D247" s="191"/>
      <c r="E247" s="191"/>
      <c r="F247" s="191"/>
      <c r="G247" s="191"/>
      <c r="H247" s="191"/>
      <c r="I247" s="191"/>
      <c r="J247" s="191"/>
      <c r="K247" s="191"/>
      <c r="L247" s="191"/>
      <c r="M247" s="191"/>
      <c r="N247" s="155">
        <f t="shared" si="7"/>
        <v>0</v>
      </c>
      <c r="O247" s="192">
        <f t="shared" si="8"/>
        <v>0</v>
      </c>
      <c r="P247" s="156">
        <f t="shared" si="5"/>
        <v>0</v>
      </c>
      <c r="Q247" s="192">
        <f t="shared" si="6"/>
        <v>0</v>
      </c>
      <c r="R247" s="175"/>
      <c r="S247" s="193"/>
      <c r="T247" s="2"/>
    </row>
    <row r="248" spans="1:20" ht="15.6" x14ac:dyDescent="0.3">
      <c r="A248" s="112"/>
      <c r="B248" s="155" t="s">
        <v>119</v>
      </c>
      <c r="C248" s="191"/>
      <c r="D248" s="191"/>
      <c r="E248" s="191"/>
      <c r="F248" s="191"/>
      <c r="G248" s="191"/>
      <c r="H248" s="191"/>
      <c r="I248" s="191"/>
      <c r="J248" s="191"/>
      <c r="K248" s="191"/>
      <c r="L248" s="191"/>
      <c r="M248" s="191"/>
      <c r="N248" s="155">
        <f t="shared" si="7"/>
        <v>0</v>
      </c>
      <c r="O248" s="192">
        <f t="shared" si="8"/>
        <v>0</v>
      </c>
      <c r="P248" s="156">
        <f t="shared" si="5"/>
        <v>0</v>
      </c>
      <c r="Q248" s="192">
        <f t="shared" si="6"/>
        <v>0</v>
      </c>
      <c r="R248" s="175"/>
      <c r="S248" s="193"/>
      <c r="T248" s="2"/>
    </row>
    <row r="249" spans="1:20" ht="15.6" x14ac:dyDescent="0.3">
      <c r="A249" s="112"/>
      <c r="B249" s="155" t="s">
        <v>120</v>
      </c>
      <c r="C249" s="191"/>
      <c r="D249" s="191"/>
      <c r="E249" s="191"/>
      <c r="F249" s="191"/>
      <c r="G249" s="191"/>
      <c r="H249" s="191"/>
      <c r="I249" s="191"/>
      <c r="J249" s="191"/>
      <c r="K249" s="191"/>
      <c r="L249" s="191"/>
      <c r="M249" s="191"/>
      <c r="N249" s="155">
        <f t="shared" si="7"/>
        <v>0</v>
      </c>
      <c r="O249" s="192">
        <f t="shared" si="8"/>
        <v>0</v>
      </c>
      <c r="P249" s="156">
        <f t="shared" si="5"/>
        <v>0</v>
      </c>
      <c r="Q249" s="192">
        <f t="shared" si="6"/>
        <v>0</v>
      </c>
      <c r="R249" s="175"/>
      <c r="S249" s="193"/>
      <c r="T249" s="2"/>
    </row>
    <row r="250" spans="1:20" ht="15.6" x14ac:dyDescent="0.3">
      <c r="A250" s="112"/>
      <c r="B250" s="155" t="s">
        <v>121</v>
      </c>
      <c r="C250" s="191"/>
      <c r="D250" s="191"/>
      <c r="E250" s="191"/>
      <c r="F250" s="191"/>
      <c r="G250" s="191"/>
      <c r="H250" s="191"/>
      <c r="I250" s="191"/>
      <c r="J250" s="191"/>
      <c r="K250" s="191"/>
      <c r="L250" s="191"/>
      <c r="M250" s="191"/>
      <c r="N250" s="155">
        <f t="shared" si="7"/>
        <v>0</v>
      </c>
      <c r="O250" s="192">
        <f t="shared" si="8"/>
        <v>0</v>
      </c>
      <c r="P250" s="156">
        <f t="shared" si="5"/>
        <v>0</v>
      </c>
      <c r="Q250" s="192">
        <f t="shared" si="6"/>
        <v>0</v>
      </c>
      <c r="R250" s="175"/>
      <c r="S250" s="193"/>
      <c r="T250" s="2"/>
    </row>
    <row r="251" spans="1:20" ht="15.6" x14ac:dyDescent="0.3">
      <c r="A251" s="112"/>
      <c r="B251" s="155" t="s">
        <v>122</v>
      </c>
      <c r="C251" s="191"/>
      <c r="D251" s="191"/>
      <c r="E251" s="191"/>
      <c r="F251" s="191"/>
      <c r="G251" s="191"/>
      <c r="H251" s="191"/>
      <c r="I251" s="191"/>
      <c r="J251" s="191"/>
      <c r="K251" s="191"/>
      <c r="L251" s="191"/>
      <c r="M251" s="191"/>
      <c r="N251" s="155">
        <f t="shared" si="7"/>
        <v>0</v>
      </c>
      <c r="O251" s="192">
        <f t="shared" si="8"/>
        <v>0</v>
      </c>
      <c r="P251" s="156">
        <f t="shared" si="5"/>
        <v>0</v>
      </c>
      <c r="Q251" s="192">
        <f t="shared" si="6"/>
        <v>0</v>
      </c>
      <c r="R251" s="175"/>
      <c r="S251" s="193"/>
      <c r="T251" s="2"/>
    </row>
    <row r="252" spans="1:20" ht="15.6" x14ac:dyDescent="0.3">
      <c r="A252" s="112"/>
      <c r="B252" s="155" t="s">
        <v>123</v>
      </c>
      <c r="C252" s="191"/>
      <c r="D252" s="191"/>
      <c r="E252" s="191"/>
      <c r="F252" s="191"/>
      <c r="G252" s="191"/>
      <c r="H252" s="191"/>
      <c r="I252" s="191"/>
      <c r="J252" s="191"/>
      <c r="K252" s="191"/>
      <c r="L252" s="191"/>
      <c r="M252" s="191"/>
      <c r="N252" s="155">
        <f t="shared" si="7"/>
        <v>0</v>
      </c>
      <c r="O252" s="192">
        <f t="shared" si="8"/>
        <v>0</v>
      </c>
      <c r="P252" s="156">
        <f t="shared" si="5"/>
        <v>0</v>
      </c>
      <c r="Q252" s="192">
        <f t="shared" si="6"/>
        <v>0</v>
      </c>
      <c r="R252" s="175"/>
      <c r="S252" s="193"/>
      <c r="T252" s="2"/>
    </row>
    <row r="253" spans="1:20" ht="15.6" x14ac:dyDescent="0.3">
      <c r="A253" s="112"/>
      <c r="B253" s="155"/>
      <c r="C253" s="191"/>
      <c r="D253" s="191"/>
      <c r="E253" s="191"/>
      <c r="F253" s="191"/>
      <c r="G253" s="191"/>
      <c r="H253" s="191"/>
      <c r="I253" s="191"/>
      <c r="J253" s="191"/>
      <c r="K253" s="191"/>
      <c r="L253" s="191"/>
      <c r="M253" s="191"/>
      <c r="N253" s="155"/>
      <c r="O253" s="192"/>
      <c r="P253" s="156"/>
      <c r="Q253" s="192"/>
      <c r="R253" s="175"/>
      <c r="S253" s="193"/>
      <c r="T253" s="2"/>
    </row>
    <row r="254" spans="1:20" ht="15.6" x14ac:dyDescent="0.3">
      <c r="A254" s="112"/>
      <c r="B254" s="113" t="s">
        <v>94</v>
      </c>
      <c r="C254" s="113"/>
      <c r="D254" s="194"/>
      <c r="E254" s="194"/>
      <c r="F254" s="194"/>
      <c r="G254" s="194"/>
      <c r="H254" s="194"/>
      <c r="I254" s="194"/>
      <c r="J254" s="194"/>
      <c r="K254" s="194"/>
      <c r="L254" s="194"/>
      <c r="M254" s="194"/>
      <c r="N254" s="155">
        <f>SUM(N245:N253)</f>
        <v>1836</v>
      </c>
      <c r="O254" s="192">
        <f>SUM(O245:O253)</f>
        <v>1</v>
      </c>
      <c r="P254" s="156">
        <f>SUM(P245:P253)</f>
        <v>293030</v>
      </c>
      <c r="Q254" s="192">
        <f>SUM(Q245:Q253)</f>
        <v>1</v>
      </c>
      <c r="R254" s="113"/>
      <c r="S254" s="116"/>
      <c r="T254" s="2"/>
    </row>
    <row r="255" spans="1:20" ht="15.6" x14ac:dyDescent="0.3">
      <c r="A255" s="12"/>
      <c r="B255" s="164"/>
      <c r="C255" s="170"/>
      <c r="D255" s="43"/>
      <c r="E255" s="43"/>
      <c r="F255" s="43"/>
      <c r="G255" s="43"/>
      <c r="H255" s="43"/>
      <c r="I255" s="43"/>
      <c r="J255" s="43"/>
      <c r="K255" s="43"/>
      <c r="L255" s="43"/>
      <c r="M255" s="43"/>
      <c r="N255" s="43"/>
      <c r="O255" s="43"/>
      <c r="P255" s="171"/>
      <c r="Q255" s="43"/>
      <c r="R255" s="43"/>
      <c r="S255" s="217"/>
      <c r="T255" s="2"/>
    </row>
    <row r="256" spans="1:20" ht="15.6" x14ac:dyDescent="0.3">
      <c r="A256" s="53"/>
      <c r="B256" s="61" t="s">
        <v>124</v>
      </c>
      <c r="C256" s="62"/>
      <c r="D256" s="62"/>
      <c r="E256" s="62"/>
      <c r="F256" s="62"/>
      <c r="G256" s="62"/>
      <c r="H256" s="62"/>
      <c r="I256" s="62"/>
      <c r="J256" s="62"/>
      <c r="K256" s="62"/>
      <c r="L256" s="62"/>
      <c r="M256" s="62"/>
      <c r="N256" s="72" t="s">
        <v>83</v>
      </c>
      <c r="O256" s="62" t="s">
        <v>84</v>
      </c>
      <c r="P256" s="72" t="s">
        <v>89</v>
      </c>
      <c r="Q256" s="62" t="s">
        <v>84</v>
      </c>
      <c r="R256" s="54"/>
      <c r="S256" s="227"/>
      <c r="T256" s="2"/>
    </row>
    <row r="257" spans="1:21" ht="15.6" x14ac:dyDescent="0.3">
      <c r="A257" s="24"/>
      <c r="B257" s="78" t="s">
        <v>72</v>
      </c>
      <c r="C257" s="93"/>
      <c r="D257" s="93"/>
      <c r="E257" s="93"/>
      <c r="F257" s="93"/>
      <c r="G257" s="93"/>
      <c r="H257" s="93"/>
      <c r="I257" s="93"/>
      <c r="J257" s="93"/>
      <c r="K257" s="93"/>
      <c r="L257" s="93"/>
      <c r="M257" s="93"/>
      <c r="N257" s="78">
        <v>1835</v>
      </c>
      <c r="O257" s="81">
        <f>N257/$N$266</f>
        <v>0.99945533769063177</v>
      </c>
      <c r="P257" s="82">
        <v>292803</v>
      </c>
      <c r="Q257" s="81">
        <f>P257/$P$266</f>
        <v>0.99922533528990209</v>
      </c>
      <c r="R257" s="94"/>
      <c r="S257" s="228"/>
      <c r="T257" s="2"/>
    </row>
    <row r="258" spans="1:21" ht="15.6" x14ac:dyDescent="0.3">
      <c r="A258" s="112"/>
      <c r="B258" s="155" t="s">
        <v>73</v>
      </c>
      <c r="C258" s="191"/>
      <c r="D258" s="191"/>
      <c r="E258" s="191"/>
      <c r="F258" s="191"/>
      <c r="G258" s="191"/>
      <c r="H258" s="191"/>
      <c r="I258" s="191"/>
      <c r="J258" s="191"/>
      <c r="K258" s="191"/>
      <c r="L258" s="191"/>
      <c r="M258" s="191"/>
      <c r="N258" s="155">
        <v>1</v>
      </c>
      <c r="O258" s="192">
        <f t="shared" ref="O258:O264" si="9">N258/$N$266</f>
        <v>5.4466230936819177E-4</v>
      </c>
      <c r="P258" s="156">
        <v>227</v>
      </c>
      <c r="Q258" s="192">
        <f t="shared" ref="Q258:Q264" si="10">P258/$P$266</f>
        <v>7.7466471009794214E-4</v>
      </c>
      <c r="R258" s="175"/>
      <c r="S258" s="193"/>
      <c r="T258" s="2"/>
      <c r="U258" s="4"/>
    </row>
    <row r="259" spans="1:21" ht="15.6" x14ac:dyDescent="0.3">
      <c r="A259" s="112"/>
      <c r="B259" s="155" t="s">
        <v>74</v>
      </c>
      <c r="C259" s="191"/>
      <c r="D259" s="191"/>
      <c r="E259" s="191"/>
      <c r="F259" s="191"/>
      <c r="G259" s="191"/>
      <c r="H259" s="191"/>
      <c r="I259" s="191"/>
      <c r="J259" s="191"/>
      <c r="K259" s="191"/>
      <c r="L259" s="191"/>
      <c r="M259" s="191"/>
      <c r="N259" s="155">
        <v>0</v>
      </c>
      <c r="O259" s="192">
        <f t="shared" si="9"/>
        <v>0</v>
      </c>
      <c r="P259" s="156">
        <v>0</v>
      </c>
      <c r="Q259" s="192">
        <f t="shared" si="10"/>
        <v>0</v>
      </c>
      <c r="R259" s="175"/>
      <c r="S259" s="193"/>
      <c r="T259" s="2"/>
    </row>
    <row r="260" spans="1:21" ht="15.6" x14ac:dyDescent="0.3">
      <c r="A260" s="112"/>
      <c r="B260" s="155" t="s">
        <v>119</v>
      </c>
      <c r="C260" s="191"/>
      <c r="D260" s="191"/>
      <c r="E260" s="191"/>
      <c r="F260" s="191"/>
      <c r="G260" s="191"/>
      <c r="H260" s="191"/>
      <c r="I260" s="191"/>
      <c r="J260" s="191"/>
      <c r="K260" s="191"/>
      <c r="L260" s="191"/>
      <c r="M260" s="191"/>
      <c r="N260" s="155">
        <v>0</v>
      </c>
      <c r="O260" s="192">
        <f t="shared" si="9"/>
        <v>0</v>
      </c>
      <c r="P260" s="156">
        <v>0</v>
      </c>
      <c r="Q260" s="192">
        <f t="shared" si="10"/>
        <v>0</v>
      </c>
      <c r="R260" s="175"/>
      <c r="S260" s="193"/>
      <c r="T260" s="2"/>
      <c r="U260" s="4"/>
    </row>
    <row r="261" spans="1:21" ht="15.6" x14ac:dyDescent="0.3">
      <c r="A261" s="112"/>
      <c r="B261" s="155" t="s">
        <v>120</v>
      </c>
      <c r="C261" s="191"/>
      <c r="D261" s="191"/>
      <c r="E261" s="191"/>
      <c r="F261" s="191"/>
      <c r="G261" s="191"/>
      <c r="H261" s="191"/>
      <c r="I261" s="191"/>
      <c r="J261" s="191"/>
      <c r="K261" s="191"/>
      <c r="L261" s="191"/>
      <c r="M261" s="191"/>
      <c r="N261" s="155">
        <v>0</v>
      </c>
      <c r="O261" s="192">
        <f t="shared" si="9"/>
        <v>0</v>
      </c>
      <c r="P261" s="156">
        <v>0</v>
      </c>
      <c r="Q261" s="192">
        <f t="shared" si="10"/>
        <v>0</v>
      </c>
      <c r="R261" s="175"/>
      <c r="S261" s="193"/>
      <c r="T261" s="2"/>
    </row>
    <row r="262" spans="1:21" ht="15.6" x14ac:dyDescent="0.3">
      <c r="A262" s="112"/>
      <c r="B262" s="155" t="s">
        <v>121</v>
      </c>
      <c r="C262" s="191"/>
      <c r="D262" s="191"/>
      <c r="E262" s="191"/>
      <c r="F262" s="191"/>
      <c r="G262" s="191"/>
      <c r="H262" s="191"/>
      <c r="I262" s="191"/>
      <c r="J262" s="191"/>
      <c r="K262" s="191"/>
      <c r="L262" s="191"/>
      <c r="M262" s="191"/>
      <c r="N262" s="155">
        <v>0</v>
      </c>
      <c r="O262" s="192">
        <f t="shared" si="9"/>
        <v>0</v>
      </c>
      <c r="P262" s="156">
        <v>0</v>
      </c>
      <c r="Q262" s="192">
        <f t="shared" si="10"/>
        <v>0</v>
      </c>
      <c r="R262" s="175"/>
      <c r="S262" s="193"/>
      <c r="T262" s="2"/>
      <c r="U262" s="4"/>
    </row>
    <row r="263" spans="1:21" ht="15.6" x14ac:dyDescent="0.3">
      <c r="A263" s="112"/>
      <c r="B263" s="155" t="s">
        <v>122</v>
      </c>
      <c r="C263" s="191"/>
      <c r="D263" s="191"/>
      <c r="E263" s="191"/>
      <c r="F263" s="191"/>
      <c r="G263" s="191"/>
      <c r="H263" s="191"/>
      <c r="I263" s="191"/>
      <c r="J263" s="191"/>
      <c r="K263" s="191"/>
      <c r="L263" s="191"/>
      <c r="M263" s="191"/>
      <c r="N263" s="155">
        <v>0</v>
      </c>
      <c r="O263" s="192">
        <f t="shared" si="9"/>
        <v>0</v>
      </c>
      <c r="P263" s="156">
        <v>0</v>
      </c>
      <c r="Q263" s="192">
        <f t="shared" si="10"/>
        <v>0</v>
      </c>
      <c r="R263" s="175"/>
      <c r="S263" s="193"/>
      <c r="T263" s="2"/>
    </row>
    <row r="264" spans="1:21" ht="15.6" x14ac:dyDescent="0.3">
      <c r="A264" s="112"/>
      <c r="B264" s="155" t="s">
        <v>123</v>
      </c>
      <c r="C264" s="191"/>
      <c r="D264" s="191"/>
      <c r="E264" s="191"/>
      <c r="F264" s="191"/>
      <c r="G264" s="191"/>
      <c r="H264" s="191"/>
      <c r="I264" s="191"/>
      <c r="J264" s="191"/>
      <c r="K264" s="191"/>
      <c r="L264" s="191"/>
      <c r="M264" s="191"/>
      <c r="N264" s="155">
        <v>0</v>
      </c>
      <c r="O264" s="192">
        <f t="shared" si="9"/>
        <v>0</v>
      </c>
      <c r="P264" s="156">
        <v>0</v>
      </c>
      <c r="Q264" s="192">
        <f t="shared" si="10"/>
        <v>0</v>
      </c>
      <c r="R264" s="175"/>
      <c r="S264" s="193"/>
      <c r="T264" s="2"/>
      <c r="U264" s="4"/>
    </row>
    <row r="265" spans="1:21" ht="15.6" x14ac:dyDescent="0.3">
      <c r="A265" s="112"/>
      <c r="B265" s="155"/>
      <c r="C265" s="191"/>
      <c r="D265" s="191"/>
      <c r="E265" s="191"/>
      <c r="F265" s="191"/>
      <c r="G265" s="191"/>
      <c r="H265" s="191"/>
      <c r="I265" s="191"/>
      <c r="J265" s="191"/>
      <c r="K265" s="191"/>
      <c r="L265" s="191"/>
      <c r="M265" s="191"/>
      <c r="N265" s="155"/>
      <c r="O265" s="192"/>
      <c r="P265" s="156"/>
      <c r="Q265" s="192"/>
      <c r="R265" s="175"/>
      <c r="S265" s="193"/>
      <c r="T265" s="2"/>
    </row>
    <row r="266" spans="1:21" ht="15.6" x14ac:dyDescent="0.3">
      <c r="A266" s="112"/>
      <c r="B266" s="113" t="s">
        <v>94</v>
      </c>
      <c r="C266" s="113"/>
      <c r="D266" s="194"/>
      <c r="E266" s="194"/>
      <c r="F266" s="194"/>
      <c r="G266" s="194"/>
      <c r="H266" s="194"/>
      <c r="I266" s="194"/>
      <c r="J266" s="194"/>
      <c r="K266" s="194"/>
      <c r="L266" s="194"/>
      <c r="M266" s="194"/>
      <c r="N266" s="155">
        <f>SUM(N257:N265)</f>
        <v>1836</v>
      </c>
      <c r="O266" s="192">
        <f>SUM(O257:O265)</f>
        <v>1</v>
      </c>
      <c r="P266" s="156">
        <f>SUM(P257:P265)</f>
        <v>293030</v>
      </c>
      <c r="Q266" s="192">
        <f>SUM(Q257:Q265)</f>
        <v>1</v>
      </c>
      <c r="R266" s="113"/>
      <c r="S266" s="116"/>
      <c r="T266" s="2"/>
    </row>
    <row r="267" spans="1:21" ht="15.6" x14ac:dyDescent="0.3">
      <c r="A267" s="12"/>
      <c r="B267" s="43"/>
      <c r="C267" s="43"/>
      <c r="D267" s="188"/>
      <c r="E267" s="188"/>
      <c r="F267" s="188"/>
      <c r="G267" s="188"/>
      <c r="H267" s="188"/>
      <c r="I267" s="188"/>
      <c r="J267" s="188"/>
      <c r="K267" s="188"/>
      <c r="L267" s="188"/>
      <c r="M267" s="188"/>
      <c r="N267" s="153"/>
      <c r="O267" s="189"/>
      <c r="P267" s="190"/>
      <c r="Q267" s="189"/>
      <c r="R267" s="43"/>
      <c r="S267" s="217"/>
      <c r="T267" s="2"/>
    </row>
    <row r="268" spans="1:21" ht="15.6" x14ac:dyDescent="0.3">
      <c r="A268" s="73"/>
      <c r="B268" s="61" t="s">
        <v>146</v>
      </c>
      <c r="C268" s="62"/>
      <c r="D268" s="62"/>
      <c r="E268" s="62"/>
      <c r="F268" s="62"/>
      <c r="G268" s="62"/>
      <c r="H268" s="62"/>
      <c r="I268" s="62"/>
      <c r="J268" s="62"/>
      <c r="K268" s="62"/>
      <c r="L268" s="62"/>
      <c r="M268" s="62"/>
      <c r="N268" s="72" t="s">
        <v>83</v>
      </c>
      <c r="O268" s="62" t="s">
        <v>84</v>
      </c>
      <c r="P268" s="72" t="s">
        <v>89</v>
      </c>
      <c r="Q268" s="62" t="s">
        <v>84</v>
      </c>
      <c r="R268" s="74"/>
      <c r="S268" s="75"/>
      <c r="T268" s="2"/>
    </row>
    <row r="269" spans="1:21" ht="15.6" x14ac:dyDescent="0.3">
      <c r="A269" s="24"/>
      <c r="B269" s="78" t="s">
        <v>72</v>
      </c>
      <c r="C269" s="93"/>
      <c r="D269" s="93"/>
      <c r="E269" s="93"/>
      <c r="F269" s="93"/>
      <c r="G269" s="93"/>
      <c r="H269" s="93"/>
      <c r="I269" s="93"/>
      <c r="J269" s="93"/>
      <c r="K269" s="93"/>
      <c r="L269" s="93"/>
      <c r="M269" s="93"/>
      <c r="N269" s="78">
        <v>0</v>
      </c>
      <c r="O269" s="81">
        <v>0</v>
      </c>
      <c r="P269" s="82">
        <v>0</v>
      </c>
      <c r="Q269" s="81">
        <v>0</v>
      </c>
      <c r="R269" s="79"/>
      <c r="S269" s="220"/>
      <c r="T269" s="2"/>
    </row>
    <row r="270" spans="1:21" ht="15.6" x14ac:dyDescent="0.3">
      <c r="A270" s="112"/>
      <c r="B270" s="155" t="s">
        <v>73</v>
      </c>
      <c r="C270" s="191"/>
      <c r="D270" s="191"/>
      <c r="E270" s="191"/>
      <c r="F270" s="191"/>
      <c r="G270" s="191"/>
      <c r="H270" s="191"/>
      <c r="I270" s="191"/>
      <c r="J270" s="191"/>
      <c r="K270" s="191"/>
      <c r="L270" s="191"/>
      <c r="M270" s="191"/>
      <c r="N270" s="155">
        <v>0</v>
      </c>
      <c r="O270" s="192">
        <v>0</v>
      </c>
      <c r="P270" s="156">
        <v>0</v>
      </c>
      <c r="Q270" s="192">
        <v>0</v>
      </c>
      <c r="R270" s="113"/>
      <c r="S270" s="116"/>
      <c r="T270" s="2"/>
    </row>
    <row r="271" spans="1:21" ht="15.6" x14ac:dyDescent="0.3">
      <c r="A271" s="112"/>
      <c r="B271" s="155" t="s">
        <v>74</v>
      </c>
      <c r="C271" s="191"/>
      <c r="D271" s="191"/>
      <c r="E271" s="191"/>
      <c r="F271" s="191"/>
      <c r="G271" s="191"/>
      <c r="H271" s="191"/>
      <c r="I271" s="191"/>
      <c r="J271" s="191"/>
      <c r="K271" s="191"/>
      <c r="L271" s="191"/>
      <c r="M271" s="191"/>
      <c r="N271" s="155">
        <v>0</v>
      </c>
      <c r="O271" s="192">
        <v>0</v>
      </c>
      <c r="P271" s="156">
        <v>0</v>
      </c>
      <c r="Q271" s="192">
        <v>0</v>
      </c>
      <c r="R271" s="113"/>
      <c r="S271" s="116"/>
      <c r="T271" s="2"/>
    </row>
    <row r="272" spans="1:21" ht="15.6" x14ac:dyDescent="0.3">
      <c r="A272" s="112"/>
      <c r="B272" s="155" t="s">
        <v>119</v>
      </c>
      <c r="C272" s="191"/>
      <c r="D272" s="191"/>
      <c r="E272" s="191"/>
      <c r="F272" s="191"/>
      <c r="G272" s="191"/>
      <c r="H272" s="191"/>
      <c r="I272" s="191"/>
      <c r="J272" s="191"/>
      <c r="K272" s="191"/>
      <c r="L272" s="191"/>
      <c r="M272" s="191"/>
      <c r="N272" s="155">
        <v>0</v>
      </c>
      <c r="O272" s="192">
        <v>0</v>
      </c>
      <c r="P272" s="156">
        <v>0</v>
      </c>
      <c r="Q272" s="192">
        <v>0</v>
      </c>
      <c r="R272" s="113"/>
      <c r="S272" s="116"/>
      <c r="T272" s="2"/>
    </row>
    <row r="273" spans="1:20" ht="15.6" x14ac:dyDescent="0.3">
      <c r="A273" s="112"/>
      <c r="B273" s="155" t="s">
        <v>120</v>
      </c>
      <c r="C273" s="191"/>
      <c r="D273" s="191"/>
      <c r="E273" s="191"/>
      <c r="F273" s="191"/>
      <c r="G273" s="191"/>
      <c r="H273" s="191"/>
      <c r="I273" s="191"/>
      <c r="J273" s="191"/>
      <c r="K273" s="191"/>
      <c r="L273" s="191"/>
      <c r="M273" s="191"/>
      <c r="N273" s="155">
        <v>0</v>
      </c>
      <c r="O273" s="192">
        <v>0</v>
      </c>
      <c r="P273" s="156">
        <v>0</v>
      </c>
      <c r="Q273" s="192">
        <v>0</v>
      </c>
      <c r="R273" s="113"/>
      <c r="S273" s="116"/>
      <c r="T273" s="2"/>
    </row>
    <row r="274" spans="1:20" ht="15.6" x14ac:dyDescent="0.3">
      <c r="A274" s="112"/>
      <c r="B274" s="155" t="s">
        <v>121</v>
      </c>
      <c r="C274" s="191"/>
      <c r="D274" s="191"/>
      <c r="E274" s="191"/>
      <c r="F274" s="191"/>
      <c r="G274" s="191"/>
      <c r="H274" s="191"/>
      <c r="I274" s="191"/>
      <c r="J274" s="191"/>
      <c r="K274" s="191"/>
      <c r="L274" s="191"/>
      <c r="M274" s="191"/>
      <c r="N274" s="155">
        <v>0</v>
      </c>
      <c r="O274" s="192">
        <v>0</v>
      </c>
      <c r="P274" s="156">
        <v>0</v>
      </c>
      <c r="Q274" s="192">
        <v>0</v>
      </c>
      <c r="R274" s="113"/>
      <c r="S274" s="116"/>
      <c r="T274" s="2"/>
    </row>
    <row r="275" spans="1:20" ht="15.6" x14ac:dyDescent="0.3">
      <c r="A275" s="112"/>
      <c r="B275" s="155" t="s">
        <v>122</v>
      </c>
      <c r="C275" s="191"/>
      <c r="D275" s="191"/>
      <c r="E275" s="191"/>
      <c r="F275" s="191"/>
      <c r="G275" s="191"/>
      <c r="H275" s="191"/>
      <c r="I275" s="191"/>
      <c r="J275" s="191"/>
      <c r="K275" s="191"/>
      <c r="L275" s="191"/>
      <c r="M275" s="191"/>
      <c r="N275" s="155">
        <v>0</v>
      </c>
      <c r="O275" s="192">
        <v>0</v>
      </c>
      <c r="P275" s="156">
        <v>0</v>
      </c>
      <c r="Q275" s="192">
        <v>0</v>
      </c>
      <c r="R275" s="113"/>
      <c r="S275" s="116"/>
      <c r="T275" s="2"/>
    </row>
    <row r="276" spans="1:20" ht="15.6" x14ac:dyDescent="0.3">
      <c r="A276" s="112"/>
      <c r="B276" s="155" t="s">
        <v>123</v>
      </c>
      <c r="C276" s="191"/>
      <c r="D276" s="191"/>
      <c r="E276" s="191"/>
      <c r="F276" s="191"/>
      <c r="G276" s="191"/>
      <c r="H276" s="191"/>
      <c r="I276" s="191"/>
      <c r="J276" s="191"/>
      <c r="K276" s="191"/>
      <c r="L276" s="191"/>
      <c r="M276" s="191"/>
      <c r="N276" s="155">
        <v>0</v>
      </c>
      <c r="O276" s="192">
        <v>0</v>
      </c>
      <c r="P276" s="156">
        <v>0</v>
      </c>
      <c r="Q276" s="192">
        <v>0</v>
      </c>
      <c r="R276" s="113"/>
      <c r="S276" s="116"/>
      <c r="T276" s="2"/>
    </row>
    <row r="277" spans="1:20" ht="15.6" x14ac:dyDescent="0.3">
      <c r="A277" s="112"/>
      <c r="B277" s="155"/>
      <c r="C277" s="191"/>
      <c r="D277" s="191"/>
      <c r="E277" s="191"/>
      <c r="F277" s="191"/>
      <c r="G277" s="191"/>
      <c r="H277" s="191"/>
      <c r="I277" s="191"/>
      <c r="J277" s="191"/>
      <c r="K277" s="191"/>
      <c r="L277" s="191"/>
      <c r="M277" s="191"/>
      <c r="N277" s="155"/>
      <c r="O277" s="192"/>
      <c r="P277" s="156"/>
      <c r="Q277" s="192"/>
      <c r="R277" s="113"/>
      <c r="S277" s="116"/>
      <c r="T277" s="2"/>
    </row>
    <row r="278" spans="1:20" ht="15.6" x14ac:dyDescent="0.3">
      <c r="A278" s="112"/>
      <c r="B278" s="113" t="s">
        <v>94</v>
      </c>
      <c r="C278" s="113"/>
      <c r="D278" s="194"/>
      <c r="E278" s="194"/>
      <c r="F278" s="194"/>
      <c r="G278" s="194"/>
      <c r="H278" s="194"/>
      <c r="I278" s="194"/>
      <c r="J278" s="194"/>
      <c r="K278" s="194"/>
      <c r="L278" s="194"/>
      <c r="M278" s="194"/>
      <c r="N278" s="155">
        <f>SUM(N269:N277)</f>
        <v>0</v>
      </c>
      <c r="O278" s="192">
        <f>SUM(O269:O277)</f>
        <v>0</v>
      </c>
      <c r="P278" s="156">
        <f>SUM(P269:P277)</f>
        <v>0</v>
      </c>
      <c r="Q278" s="192">
        <f>SUM(Q269:Q277)</f>
        <v>0</v>
      </c>
      <c r="R278" s="113"/>
      <c r="S278" s="116"/>
      <c r="T278" s="2"/>
    </row>
    <row r="279" spans="1:20" ht="15.6" x14ac:dyDescent="0.3">
      <c r="A279" s="12"/>
      <c r="B279" s="43"/>
      <c r="C279" s="43"/>
      <c r="D279" s="188"/>
      <c r="E279" s="188"/>
      <c r="F279" s="188"/>
      <c r="G279" s="188"/>
      <c r="H279" s="188"/>
      <c r="I279" s="188"/>
      <c r="J279" s="188"/>
      <c r="K279" s="188"/>
      <c r="L279" s="188"/>
      <c r="M279" s="188"/>
      <c r="N279" s="153"/>
      <c r="O279" s="189"/>
      <c r="P279" s="190"/>
      <c r="Q279" s="189"/>
      <c r="R279" s="43"/>
      <c r="S279" s="217"/>
      <c r="T279" s="2"/>
    </row>
    <row r="280" spans="1:20" ht="15.6" x14ac:dyDescent="0.3">
      <c r="A280" s="73"/>
      <c r="B280" s="61" t="s">
        <v>125</v>
      </c>
      <c r="C280" s="74"/>
      <c r="D280" s="76"/>
      <c r="E280" s="76"/>
      <c r="F280" s="76"/>
      <c r="G280" s="76"/>
      <c r="H280" s="76"/>
      <c r="I280" s="76"/>
      <c r="J280" s="76"/>
      <c r="K280" s="76"/>
      <c r="L280" s="76"/>
      <c r="M280" s="76"/>
      <c r="N280" s="72" t="s">
        <v>83</v>
      </c>
      <c r="O280" s="62" t="s">
        <v>84</v>
      </c>
      <c r="P280" s="72" t="s">
        <v>89</v>
      </c>
      <c r="Q280" s="62" t="s">
        <v>84</v>
      </c>
      <c r="R280" s="74"/>
      <c r="S280" s="75"/>
      <c r="T280" s="2"/>
    </row>
    <row r="281" spans="1:20" ht="15.6" x14ac:dyDescent="0.3">
      <c r="A281" s="77"/>
      <c r="B281" s="78" t="s">
        <v>72</v>
      </c>
      <c r="C281" s="79"/>
      <c r="D281" s="80"/>
      <c r="E281" s="80"/>
      <c r="F281" s="80"/>
      <c r="G281" s="80"/>
      <c r="H281" s="80"/>
      <c r="I281" s="80"/>
      <c r="J281" s="80"/>
      <c r="K281" s="80"/>
      <c r="L281" s="80"/>
      <c r="M281" s="80"/>
      <c r="N281" s="78">
        <v>0</v>
      </c>
      <c r="O281" s="81">
        <v>0</v>
      </c>
      <c r="P281" s="82">
        <v>0</v>
      </c>
      <c r="Q281" s="81">
        <v>0</v>
      </c>
      <c r="R281" s="79"/>
      <c r="S281" s="220"/>
      <c r="T281" s="2"/>
    </row>
    <row r="282" spans="1:20" ht="15.6" x14ac:dyDescent="0.3">
      <c r="A282" s="122"/>
      <c r="B282" s="155" t="s">
        <v>73</v>
      </c>
      <c r="C282" s="113"/>
      <c r="D282" s="194"/>
      <c r="E282" s="194"/>
      <c r="F282" s="194"/>
      <c r="G282" s="194"/>
      <c r="H282" s="194"/>
      <c r="I282" s="194"/>
      <c r="J282" s="194"/>
      <c r="K282" s="194"/>
      <c r="L282" s="194"/>
      <c r="M282" s="194"/>
      <c r="N282" s="155">
        <v>0</v>
      </c>
      <c r="O282" s="192">
        <v>0</v>
      </c>
      <c r="P282" s="156">
        <v>0</v>
      </c>
      <c r="Q282" s="192">
        <v>0</v>
      </c>
      <c r="R282" s="113"/>
      <c r="S282" s="116"/>
      <c r="T282" s="2"/>
    </row>
    <row r="283" spans="1:20" ht="15.6" x14ac:dyDescent="0.3">
      <c r="A283" s="122"/>
      <c r="B283" s="155" t="s">
        <v>74</v>
      </c>
      <c r="C283" s="113"/>
      <c r="D283" s="194"/>
      <c r="E283" s="194"/>
      <c r="F283" s="194"/>
      <c r="G283" s="194"/>
      <c r="H283" s="194"/>
      <c r="I283" s="194"/>
      <c r="J283" s="194"/>
      <c r="K283" s="194"/>
      <c r="L283" s="194"/>
      <c r="M283" s="194"/>
      <c r="N283" s="155">
        <v>0</v>
      </c>
      <c r="O283" s="192">
        <v>0</v>
      </c>
      <c r="P283" s="156">
        <v>0</v>
      </c>
      <c r="Q283" s="192">
        <v>0</v>
      </c>
      <c r="R283" s="113"/>
      <c r="S283" s="116"/>
      <c r="T283" s="2"/>
    </row>
    <row r="284" spans="1:20" ht="15.6" x14ac:dyDescent="0.3">
      <c r="A284" s="122"/>
      <c r="B284" s="155" t="s">
        <v>119</v>
      </c>
      <c r="C284" s="113"/>
      <c r="D284" s="194"/>
      <c r="E284" s="194"/>
      <c r="F284" s="194"/>
      <c r="G284" s="194"/>
      <c r="H284" s="194"/>
      <c r="I284" s="194"/>
      <c r="J284" s="194"/>
      <c r="K284" s="194"/>
      <c r="L284" s="194"/>
      <c r="M284" s="194"/>
      <c r="N284" s="155">
        <v>0</v>
      </c>
      <c r="O284" s="192">
        <v>0</v>
      </c>
      <c r="P284" s="156">
        <v>0</v>
      </c>
      <c r="Q284" s="192">
        <v>0</v>
      </c>
      <c r="R284" s="113"/>
      <c r="S284" s="116"/>
      <c r="T284" s="2"/>
    </row>
    <row r="285" spans="1:20" ht="15.6" x14ac:dyDescent="0.3">
      <c r="A285" s="122"/>
      <c r="B285" s="155" t="s">
        <v>120</v>
      </c>
      <c r="C285" s="113"/>
      <c r="D285" s="194"/>
      <c r="E285" s="194"/>
      <c r="F285" s="194"/>
      <c r="G285" s="194"/>
      <c r="H285" s="194"/>
      <c r="I285" s="194"/>
      <c r="J285" s="194"/>
      <c r="K285" s="194"/>
      <c r="L285" s="194"/>
      <c r="M285" s="194"/>
      <c r="N285" s="155">
        <v>0</v>
      </c>
      <c r="O285" s="192">
        <v>0</v>
      </c>
      <c r="P285" s="156">
        <v>0</v>
      </c>
      <c r="Q285" s="192">
        <v>0</v>
      </c>
      <c r="R285" s="113"/>
      <c r="S285" s="116"/>
      <c r="T285" s="2"/>
    </row>
    <row r="286" spans="1:20" ht="15.6" x14ac:dyDescent="0.3">
      <c r="A286" s="122"/>
      <c r="B286" s="155" t="s">
        <v>121</v>
      </c>
      <c r="C286" s="113"/>
      <c r="D286" s="194"/>
      <c r="E286" s="194"/>
      <c r="F286" s="194"/>
      <c r="G286" s="194"/>
      <c r="H286" s="194"/>
      <c r="I286" s="194"/>
      <c r="J286" s="194"/>
      <c r="K286" s="194"/>
      <c r="L286" s="194"/>
      <c r="M286" s="194"/>
      <c r="N286" s="155">
        <v>0</v>
      </c>
      <c r="O286" s="192">
        <v>0</v>
      </c>
      <c r="P286" s="156">
        <v>0</v>
      </c>
      <c r="Q286" s="192">
        <v>0</v>
      </c>
      <c r="R286" s="113"/>
      <c r="S286" s="116"/>
      <c r="T286" s="2"/>
    </row>
    <row r="287" spans="1:20" ht="15.6" x14ac:dyDescent="0.3">
      <c r="A287" s="122"/>
      <c r="B287" s="155" t="s">
        <v>122</v>
      </c>
      <c r="C287" s="113"/>
      <c r="D287" s="194"/>
      <c r="E287" s="194"/>
      <c r="F287" s="194"/>
      <c r="G287" s="194"/>
      <c r="H287" s="194"/>
      <c r="I287" s="194"/>
      <c r="J287" s="194"/>
      <c r="K287" s="194"/>
      <c r="L287" s="194"/>
      <c r="M287" s="194"/>
      <c r="N287" s="155">
        <v>0</v>
      </c>
      <c r="O287" s="192">
        <v>0</v>
      </c>
      <c r="P287" s="156">
        <v>0</v>
      </c>
      <c r="Q287" s="192">
        <v>0</v>
      </c>
      <c r="R287" s="113"/>
      <c r="S287" s="116"/>
      <c r="T287" s="2"/>
    </row>
    <row r="288" spans="1:20" ht="15.6" x14ac:dyDescent="0.3">
      <c r="A288" s="122"/>
      <c r="B288" s="155" t="s">
        <v>123</v>
      </c>
      <c r="C288" s="113"/>
      <c r="D288" s="194"/>
      <c r="E288" s="194"/>
      <c r="F288" s="194"/>
      <c r="G288" s="194"/>
      <c r="H288" s="194"/>
      <c r="I288" s="194"/>
      <c r="J288" s="194"/>
      <c r="K288" s="194"/>
      <c r="L288" s="194"/>
      <c r="M288" s="194"/>
      <c r="N288" s="155">
        <v>0</v>
      </c>
      <c r="O288" s="192">
        <v>0</v>
      </c>
      <c r="P288" s="156">
        <v>0</v>
      </c>
      <c r="Q288" s="192">
        <v>0</v>
      </c>
      <c r="R288" s="113"/>
      <c r="S288" s="116"/>
      <c r="T288" s="2"/>
    </row>
    <row r="289" spans="1:20" ht="15.6" x14ac:dyDescent="0.3">
      <c r="A289" s="122"/>
      <c r="B289" s="155"/>
      <c r="C289" s="113"/>
      <c r="D289" s="194"/>
      <c r="E289" s="194"/>
      <c r="F289" s="194"/>
      <c r="G289" s="194"/>
      <c r="H289" s="194"/>
      <c r="I289" s="194"/>
      <c r="J289" s="194"/>
      <c r="K289" s="194"/>
      <c r="L289" s="194"/>
      <c r="M289" s="194"/>
      <c r="N289" s="155"/>
      <c r="O289" s="192"/>
      <c r="P289" s="156"/>
      <c r="Q289" s="192"/>
      <c r="R289" s="113"/>
      <c r="S289" s="116"/>
      <c r="T289" s="2"/>
    </row>
    <row r="290" spans="1:20" ht="15.6" x14ac:dyDescent="0.3">
      <c r="A290" s="122"/>
      <c r="B290" s="113" t="s">
        <v>94</v>
      </c>
      <c r="C290" s="113"/>
      <c r="D290" s="194"/>
      <c r="E290" s="194"/>
      <c r="F290" s="194"/>
      <c r="G290" s="194"/>
      <c r="H290" s="194"/>
      <c r="I290" s="194"/>
      <c r="J290" s="194"/>
      <c r="K290" s="194"/>
      <c r="L290" s="194"/>
      <c r="M290" s="194"/>
      <c r="N290" s="155">
        <f>SUM(N281:N288)</f>
        <v>0</v>
      </c>
      <c r="O290" s="192">
        <f>SUM(O281:O288)</f>
        <v>0</v>
      </c>
      <c r="P290" s="156">
        <f>SUM(P281:P288)</f>
        <v>0</v>
      </c>
      <c r="Q290" s="192">
        <f>SUM(Q281:Q288)</f>
        <v>0</v>
      </c>
      <c r="R290" s="113"/>
      <c r="S290" s="116"/>
      <c r="T290" s="2"/>
    </row>
    <row r="291" spans="1:20" ht="15.6" x14ac:dyDescent="0.3">
      <c r="A291" s="122"/>
      <c r="B291" s="113"/>
      <c r="C291" s="113"/>
      <c r="D291" s="194"/>
      <c r="E291" s="194"/>
      <c r="F291" s="194"/>
      <c r="G291" s="194"/>
      <c r="H291" s="194"/>
      <c r="I291" s="194"/>
      <c r="J291" s="194"/>
      <c r="K291" s="194"/>
      <c r="L291" s="194"/>
      <c r="M291" s="194"/>
      <c r="N291" s="155"/>
      <c r="O291" s="192"/>
      <c r="P291" s="156"/>
      <c r="Q291" s="192"/>
      <c r="R291" s="113"/>
      <c r="S291" s="116"/>
      <c r="T291" s="2"/>
    </row>
    <row r="292" spans="1:20" ht="15.6" x14ac:dyDescent="0.3">
      <c r="A292" s="122"/>
      <c r="B292" s="124" t="s">
        <v>177</v>
      </c>
      <c r="C292" s="113"/>
      <c r="D292" s="194"/>
      <c r="E292" s="194"/>
      <c r="F292" s="194"/>
      <c r="G292" s="194"/>
      <c r="H292" s="194"/>
      <c r="I292" s="194"/>
      <c r="J292" s="194"/>
      <c r="K292" s="194"/>
      <c r="L292" s="194"/>
      <c r="M292" s="194"/>
      <c r="N292" s="196">
        <f>N290+N278+N266</f>
        <v>1836</v>
      </c>
      <c r="O292" s="192"/>
      <c r="P292" s="197">
        <f>+P290+P278+P266</f>
        <v>293030</v>
      </c>
      <c r="Q292" s="192"/>
      <c r="R292" s="113"/>
      <c r="S292" s="116"/>
      <c r="T292" s="2"/>
    </row>
    <row r="293" spans="1:20" ht="15.6" x14ac:dyDescent="0.3">
      <c r="A293" s="122"/>
      <c r="B293" s="124" t="s">
        <v>217</v>
      </c>
      <c r="C293" s="124"/>
      <c r="D293" s="205"/>
      <c r="E293" s="205"/>
      <c r="F293" s="205"/>
      <c r="G293" s="205"/>
      <c r="H293" s="205"/>
      <c r="I293" s="205"/>
      <c r="J293" s="205"/>
      <c r="K293" s="205"/>
      <c r="L293" s="205"/>
      <c r="M293" s="205"/>
      <c r="N293" s="196"/>
      <c r="O293" s="206"/>
      <c r="P293" s="207">
        <f>+R179</f>
        <v>2574</v>
      </c>
      <c r="Q293" s="192"/>
      <c r="R293" s="113"/>
      <c r="S293" s="116"/>
      <c r="T293" s="2"/>
    </row>
    <row r="294" spans="1:20" ht="15.6" x14ac:dyDescent="0.3">
      <c r="A294" s="122"/>
      <c r="B294" s="124" t="s">
        <v>126</v>
      </c>
      <c r="C294" s="124"/>
      <c r="D294" s="205"/>
      <c r="E294" s="205"/>
      <c r="F294" s="205"/>
      <c r="G294" s="205"/>
      <c r="H294" s="205"/>
      <c r="I294" s="205"/>
      <c r="J294" s="205"/>
      <c r="K294" s="205"/>
      <c r="L294" s="205"/>
      <c r="M294" s="205"/>
      <c r="N294" s="196"/>
      <c r="O294" s="206"/>
      <c r="P294" s="207">
        <f>+P292+P293</f>
        <v>295604</v>
      </c>
      <c r="Q294" s="192"/>
      <c r="R294" s="113"/>
      <c r="S294" s="116"/>
      <c r="T294" s="2"/>
    </row>
    <row r="295" spans="1:20" ht="15.6" x14ac:dyDescent="0.3">
      <c r="A295" s="122"/>
      <c r="B295" s="124" t="s">
        <v>176</v>
      </c>
      <c r="C295" s="113"/>
      <c r="D295" s="194"/>
      <c r="E295" s="194"/>
      <c r="F295" s="194"/>
      <c r="G295" s="194"/>
      <c r="H295" s="194"/>
      <c r="I295" s="194"/>
      <c r="J295" s="194"/>
      <c r="K295" s="194"/>
      <c r="L295" s="194"/>
      <c r="M295" s="194"/>
      <c r="N295" s="196"/>
      <c r="O295" s="192"/>
      <c r="P295" s="197">
        <f>+R80</f>
        <v>295604</v>
      </c>
      <c r="Q295" s="192"/>
      <c r="R295" s="113"/>
      <c r="S295" s="116"/>
      <c r="T295" s="2"/>
    </row>
    <row r="296" spans="1:20" ht="15.6" x14ac:dyDescent="0.3">
      <c r="A296" s="122"/>
      <c r="B296" s="124"/>
      <c r="C296" s="113"/>
      <c r="D296" s="194"/>
      <c r="E296" s="194"/>
      <c r="F296" s="194"/>
      <c r="G296" s="194"/>
      <c r="H296" s="194"/>
      <c r="I296" s="194"/>
      <c r="J296" s="194"/>
      <c r="K296" s="194"/>
      <c r="L296" s="194"/>
      <c r="M296" s="194"/>
      <c r="N296" s="196"/>
      <c r="O296" s="192"/>
      <c r="P296" s="197"/>
      <c r="Q296" s="192"/>
      <c r="R296" s="113"/>
      <c r="S296" s="116"/>
      <c r="T296" s="2"/>
    </row>
    <row r="297" spans="1:20" ht="15.6" x14ac:dyDescent="0.3">
      <c r="A297" s="122"/>
      <c r="B297" s="124" t="s">
        <v>202</v>
      </c>
      <c r="C297" s="113"/>
      <c r="D297" s="194"/>
      <c r="E297" s="194"/>
      <c r="F297" s="194"/>
      <c r="G297" s="194"/>
      <c r="H297" s="194"/>
      <c r="I297" s="194"/>
      <c r="J297" s="194"/>
      <c r="K297" s="194"/>
      <c r="L297" s="194"/>
      <c r="M297" s="194"/>
      <c r="N297" s="196"/>
      <c r="O297" s="192"/>
      <c r="P297" s="214">
        <f>(L33+R147)/R33</f>
        <v>5.075039686877697E-2</v>
      </c>
      <c r="Q297" s="192"/>
      <c r="R297" s="113"/>
      <c r="S297" s="116"/>
      <c r="T297" s="2"/>
    </row>
    <row r="298" spans="1:20" ht="15.6" x14ac:dyDescent="0.3">
      <c r="A298" s="83"/>
      <c r="B298" s="84"/>
      <c r="C298" s="84"/>
      <c r="D298" s="85"/>
      <c r="E298" s="85"/>
      <c r="F298" s="85"/>
      <c r="G298" s="85"/>
      <c r="H298" s="85"/>
      <c r="I298" s="85"/>
      <c r="J298" s="85"/>
      <c r="K298" s="85"/>
      <c r="L298" s="85"/>
      <c r="M298" s="85"/>
      <c r="N298" s="85"/>
      <c r="O298" s="85"/>
      <c r="P298" s="86"/>
      <c r="Q298" s="85"/>
      <c r="R298" s="84"/>
      <c r="S298" s="218"/>
      <c r="T298" s="2"/>
    </row>
    <row r="299" spans="1:20" ht="15.6" x14ac:dyDescent="0.3">
      <c r="A299" s="87"/>
      <c r="B299" s="88" t="s">
        <v>75</v>
      </c>
      <c r="C299" s="84"/>
      <c r="D299" s="89" t="s">
        <v>79</v>
      </c>
      <c r="E299" s="88"/>
      <c r="F299" s="88" t="s">
        <v>80</v>
      </c>
      <c r="G299" s="84"/>
      <c r="H299" s="88"/>
      <c r="I299" s="90"/>
      <c r="J299" s="90"/>
      <c r="K299" s="90"/>
      <c r="L299" s="90"/>
      <c r="M299" s="90"/>
      <c r="N299" s="90"/>
      <c r="O299" s="90"/>
      <c r="P299" s="90"/>
      <c r="Q299" s="90"/>
      <c r="R299" s="90"/>
      <c r="S299" s="229"/>
      <c r="T299" s="2"/>
    </row>
    <row r="300" spans="1:20" ht="15.6" x14ac:dyDescent="0.3">
      <c r="A300" s="87"/>
      <c r="B300" s="90"/>
      <c r="C300" s="84"/>
      <c r="D300" s="84"/>
      <c r="E300" s="84"/>
      <c r="F300" s="84"/>
      <c r="G300" s="84"/>
      <c r="H300" s="84"/>
      <c r="I300" s="90"/>
      <c r="J300" s="90"/>
      <c r="K300" s="90"/>
      <c r="L300" s="90"/>
      <c r="M300" s="90"/>
      <c r="N300" s="90"/>
      <c r="O300" s="90"/>
      <c r="P300" s="90"/>
      <c r="Q300" s="90"/>
      <c r="R300" s="90"/>
      <c r="S300" s="229"/>
      <c r="T300" s="2"/>
    </row>
    <row r="301" spans="1:20" ht="15.6" x14ac:dyDescent="0.3">
      <c r="A301" s="87"/>
      <c r="B301" s="213" t="s">
        <v>192</v>
      </c>
      <c r="C301" s="88"/>
      <c r="D301" s="91" t="s">
        <v>115</v>
      </c>
      <c r="E301" s="88"/>
      <c r="F301" s="88" t="s">
        <v>116</v>
      </c>
      <c r="G301" s="88"/>
      <c r="H301" s="88"/>
      <c r="I301" s="90"/>
      <c r="J301" s="90"/>
      <c r="K301" s="90"/>
      <c r="L301" s="90"/>
      <c r="M301" s="90"/>
      <c r="N301" s="90"/>
      <c r="O301" s="90"/>
      <c r="P301" s="90"/>
      <c r="Q301" s="90"/>
      <c r="R301" s="90"/>
      <c r="S301" s="229"/>
      <c r="T301" s="2"/>
    </row>
    <row r="302" spans="1:20" ht="15.6" x14ac:dyDescent="0.3">
      <c r="A302" s="87"/>
      <c r="B302" s="213" t="s">
        <v>193</v>
      </c>
      <c r="C302" s="88"/>
      <c r="D302" s="91" t="s">
        <v>147</v>
      </c>
      <c r="E302" s="88"/>
      <c r="F302" s="88" t="s">
        <v>148</v>
      </c>
      <c r="G302" s="88"/>
      <c r="H302" s="88"/>
      <c r="I302" s="90"/>
      <c r="J302" s="90"/>
      <c r="K302" s="90"/>
      <c r="L302" s="90"/>
      <c r="M302" s="90"/>
      <c r="N302" s="90"/>
      <c r="O302" s="90"/>
      <c r="P302" s="90"/>
      <c r="Q302" s="90"/>
      <c r="R302" s="90"/>
      <c r="S302" s="229"/>
      <c r="T302" s="2"/>
    </row>
    <row r="303" spans="1:20" ht="15.6" x14ac:dyDescent="0.3">
      <c r="A303" s="87"/>
      <c r="B303" s="213" t="s">
        <v>194</v>
      </c>
      <c r="C303" s="88"/>
      <c r="D303" s="91" t="s">
        <v>114</v>
      </c>
      <c r="E303" s="88"/>
      <c r="F303" s="88" t="s">
        <v>117</v>
      </c>
      <c r="G303" s="88"/>
      <c r="H303" s="88"/>
      <c r="I303" s="90"/>
      <c r="J303" s="90"/>
      <c r="K303" s="90"/>
      <c r="L303" s="90"/>
      <c r="M303" s="90"/>
      <c r="N303" s="90"/>
      <c r="O303" s="90"/>
      <c r="P303" s="90"/>
      <c r="Q303" s="90"/>
      <c r="R303" s="90"/>
      <c r="S303" s="229"/>
      <c r="T303" s="2"/>
    </row>
    <row r="304" spans="1:20" ht="15.6" x14ac:dyDescent="0.3">
      <c r="A304" s="87"/>
      <c r="B304" s="88"/>
      <c r="C304" s="88"/>
      <c r="D304" s="90"/>
      <c r="E304" s="90"/>
      <c r="F304" s="90"/>
      <c r="G304" s="90"/>
      <c r="H304" s="90"/>
      <c r="I304" s="90"/>
      <c r="J304" s="90"/>
      <c r="K304" s="90"/>
      <c r="L304" s="90"/>
      <c r="M304" s="90"/>
      <c r="N304" s="90"/>
      <c r="O304" s="90"/>
      <c r="P304" s="90"/>
      <c r="Q304" s="90"/>
      <c r="R304" s="90"/>
      <c r="S304" s="229"/>
      <c r="T304" s="2"/>
    </row>
    <row r="305" spans="1:20" ht="15.6" x14ac:dyDescent="0.3">
      <c r="A305" s="87"/>
      <c r="B305" s="88"/>
      <c r="C305" s="88"/>
      <c r="D305" s="90"/>
      <c r="E305" s="90"/>
      <c r="F305" s="90"/>
      <c r="G305" s="90"/>
      <c r="H305" s="90"/>
      <c r="I305" s="90"/>
      <c r="J305" s="90"/>
      <c r="K305" s="90"/>
      <c r="L305" s="90"/>
      <c r="M305" s="90"/>
      <c r="N305" s="90"/>
      <c r="O305" s="90"/>
      <c r="P305" s="90"/>
      <c r="Q305" s="90"/>
      <c r="R305" s="90"/>
      <c r="S305" s="229"/>
      <c r="T305" s="2"/>
    </row>
    <row r="306" spans="1:20" ht="18" thickBot="1" x14ac:dyDescent="0.35">
      <c r="A306" s="87"/>
      <c r="B306" s="92" t="str">
        <f>B204</f>
        <v>PM22 INVESTOR REPORT QUARTER ENDING AUGUST 2015</v>
      </c>
      <c r="C306" s="88"/>
      <c r="D306" s="90"/>
      <c r="E306" s="90"/>
      <c r="F306" s="90"/>
      <c r="G306" s="90"/>
      <c r="H306" s="90"/>
      <c r="I306" s="90"/>
      <c r="J306" s="90"/>
      <c r="K306" s="90"/>
      <c r="L306" s="90"/>
      <c r="M306" s="90"/>
      <c r="N306" s="90"/>
      <c r="O306" s="90"/>
      <c r="P306" s="90"/>
      <c r="Q306" s="90"/>
      <c r="R306" s="90"/>
      <c r="S306" s="99"/>
      <c r="T306" s="2"/>
    </row>
    <row r="307" spans="1:20" x14ac:dyDescent="0.25">
      <c r="A307" s="3"/>
      <c r="B307" s="3"/>
      <c r="C307" s="3"/>
      <c r="D307" s="3"/>
      <c r="E307" s="3"/>
      <c r="F307" s="3"/>
      <c r="G307" s="3"/>
      <c r="H307" s="3"/>
      <c r="I307" s="3"/>
      <c r="J307" s="3"/>
      <c r="K307" s="3"/>
      <c r="L307" s="3"/>
      <c r="M307" s="3"/>
      <c r="N307" s="3"/>
      <c r="O307" s="3"/>
      <c r="P307" s="3"/>
      <c r="Q307" s="3"/>
      <c r="R307" s="3"/>
      <c r="S307" s="3"/>
    </row>
  </sheetData>
  <hyperlinks>
    <hyperlink ref="N242"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4" max="18" man="1"/>
  </rowBreaks>
  <colBreaks count="1" manualBreakCount="1">
    <brk id="19" max="299" man="1"/>
  </col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R307"/>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221</v>
      </c>
      <c r="C1" s="11"/>
      <c r="D1" s="11"/>
      <c r="E1" s="11"/>
      <c r="F1" s="11"/>
      <c r="G1" s="11"/>
      <c r="H1" s="11"/>
      <c r="I1" s="11"/>
      <c r="J1" s="11"/>
      <c r="K1" s="11"/>
      <c r="L1" s="11"/>
      <c r="M1" s="11"/>
      <c r="N1" s="11"/>
      <c r="O1" s="11"/>
      <c r="P1" s="11"/>
      <c r="Q1" s="11"/>
      <c r="R1" s="11"/>
      <c r="S1" s="216"/>
      <c r="T1" s="2"/>
    </row>
    <row r="2" spans="1:20" ht="15.6" x14ac:dyDescent="0.3">
      <c r="A2" s="12"/>
      <c r="B2" s="13"/>
      <c r="C2" s="14"/>
      <c r="D2" s="14"/>
      <c r="E2" s="14"/>
      <c r="F2" s="14"/>
      <c r="G2" s="14"/>
      <c r="H2" s="14"/>
      <c r="I2" s="14"/>
      <c r="J2" s="14"/>
      <c r="K2" s="14"/>
      <c r="L2" s="14"/>
      <c r="M2" s="14"/>
      <c r="N2" s="14"/>
      <c r="O2" s="14"/>
      <c r="P2" s="14"/>
      <c r="Q2" s="14"/>
      <c r="R2" s="14"/>
      <c r="S2" s="217"/>
      <c r="T2" s="2"/>
    </row>
    <row r="3" spans="1:20" ht="15.6" x14ac:dyDescent="0.3">
      <c r="A3" s="15"/>
      <c r="B3" s="16" t="s">
        <v>222</v>
      </c>
      <c r="C3" s="14"/>
      <c r="D3" s="14"/>
      <c r="E3" s="14"/>
      <c r="F3" s="14"/>
      <c r="G3" s="14"/>
      <c r="H3" s="14"/>
      <c r="I3" s="14"/>
      <c r="J3" s="14"/>
      <c r="K3" s="14"/>
      <c r="L3" s="14"/>
      <c r="M3" s="14"/>
      <c r="N3" s="14"/>
      <c r="O3" s="14"/>
      <c r="P3" s="14"/>
      <c r="Q3" s="14"/>
      <c r="R3" s="14"/>
      <c r="S3" s="217"/>
      <c r="T3" s="2"/>
    </row>
    <row r="4" spans="1:20" ht="15.6" x14ac:dyDescent="0.3">
      <c r="A4" s="12"/>
      <c r="B4" s="13"/>
      <c r="C4" s="14"/>
      <c r="D4" s="14"/>
      <c r="E4" s="14"/>
      <c r="F4" s="14"/>
      <c r="G4" s="14"/>
      <c r="H4" s="14"/>
      <c r="I4" s="14"/>
      <c r="J4" s="14"/>
      <c r="K4" s="14"/>
      <c r="L4" s="14"/>
      <c r="M4" s="14"/>
      <c r="N4" s="14"/>
      <c r="O4" s="14"/>
      <c r="P4" s="14"/>
      <c r="Q4" s="14"/>
      <c r="R4" s="14"/>
      <c r="S4" s="217"/>
      <c r="T4" s="2"/>
    </row>
    <row r="5" spans="1:20" ht="15.6" x14ac:dyDescent="0.3">
      <c r="A5" s="12"/>
      <c r="B5" s="102" t="s">
        <v>109</v>
      </c>
      <c r="C5" s="14"/>
      <c r="D5" s="14"/>
      <c r="E5" s="14"/>
      <c r="F5" s="14"/>
      <c r="G5" s="14"/>
      <c r="H5" s="14"/>
      <c r="I5" s="14"/>
      <c r="J5" s="14"/>
      <c r="K5" s="14"/>
      <c r="L5" s="14"/>
      <c r="M5" s="14"/>
      <c r="N5" s="14"/>
      <c r="O5" s="14"/>
      <c r="P5" s="14"/>
      <c r="Q5" s="14"/>
      <c r="R5" s="14"/>
      <c r="S5" s="217"/>
      <c r="T5" s="2"/>
    </row>
    <row r="6" spans="1:20" ht="15.6" x14ac:dyDescent="0.3">
      <c r="A6" s="12"/>
      <c r="B6" s="102" t="s">
        <v>111</v>
      </c>
      <c r="C6" s="14"/>
      <c r="D6" s="14"/>
      <c r="E6" s="14"/>
      <c r="F6" s="14"/>
      <c r="G6" s="14"/>
      <c r="H6" s="14"/>
      <c r="I6" s="14"/>
      <c r="J6" s="14"/>
      <c r="K6" s="14"/>
      <c r="L6" s="14"/>
      <c r="M6" s="14"/>
      <c r="N6" s="14"/>
      <c r="O6" s="14"/>
      <c r="P6" s="14"/>
      <c r="Q6" s="14"/>
      <c r="R6" s="14"/>
      <c r="S6" s="217"/>
      <c r="T6" s="2"/>
    </row>
    <row r="7" spans="1:20" ht="15.6" x14ac:dyDescent="0.3">
      <c r="A7" s="12"/>
      <c r="B7" s="102" t="s">
        <v>110</v>
      </c>
      <c r="C7" s="14"/>
      <c r="D7" s="14"/>
      <c r="E7" s="14"/>
      <c r="F7" s="14"/>
      <c r="G7" s="14"/>
      <c r="H7" s="14"/>
      <c r="I7" s="14"/>
      <c r="J7" s="14"/>
      <c r="K7" s="14"/>
      <c r="L7" s="14"/>
      <c r="M7" s="14"/>
      <c r="N7" s="14"/>
      <c r="O7" s="14"/>
      <c r="P7" s="14"/>
      <c r="Q7" s="14"/>
      <c r="R7" s="14"/>
      <c r="S7" s="217"/>
      <c r="T7" s="2"/>
    </row>
    <row r="8" spans="1:20" ht="15.6" x14ac:dyDescent="0.3">
      <c r="A8" s="12"/>
      <c r="B8" s="17"/>
      <c r="C8" s="14"/>
      <c r="D8" s="14"/>
      <c r="E8" s="14"/>
      <c r="F8" s="14"/>
      <c r="G8" s="14"/>
      <c r="H8" s="14"/>
      <c r="I8" s="14"/>
      <c r="J8" s="14"/>
      <c r="K8" s="14"/>
      <c r="L8" s="14"/>
      <c r="M8" s="14"/>
      <c r="N8" s="14"/>
      <c r="O8" s="14"/>
      <c r="P8" s="14"/>
      <c r="Q8" s="14"/>
      <c r="R8" s="14"/>
      <c r="S8" s="217"/>
      <c r="T8" s="2"/>
    </row>
    <row r="9" spans="1:20" ht="17.399999999999999" x14ac:dyDescent="0.3">
      <c r="A9" s="12"/>
      <c r="B9" s="18" t="s">
        <v>127</v>
      </c>
      <c r="C9" s="14"/>
      <c r="D9" s="14"/>
      <c r="E9" s="19"/>
      <c r="F9" s="14"/>
      <c r="G9" s="14"/>
      <c r="H9" s="19"/>
      <c r="I9" s="14"/>
      <c r="J9" s="19"/>
      <c r="K9" s="19" t="s">
        <v>128</v>
      </c>
      <c r="L9" s="19"/>
      <c r="M9" s="14"/>
      <c r="N9" s="14"/>
      <c r="O9" s="14"/>
      <c r="P9" s="14"/>
      <c r="Q9" s="14"/>
      <c r="R9" s="14"/>
      <c r="S9" s="217"/>
      <c r="T9" s="2"/>
    </row>
    <row r="10" spans="1:20" ht="15.6" x14ac:dyDescent="0.3">
      <c r="A10" s="12"/>
      <c r="B10" s="17"/>
      <c r="C10" s="20"/>
      <c r="D10" s="14"/>
      <c r="E10" s="14"/>
      <c r="F10" s="14"/>
      <c r="G10" s="14"/>
      <c r="H10" s="14"/>
      <c r="I10" s="14"/>
      <c r="J10" s="14"/>
      <c r="K10" s="14"/>
      <c r="L10" s="14"/>
      <c r="M10" s="14"/>
      <c r="N10" s="14"/>
      <c r="O10" s="14"/>
      <c r="P10" s="14"/>
      <c r="Q10" s="14"/>
      <c r="R10" s="14"/>
      <c r="S10" s="217"/>
      <c r="T10" s="2"/>
    </row>
    <row r="11" spans="1:20" ht="15.6" x14ac:dyDescent="0.3">
      <c r="A11" s="12"/>
      <c r="B11" s="88" t="s">
        <v>0</v>
      </c>
      <c r="C11" s="14"/>
      <c r="D11" s="14"/>
      <c r="E11" s="14"/>
      <c r="F11" s="14"/>
      <c r="G11" s="14"/>
      <c r="H11" s="14"/>
      <c r="I11" s="14"/>
      <c r="J11" s="14"/>
      <c r="K11" s="14"/>
      <c r="L11" s="14"/>
      <c r="M11" s="14"/>
      <c r="N11" s="14"/>
      <c r="O11" s="14"/>
      <c r="P11" s="14"/>
      <c r="Q11" s="14"/>
      <c r="R11" s="14"/>
      <c r="S11" s="217"/>
      <c r="T11" s="2"/>
    </row>
    <row r="12" spans="1:20" ht="16.2" thickBot="1" x14ac:dyDescent="0.35">
      <c r="A12" s="12"/>
      <c r="B12" s="20"/>
      <c r="C12" s="14"/>
      <c r="D12" s="14"/>
      <c r="E12" s="14"/>
      <c r="F12" s="14"/>
      <c r="G12" s="14"/>
      <c r="H12" s="14"/>
      <c r="I12" s="14"/>
      <c r="J12" s="14"/>
      <c r="K12" s="14"/>
      <c r="L12" s="14"/>
      <c r="M12" s="14"/>
      <c r="N12" s="14"/>
      <c r="O12" s="14"/>
      <c r="P12" s="14"/>
      <c r="Q12" s="14"/>
      <c r="R12" s="14"/>
      <c r="S12" s="217"/>
      <c r="T12" s="2"/>
    </row>
    <row r="13" spans="1:20" ht="15.6" x14ac:dyDescent="0.3">
      <c r="A13" s="10"/>
      <c r="B13" s="11"/>
      <c r="C13" s="11"/>
      <c r="D13" s="11"/>
      <c r="E13" s="11"/>
      <c r="F13" s="11"/>
      <c r="G13" s="11"/>
      <c r="H13" s="11"/>
      <c r="I13" s="11"/>
      <c r="J13" s="11"/>
      <c r="K13" s="11"/>
      <c r="L13" s="11"/>
      <c r="M13" s="11"/>
      <c r="N13" s="11"/>
      <c r="O13" s="11"/>
      <c r="P13" s="11"/>
      <c r="Q13" s="11"/>
      <c r="R13" s="11"/>
      <c r="S13" s="216"/>
      <c r="T13" s="2"/>
    </row>
    <row r="14" spans="1:20" ht="15.6" x14ac:dyDescent="0.3">
      <c r="A14" s="12"/>
      <c r="B14" s="88" t="s">
        <v>1</v>
      </c>
      <c r="C14" s="84"/>
      <c r="D14" s="84"/>
      <c r="E14" s="84"/>
      <c r="F14" s="84"/>
      <c r="G14" s="84"/>
      <c r="H14" s="84"/>
      <c r="I14" s="84"/>
      <c r="J14" s="84"/>
      <c r="K14" s="84"/>
      <c r="L14" s="84"/>
      <c r="M14" s="84"/>
      <c r="N14" s="84"/>
      <c r="O14" s="84"/>
      <c r="P14" s="84"/>
      <c r="Q14" s="84"/>
      <c r="R14" s="103" t="s">
        <v>223</v>
      </c>
      <c r="S14" s="218"/>
      <c r="T14" s="2"/>
    </row>
    <row r="15" spans="1:20" ht="15.6" x14ac:dyDescent="0.3">
      <c r="A15" s="12"/>
      <c r="B15" s="88" t="s">
        <v>2</v>
      </c>
      <c r="C15" s="84"/>
      <c r="D15" s="104"/>
      <c r="E15" s="104"/>
      <c r="F15" s="104"/>
      <c r="G15" s="104"/>
      <c r="H15" s="104"/>
      <c r="I15" s="104"/>
      <c r="J15" s="104"/>
      <c r="K15" s="104"/>
      <c r="L15" s="104"/>
      <c r="M15" s="104"/>
      <c r="N15" s="105"/>
      <c r="O15" s="105"/>
      <c r="P15" s="105" t="s">
        <v>154</v>
      </c>
      <c r="Q15" s="105">
        <v>1</v>
      </c>
      <c r="R15" s="103"/>
      <c r="S15" s="218"/>
      <c r="T15" s="2"/>
    </row>
    <row r="16" spans="1:20" ht="15.6" x14ac:dyDescent="0.3">
      <c r="A16" s="12"/>
      <c r="B16" s="88" t="s">
        <v>3</v>
      </c>
      <c r="C16" s="84"/>
      <c r="D16" s="104"/>
      <c r="E16" s="104"/>
      <c r="F16" s="104"/>
      <c r="G16" s="104"/>
      <c r="H16" s="104"/>
      <c r="I16" s="104"/>
      <c r="J16" s="104"/>
      <c r="K16" s="104"/>
      <c r="L16" s="104"/>
      <c r="M16" s="104"/>
      <c r="N16" s="105"/>
      <c r="O16" s="230"/>
      <c r="P16" s="105" t="s">
        <v>154</v>
      </c>
      <c r="Q16" s="230">
        <v>1</v>
      </c>
      <c r="R16" s="103"/>
      <c r="S16" s="218"/>
      <c r="T16" s="2"/>
    </row>
    <row r="17" spans="1:23" ht="15.6" x14ac:dyDescent="0.3">
      <c r="A17" s="12"/>
      <c r="B17" s="88" t="s">
        <v>4</v>
      </c>
      <c r="C17" s="84"/>
      <c r="D17" s="84"/>
      <c r="E17" s="84"/>
      <c r="F17" s="84"/>
      <c r="G17" s="84"/>
      <c r="H17" s="84"/>
      <c r="I17" s="84"/>
      <c r="J17" s="84"/>
      <c r="K17" s="84"/>
      <c r="L17" s="84"/>
      <c r="M17" s="84"/>
      <c r="N17" s="84"/>
      <c r="O17" s="84"/>
      <c r="P17" s="84"/>
      <c r="Q17" s="84"/>
      <c r="R17" s="106">
        <v>42088</v>
      </c>
      <c r="S17" s="218"/>
      <c r="T17" s="2"/>
    </row>
    <row r="18" spans="1:23" ht="15.6" x14ac:dyDescent="0.3">
      <c r="A18" s="12"/>
      <c r="B18" s="88" t="s">
        <v>5</v>
      </c>
      <c r="C18" s="84"/>
      <c r="D18" s="84"/>
      <c r="E18" s="84"/>
      <c r="F18" s="84"/>
      <c r="G18" s="84"/>
      <c r="H18" s="84"/>
      <c r="I18" s="84"/>
      <c r="J18" s="84"/>
      <c r="K18" s="84"/>
      <c r="L18" s="84"/>
      <c r="M18" s="84"/>
      <c r="N18" s="84"/>
      <c r="O18" s="84"/>
      <c r="P18" s="84"/>
      <c r="Q18" s="84"/>
      <c r="R18" s="215">
        <v>42360</v>
      </c>
      <c r="S18" s="218"/>
      <c r="T18" s="2"/>
    </row>
    <row r="19" spans="1:23" ht="15.6" x14ac:dyDescent="0.3">
      <c r="A19" s="12"/>
      <c r="B19" s="14"/>
      <c r="C19" s="14"/>
      <c r="D19" s="14"/>
      <c r="E19" s="14"/>
      <c r="F19" s="14"/>
      <c r="G19" s="14"/>
      <c r="H19" s="14"/>
      <c r="I19" s="14"/>
      <c r="J19" s="14"/>
      <c r="K19" s="14"/>
      <c r="L19" s="14"/>
      <c r="M19" s="14"/>
      <c r="N19" s="14"/>
      <c r="O19" s="14"/>
      <c r="P19" s="14"/>
      <c r="Q19" s="14"/>
      <c r="R19" s="21"/>
      <c r="S19" s="217"/>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7"/>
      <c r="T20" s="2"/>
    </row>
    <row r="21" spans="1:23" ht="15.6" x14ac:dyDescent="0.3">
      <c r="A21" s="12"/>
      <c r="B21" s="14"/>
      <c r="C21" s="14"/>
      <c r="D21" s="14"/>
      <c r="E21" s="14"/>
      <c r="F21" s="14"/>
      <c r="G21" s="14"/>
      <c r="H21" s="14"/>
      <c r="I21" s="14"/>
      <c r="J21" s="14"/>
      <c r="K21" s="14"/>
      <c r="L21" s="14"/>
      <c r="M21" s="14"/>
      <c r="N21" s="14"/>
      <c r="O21" s="14"/>
      <c r="P21" s="14"/>
      <c r="Q21" s="14"/>
      <c r="R21" s="23"/>
      <c r="S21" s="217"/>
      <c r="T21" s="2"/>
    </row>
    <row r="22" spans="1:23" ht="15.6" x14ac:dyDescent="0.3">
      <c r="A22" s="53"/>
      <c r="B22" s="54"/>
      <c r="C22" s="55"/>
      <c r="D22" s="55" t="s">
        <v>232</v>
      </c>
      <c r="E22" s="55"/>
      <c r="F22" s="55" t="s">
        <v>233</v>
      </c>
      <c r="G22" s="55"/>
      <c r="H22" s="55" t="s">
        <v>179</v>
      </c>
      <c r="I22" s="55"/>
      <c r="J22" s="55" t="s">
        <v>180</v>
      </c>
      <c r="K22" s="55"/>
      <c r="L22" s="55" t="s">
        <v>234</v>
      </c>
      <c r="M22" s="55"/>
      <c r="N22" s="55"/>
      <c r="O22" s="56"/>
      <c r="P22" s="57"/>
      <c r="Q22" s="58"/>
      <c r="R22" s="58"/>
      <c r="S22" s="219"/>
      <c r="T22" s="2"/>
    </row>
    <row r="23" spans="1:23" ht="15.6" x14ac:dyDescent="0.3">
      <c r="A23" s="24"/>
      <c r="B23" s="79" t="s">
        <v>226</v>
      </c>
      <c r="C23" s="109"/>
      <c r="D23" s="109" t="s">
        <v>112</v>
      </c>
      <c r="E23" s="109"/>
      <c r="F23" s="109" t="s">
        <v>112</v>
      </c>
      <c r="G23" s="109"/>
      <c r="H23" s="109" t="s">
        <v>178</v>
      </c>
      <c r="I23" s="109"/>
      <c r="J23" s="109" t="s">
        <v>249</v>
      </c>
      <c r="K23" s="109"/>
      <c r="L23" s="109" t="s">
        <v>153</v>
      </c>
      <c r="M23" s="109"/>
      <c r="N23" s="109"/>
      <c r="O23" s="109"/>
      <c r="P23" s="109"/>
      <c r="Q23" s="100"/>
      <c r="R23" s="100"/>
      <c r="S23" s="220"/>
      <c r="T23" s="2"/>
    </row>
    <row r="24" spans="1:23" ht="15.6" x14ac:dyDescent="0.3">
      <c r="A24" s="117"/>
      <c r="B24" s="113" t="s">
        <v>197</v>
      </c>
      <c r="C24" s="119"/>
      <c r="D24" s="114" t="s">
        <v>199</v>
      </c>
      <c r="E24" s="114"/>
      <c r="F24" s="114" t="s">
        <v>199</v>
      </c>
      <c r="G24" s="114"/>
      <c r="H24" s="114" t="s">
        <v>200</v>
      </c>
      <c r="I24" s="114"/>
      <c r="J24" s="114" t="s">
        <v>201</v>
      </c>
      <c r="K24" s="114"/>
      <c r="L24" s="114" t="s">
        <v>153</v>
      </c>
      <c r="M24" s="114"/>
      <c r="N24" s="114"/>
      <c r="O24" s="119"/>
      <c r="P24" s="114"/>
      <c r="Q24" s="115"/>
      <c r="R24" s="115"/>
      <c r="S24" s="116"/>
      <c r="T24" s="2"/>
    </row>
    <row r="25" spans="1:23" ht="15.6" x14ac:dyDescent="0.3">
      <c r="A25" s="120"/>
      <c r="B25" s="124" t="s">
        <v>227</v>
      </c>
      <c r="C25" s="119"/>
      <c r="D25" s="119" t="s">
        <v>112</v>
      </c>
      <c r="E25" s="119"/>
      <c r="F25" s="119" t="s">
        <v>112</v>
      </c>
      <c r="G25" s="119"/>
      <c r="H25" s="119" t="s">
        <v>178</v>
      </c>
      <c r="I25" s="119"/>
      <c r="J25" s="119" t="s">
        <v>249</v>
      </c>
      <c r="K25" s="119"/>
      <c r="L25" s="119" t="s">
        <v>153</v>
      </c>
      <c r="M25" s="119"/>
      <c r="N25" s="119"/>
      <c r="O25" s="119"/>
      <c r="P25" s="114"/>
      <c r="Q25" s="115"/>
      <c r="R25" s="115"/>
      <c r="S25" s="116"/>
      <c r="T25" s="2"/>
      <c r="U25" s="211"/>
      <c r="W25" s="212"/>
    </row>
    <row r="26" spans="1:23" ht="15.6" x14ac:dyDescent="0.3">
      <c r="A26" s="122"/>
      <c r="B26" s="124" t="s">
        <v>198</v>
      </c>
      <c r="C26" s="114"/>
      <c r="D26" s="119" t="s">
        <v>199</v>
      </c>
      <c r="E26" s="119"/>
      <c r="F26" s="119" t="s">
        <v>199</v>
      </c>
      <c r="G26" s="119"/>
      <c r="H26" s="119" t="s">
        <v>200</v>
      </c>
      <c r="I26" s="119"/>
      <c r="J26" s="119" t="s">
        <v>201</v>
      </c>
      <c r="K26" s="119"/>
      <c r="L26" s="119" t="s">
        <v>153</v>
      </c>
      <c r="M26" s="119"/>
      <c r="N26" s="119"/>
      <c r="O26" s="114"/>
      <c r="P26" s="123"/>
      <c r="Q26" s="115"/>
      <c r="R26" s="115"/>
      <c r="S26" s="116"/>
      <c r="T26" s="2"/>
      <c r="U26" s="211"/>
      <c r="W26" s="212"/>
    </row>
    <row r="27" spans="1:23" ht="15.6" x14ac:dyDescent="0.3">
      <c r="A27" s="122"/>
      <c r="B27" s="113" t="s">
        <v>7</v>
      </c>
      <c r="C27" s="125"/>
      <c r="D27" s="114" t="s">
        <v>228</v>
      </c>
      <c r="E27" s="114"/>
      <c r="F27" s="114" t="s">
        <v>242</v>
      </c>
      <c r="G27" s="114"/>
      <c r="H27" s="114" t="s">
        <v>243</v>
      </c>
      <c r="I27" s="114"/>
      <c r="J27" s="114" t="s">
        <v>244</v>
      </c>
      <c r="K27" s="114"/>
      <c r="L27" s="114" t="s">
        <v>245</v>
      </c>
      <c r="M27" s="114"/>
      <c r="N27" s="114"/>
      <c r="O27" s="126"/>
      <c r="P27" s="126"/>
      <c r="Q27" s="127"/>
      <c r="R27" s="126"/>
      <c r="S27" s="128"/>
      <c r="T27" s="2"/>
      <c r="U27" s="211"/>
      <c r="W27" s="212"/>
    </row>
    <row r="28" spans="1:23" ht="15.6" x14ac:dyDescent="0.3">
      <c r="A28" s="120"/>
      <c r="B28" s="113" t="s">
        <v>106</v>
      </c>
      <c r="C28" s="129"/>
      <c r="D28" s="235">
        <v>164000</v>
      </c>
      <c r="E28" s="130"/>
      <c r="F28" s="201">
        <v>151700</v>
      </c>
      <c r="G28" s="198"/>
      <c r="H28" s="201">
        <v>12000</v>
      </c>
      <c r="I28" s="198"/>
      <c r="J28" s="201">
        <v>12000</v>
      </c>
      <c r="K28" s="126"/>
      <c r="L28" s="201">
        <v>7500</v>
      </c>
      <c r="M28" s="126"/>
      <c r="N28" s="130"/>
      <c r="O28" s="131"/>
      <c r="P28" s="131"/>
      <c r="Q28" s="132"/>
      <c r="R28" s="126"/>
      <c r="S28" s="128"/>
      <c r="T28" s="2"/>
    </row>
    <row r="29" spans="1:23" ht="15.6" x14ac:dyDescent="0.3">
      <c r="A29" s="122"/>
      <c r="B29" s="113" t="s">
        <v>105</v>
      </c>
      <c r="C29" s="125"/>
      <c r="D29" s="235">
        <f>D28*D35</f>
        <v>161309.2684</v>
      </c>
      <c r="E29" s="130"/>
      <c r="F29" s="201">
        <f>F28*F35</f>
        <v>149211.07326999999</v>
      </c>
      <c r="G29" s="201"/>
      <c r="H29" s="201">
        <f>H28</f>
        <v>12000</v>
      </c>
      <c r="I29" s="201"/>
      <c r="J29" s="201">
        <f>J28</f>
        <v>12000</v>
      </c>
      <c r="K29" s="126"/>
      <c r="L29" s="201">
        <f>L28</f>
        <v>7500</v>
      </c>
      <c r="M29" s="126"/>
      <c r="N29" s="130"/>
      <c r="O29" s="126"/>
      <c r="P29" s="126"/>
      <c r="Q29" s="127"/>
      <c r="R29" s="126"/>
      <c r="S29" s="128"/>
      <c r="T29" s="2"/>
    </row>
    <row r="30" spans="1:23" ht="15.6" x14ac:dyDescent="0.3">
      <c r="A30" s="122"/>
      <c r="B30" s="121" t="s">
        <v>107</v>
      </c>
      <c r="C30" s="125"/>
      <c r="D30" s="236">
        <f>D28*D34</f>
        <v>158154.5808</v>
      </c>
      <c r="E30" s="202"/>
      <c r="F30" s="202">
        <f t="shared" ref="F30" si="0">F28*F34</f>
        <v>146292.98724000002</v>
      </c>
      <c r="G30" s="202"/>
      <c r="H30" s="202">
        <f t="shared" ref="H30" si="1">H28*H34</f>
        <v>12000</v>
      </c>
      <c r="I30" s="202"/>
      <c r="J30" s="202">
        <f t="shared" ref="J30" si="2">J28*J34</f>
        <v>12000</v>
      </c>
      <c r="K30" s="202"/>
      <c r="L30" s="202">
        <f t="shared" ref="L30" si="3">L28*L34</f>
        <v>7500</v>
      </c>
      <c r="M30" s="131"/>
      <c r="N30" s="133"/>
      <c r="O30" s="126"/>
      <c r="P30" s="126"/>
      <c r="Q30" s="127"/>
      <c r="R30" s="203"/>
      <c r="S30" s="128"/>
      <c r="T30" s="2"/>
    </row>
    <row r="31" spans="1:23" ht="15.6" x14ac:dyDescent="0.3">
      <c r="A31" s="122"/>
      <c r="B31" s="113" t="s">
        <v>229</v>
      </c>
      <c r="C31" s="125"/>
      <c r="D31" s="201">
        <v>116809</v>
      </c>
      <c r="E31" s="201"/>
      <c r="F31" s="201">
        <v>151700</v>
      </c>
      <c r="G31" s="201"/>
      <c r="H31" s="201">
        <v>12000</v>
      </c>
      <c r="I31" s="201"/>
      <c r="J31" s="201">
        <v>12000</v>
      </c>
      <c r="K31" s="201"/>
      <c r="L31" s="201">
        <v>7500</v>
      </c>
      <c r="M31" s="126"/>
      <c r="N31" s="133"/>
      <c r="O31" s="126"/>
      <c r="P31" s="126"/>
      <c r="Q31" s="127"/>
      <c r="R31" s="126">
        <f>SUM(D31:L31)</f>
        <v>300009</v>
      </c>
      <c r="S31" s="128"/>
      <c r="T31" s="2"/>
    </row>
    <row r="32" spans="1:23" ht="15.6" x14ac:dyDescent="0.3">
      <c r="A32" s="122"/>
      <c r="B32" s="113" t="s">
        <v>230</v>
      </c>
      <c r="C32" s="125"/>
      <c r="D32" s="201">
        <f>D31*D35</f>
        <v>114892.52641789999</v>
      </c>
      <c r="E32" s="201"/>
      <c r="F32" s="201">
        <f>F31*F35</f>
        <v>149211.07326999999</v>
      </c>
      <c r="G32" s="201"/>
      <c r="H32" s="201">
        <f>H31</f>
        <v>12000</v>
      </c>
      <c r="I32" s="201"/>
      <c r="J32" s="201">
        <f>+J31</f>
        <v>12000</v>
      </c>
      <c r="K32" s="201"/>
      <c r="L32" s="201">
        <f>L31</f>
        <v>7500</v>
      </c>
      <c r="M32" s="126"/>
      <c r="N32" s="133"/>
      <c r="O32" s="126"/>
      <c r="P32" s="126"/>
      <c r="Q32" s="127"/>
      <c r="R32" s="126">
        <f>SUM(D32:L32)</f>
        <v>295603.59968789999</v>
      </c>
      <c r="S32" s="128"/>
      <c r="T32" s="2"/>
    </row>
    <row r="33" spans="1:20" ht="15.6" x14ac:dyDescent="0.3">
      <c r="A33" s="122"/>
      <c r="B33" s="124" t="s">
        <v>231</v>
      </c>
      <c r="C33" s="125"/>
      <c r="D33" s="237">
        <f>D31*D34</f>
        <v>112645.6001748</v>
      </c>
      <c r="E33" s="237"/>
      <c r="F33" s="237">
        <f>F31*F34</f>
        <v>146292.98724000002</v>
      </c>
      <c r="G33" s="237"/>
      <c r="H33" s="237">
        <f t="shared" ref="H33:L33" si="4">H31*H34</f>
        <v>12000</v>
      </c>
      <c r="I33" s="237"/>
      <c r="J33" s="237">
        <f t="shared" si="4"/>
        <v>12000</v>
      </c>
      <c r="K33" s="237"/>
      <c r="L33" s="237">
        <f t="shared" si="4"/>
        <v>7500</v>
      </c>
      <c r="M33" s="131"/>
      <c r="N33" s="133"/>
      <c r="O33" s="126"/>
      <c r="P33" s="126"/>
      <c r="Q33" s="127"/>
      <c r="R33" s="203">
        <f>SUM(D33:L33)</f>
        <v>290438.58741480001</v>
      </c>
      <c r="S33" s="128"/>
      <c r="T33" s="2"/>
    </row>
    <row r="34" spans="1:20" ht="15.6" x14ac:dyDescent="0.3">
      <c r="A34" s="112"/>
      <c r="B34" s="134" t="s">
        <v>103</v>
      </c>
      <c r="C34" s="135"/>
      <c r="D34" s="136">
        <v>0.96435720000000003</v>
      </c>
      <c r="E34" s="136"/>
      <c r="F34" s="136">
        <v>0.96435720000000003</v>
      </c>
      <c r="G34" s="136"/>
      <c r="H34" s="136">
        <v>1</v>
      </c>
      <c r="I34" s="136"/>
      <c r="J34" s="136">
        <v>1</v>
      </c>
      <c r="K34" s="136"/>
      <c r="L34" s="136">
        <v>1</v>
      </c>
      <c r="M34" s="136"/>
      <c r="N34" s="136"/>
      <c r="O34" s="137"/>
      <c r="P34" s="137"/>
      <c r="Q34" s="138"/>
      <c r="R34" s="204"/>
      <c r="S34" s="139"/>
      <c r="T34" s="2"/>
    </row>
    <row r="35" spans="1:20" ht="15.6" x14ac:dyDescent="0.3">
      <c r="A35" s="112"/>
      <c r="B35" s="134" t="s">
        <v>104</v>
      </c>
      <c r="C35" s="135"/>
      <c r="D35" s="136">
        <v>0.9835931</v>
      </c>
      <c r="E35" s="136"/>
      <c r="F35" s="136">
        <v>0.9835931</v>
      </c>
      <c r="G35" s="136"/>
      <c r="H35" s="136">
        <v>1</v>
      </c>
      <c r="I35" s="136"/>
      <c r="J35" s="136">
        <v>1</v>
      </c>
      <c r="K35" s="136"/>
      <c r="L35" s="136">
        <v>1</v>
      </c>
      <c r="M35" s="136"/>
      <c r="N35" s="136"/>
      <c r="O35" s="140"/>
      <c r="P35" s="141"/>
      <c r="Q35" s="138"/>
      <c r="R35" s="140"/>
      <c r="S35" s="139"/>
      <c r="T35" s="2"/>
    </row>
    <row r="36" spans="1:20" ht="15.6" x14ac:dyDescent="0.3">
      <c r="A36" s="112"/>
      <c r="B36" s="113" t="s">
        <v>8</v>
      </c>
      <c r="C36" s="113"/>
      <c r="D36" s="123" t="s">
        <v>240</v>
      </c>
      <c r="E36" s="123"/>
      <c r="F36" s="123" t="s">
        <v>220</v>
      </c>
      <c r="G36" s="123"/>
      <c r="H36" s="123" t="s">
        <v>247</v>
      </c>
      <c r="I36" s="123"/>
      <c r="J36" s="123" t="s">
        <v>250</v>
      </c>
      <c r="K36" s="123"/>
      <c r="L36" s="123" t="s">
        <v>252</v>
      </c>
      <c r="M36" s="123"/>
      <c r="N36" s="123"/>
      <c r="O36" s="142"/>
      <c r="P36" s="143"/>
      <c r="Q36" s="115"/>
      <c r="R36" s="115"/>
      <c r="S36" s="116"/>
      <c r="T36" s="2"/>
    </row>
    <row r="37" spans="1:20" ht="15.6" x14ac:dyDescent="0.3">
      <c r="A37" s="112"/>
      <c r="B37" s="113" t="s">
        <v>9</v>
      </c>
      <c r="C37" s="144"/>
      <c r="D37" s="143">
        <v>4.62E-3</v>
      </c>
      <c r="E37" s="143"/>
      <c r="F37" s="143">
        <v>1.3875E-2</v>
      </c>
      <c r="G37" s="143"/>
      <c r="H37" s="143">
        <v>1.9375E-2</v>
      </c>
      <c r="I37" s="143"/>
      <c r="J37" s="143">
        <v>2.2374999999999999E-2</v>
      </c>
      <c r="K37" s="143"/>
      <c r="L37" s="143">
        <v>2.5874999999999999E-2</v>
      </c>
      <c r="M37" s="142"/>
      <c r="N37" s="143"/>
      <c r="O37" s="123"/>
      <c r="P37" s="123"/>
      <c r="Q37" s="115"/>
      <c r="R37" s="142"/>
      <c r="S37" s="116"/>
      <c r="T37" s="2"/>
    </row>
    <row r="38" spans="1:20" ht="15.6" x14ac:dyDescent="0.3">
      <c r="A38" s="112"/>
      <c r="B38" s="113" t="s">
        <v>10</v>
      </c>
      <c r="C38" s="144"/>
      <c r="D38" s="143">
        <v>4.8599999999999997E-3</v>
      </c>
      <c r="E38" s="143"/>
      <c r="F38" s="143">
        <v>1.3712500000000001E-2</v>
      </c>
      <c r="G38" s="143"/>
      <c r="H38" s="143">
        <v>1.92125E-2</v>
      </c>
      <c r="I38" s="143"/>
      <c r="J38" s="143">
        <v>2.22125E-2</v>
      </c>
      <c r="K38" s="143"/>
      <c r="L38" s="143">
        <v>2.5712499999999999E-2</v>
      </c>
      <c r="M38" s="142"/>
      <c r="N38" s="143"/>
      <c r="O38" s="123"/>
      <c r="P38" s="123"/>
      <c r="Q38" s="115"/>
      <c r="R38" s="115"/>
      <c r="S38" s="116"/>
      <c r="T38" s="2"/>
    </row>
    <row r="39" spans="1:20" ht="15.6" x14ac:dyDescent="0.3">
      <c r="A39" s="112"/>
      <c r="B39" s="113" t="s">
        <v>235</v>
      </c>
      <c r="C39" s="144"/>
      <c r="D39" s="240" t="s">
        <v>260</v>
      </c>
      <c r="E39" s="143"/>
      <c r="F39" s="143" t="s">
        <v>220</v>
      </c>
      <c r="G39" s="143"/>
      <c r="H39" s="143" t="s">
        <v>247</v>
      </c>
      <c r="I39" s="143"/>
      <c r="J39" s="123" t="s">
        <v>250</v>
      </c>
      <c r="K39" s="143"/>
      <c r="L39" s="143" t="s">
        <v>252</v>
      </c>
      <c r="M39" s="142"/>
      <c r="N39" s="143"/>
      <c r="O39" s="123"/>
      <c r="P39" s="123"/>
      <c r="Q39" s="115"/>
      <c r="R39" s="115"/>
      <c r="S39" s="116"/>
      <c r="T39" s="2"/>
    </row>
    <row r="40" spans="1:20" ht="15.6" x14ac:dyDescent="0.3">
      <c r="A40" s="112"/>
      <c r="B40" s="113" t="s">
        <v>236</v>
      </c>
      <c r="C40" s="144"/>
      <c r="D40" s="143">
        <v>1.6275000000000001E-2</v>
      </c>
      <c r="E40" s="143"/>
      <c r="F40" s="143">
        <f>+F37</f>
        <v>1.3875E-2</v>
      </c>
      <c r="G40" s="143"/>
      <c r="H40" s="143">
        <f>+H37</f>
        <v>1.9375E-2</v>
      </c>
      <c r="I40" s="143"/>
      <c r="J40" s="143">
        <f>+J37</f>
        <v>2.2374999999999999E-2</v>
      </c>
      <c r="K40" s="143"/>
      <c r="L40" s="143">
        <f>+L37</f>
        <v>2.5874999999999999E-2</v>
      </c>
      <c r="M40" s="142"/>
      <c r="N40" s="143"/>
      <c r="O40" s="123"/>
      <c r="P40" s="123"/>
      <c r="Q40" s="115"/>
      <c r="R40" s="142">
        <f>SUMPRODUCT(D40:L40,D32:L32)/R32</f>
        <v>1.568060068945875E-2</v>
      </c>
      <c r="S40" s="116"/>
      <c r="T40" s="2"/>
    </row>
    <row r="41" spans="1:20" ht="15.6" x14ac:dyDescent="0.3">
      <c r="A41" s="112"/>
      <c r="B41" s="113" t="s">
        <v>237</v>
      </c>
      <c r="C41" s="144"/>
      <c r="D41" s="143">
        <v>1.6112499999999998E-2</v>
      </c>
      <c r="E41" s="143"/>
      <c r="F41" s="143">
        <f>+F38</f>
        <v>1.3712500000000001E-2</v>
      </c>
      <c r="G41" s="143"/>
      <c r="H41" s="143">
        <f>+H38</f>
        <v>1.92125E-2</v>
      </c>
      <c r="I41" s="143"/>
      <c r="J41" s="143">
        <f>+J38</f>
        <v>2.22125E-2</v>
      </c>
      <c r="K41" s="143"/>
      <c r="L41" s="143">
        <f>+L38</f>
        <v>2.5712499999999999E-2</v>
      </c>
      <c r="M41" s="142"/>
      <c r="N41" s="143"/>
      <c r="O41" s="123"/>
      <c r="P41" s="123"/>
      <c r="Q41" s="115"/>
      <c r="R41" s="115"/>
      <c r="S41" s="116"/>
      <c r="T41" s="2"/>
    </row>
    <row r="42" spans="1:20" ht="15.6" x14ac:dyDescent="0.3">
      <c r="A42" s="112"/>
      <c r="B42" s="113" t="s">
        <v>238</v>
      </c>
      <c r="C42" s="113"/>
      <c r="D42" s="144">
        <v>43631</v>
      </c>
      <c r="E42" s="144"/>
      <c r="F42" s="144">
        <v>43631</v>
      </c>
      <c r="G42" s="144"/>
      <c r="H42" s="144">
        <v>43631</v>
      </c>
      <c r="I42" s="144"/>
      <c r="J42" s="144">
        <v>43631</v>
      </c>
      <c r="K42" s="144"/>
      <c r="L42" s="144">
        <v>43631</v>
      </c>
      <c r="M42" s="144"/>
      <c r="N42" s="144"/>
      <c r="O42" s="123"/>
      <c r="P42" s="123"/>
      <c r="Q42" s="115"/>
      <c r="R42" s="115"/>
      <c r="S42" s="116"/>
      <c r="T42" s="2"/>
    </row>
    <row r="43" spans="1:20" ht="15.6" x14ac:dyDescent="0.3">
      <c r="A43" s="112"/>
      <c r="B43" s="113" t="s">
        <v>11</v>
      </c>
      <c r="C43" s="113"/>
      <c r="D43" s="144">
        <v>43631</v>
      </c>
      <c r="E43" s="144"/>
      <c r="F43" s="144">
        <v>43631</v>
      </c>
      <c r="G43" s="123"/>
      <c r="H43" s="144">
        <v>43631</v>
      </c>
      <c r="I43" s="123"/>
      <c r="J43" s="144">
        <v>43631</v>
      </c>
      <c r="K43" s="123"/>
      <c r="L43" s="144" t="s">
        <v>97</v>
      </c>
      <c r="M43" s="123"/>
      <c r="N43" s="144"/>
      <c r="O43" s="123"/>
      <c r="P43" s="123"/>
      <c r="Q43" s="115"/>
      <c r="R43" s="115"/>
      <c r="S43" s="116"/>
      <c r="T43" s="2"/>
    </row>
    <row r="44" spans="1:20" ht="15.6" x14ac:dyDescent="0.3">
      <c r="A44" s="112"/>
      <c r="B44" s="113" t="s">
        <v>98</v>
      </c>
      <c r="C44" s="113"/>
      <c r="D44" s="123" t="s">
        <v>241</v>
      </c>
      <c r="E44" s="123"/>
      <c r="F44" s="123" t="s">
        <v>246</v>
      </c>
      <c r="G44" s="123"/>
      <c r="H44" s="123" t="s">
        <v>248</v>
      </c>
      <c r="I44" s="123"/>
      <c r="J44" s="123" t="s">
        <v>251</v>
      </c>
      <c r="K44" s="123"/>
      <c r="L44" s="123" t="s">
        <v>97</v>
      </c>
      <c r="M44" s="123"/>
      <c r="N44" s="123"/>
      <c r="O44" s="145"/>
      <c r="P44" s="145"/>
      <c r="Q44" s="145"/>
      <c r="R44" s="145"/>
      <c r="S44" s="116"/>
      <c r="T44" s="2"/>
    </row>
    <row r="45" spans="1:20" ht="15.6" x14ac:dyDescent="0.3">
      <c r="A45" s="112"/>
      <c r="B45" s="113" t="s">
        <v>239</v>
      </c>
      <c r="C45" s="113"/>
      <c r="D45" s="123" t="s">
        <v>273</v>
      </c>
      <c r="E45" s="123"/>
      <c r="F45" s="123" t="s">
        <v>246</v>
      </c>
      <c r="G45" s="123"/>
      <c r="H45" s="123" t="s">
        <v>248</v>
      </c>
      <c r="I45" s="123"/>
      <c r="J45" s="123" t="s">
        <v>251</v>
      </c>
      <c r="K45" s="123"/>
      <c r="L45" s="123" t="s">
        <v>97</v>
      </c>
      <c r="M45" s="123"/>
      <c r="N45" s="123"/>
      <c r="O45" s="145"/>
      <c r="P45" s="145"/>
      <c r="Q45" s="145"/>
      <c r="R45" s="145"/>
      <c r="S45" s="116"/>
      <c r="T45" s="2"/>
    </row>
    <row r="46" spans="1:20" ht="15.6" x14ac:dyDescent="0.3">
      <c r="A46" s="112"/>
      <c r="B46" s="113"/>
      <c r="C46" s="113"/>
      <c r="D46" s="123"/>
      <c r="E46" s="123"/>
      <c r="F46" s="123"/>
      <c r="G46" s="123"/>
      <c r="H46" s="123"/>
      <c r="I46" s="123"/>
      <c r="J46" s="123"/>
      <c r="K46" s="123"/>
      <c r="L46" s="123"/>
      <c r="M46" s="123"/>
      <c r="N46" s="123"/>
      <c r="O46" s="113"/>
      <c r="P46" s="113"/>
      <c r="Q46" s="113"/>
      <c r="R46" s="142" t="s">
        <v>130</v>
      </c>
      <c r="S46" s="116"/>
      <c r="T46" s="2"/>
    </row>
    <row r="47" spans="1:20" ht="15.6" x14ac:dyDescent="0.3">
      <c r="A47" s="112"/>
      <c r="B47" s="113" t="s">
        <v>253</v>
      </c>
      <c r="C47" s="113"/>
      <c r="D47" s="123"/>
      <c r="E47" s="123"/>
      <c r="F47" s="123"/>
      <c r="G47" s="123"/>
      <c r="H47" s="123"/>
      <c r="I47" s="123"/>
      <c r="J47" s="123"/>
      <c r="K47" s="123"/>
      <c r="L47" s="123"/>
      <c r="M47" s="123"/>
      <c r="N47" s="123"/>
      <c r="O47" s="113"/>
      <c r="P47" s="113"/>
      <c r="Q47" s="113"/>
      <c r="R47" s="238">
        <f>SUM(H31:L31)/(D31+F31)</f>
        <v>0.11731450342446621</v>
      </c>
      <c r="S47" s="116"/>
      <c r="T47" s="2"/>
    </row>
    <row r="48" spans="1:20" ht="15.6" x14ac:dyDescent="0.3">
      <c r="A48" s="112"/>
      <c r="B48" s="113" t="s">
        <v>254</v>
      </c>
      <c r="C48" s="113"/>
      <c r="D48" s="113"/>
      <c r="E48" s="113"/>
      <c r="F48" s="113"/>
      <c r="G48" s="113"/>
      <c r="H48" s="113"/>
      <c r="I48" s="113"/>
      <c r="J48" s="113"/>
      <c r="K48" s="113"/>
      <c r="L48" s="113"/>
      <c r="M48" s="113"/>
      <c r="N48" s="113"/>
      <c r="O48" s="113"/>
      <c r="P48" s="113"/>
      <c r="Q48" s="113"/>
      <c r="R48" s="238">
        <f>SUM(H33:L33)/(D33+F33)</f>
        <v>0.12165046667818337</v>
      </c>
      <c r="S48" s="116"/>
      <c r="T48" s="2"/>
    </row>
    <row r="49" spans="1:21" ht="15.6" x14ac:dyDescent="0.3">
      <c r="A49" s="112"/>
      <c r="B49" s="113" t="s">
        <v>255</v>
      </c>
      <c r="C49" s="113"/>
      <c r="D49" s="113"/>
      <c r="E49" s="113"/>
      <c r="F49" s="113"/>
      <c r="G49" s="113"/>
      <c r="H49" s="113"/>
      <c r="I49" s="113"/>
      <c r="J49" s="113"/>
      <c r="K49" s="113"/>
      <c r="L49" s="113"/>
      <c r="M49" s="113"/>
      <c r="N49" s="113"/>
      <c r="O49" s="113"/>
      <c r="P49" s="123"/>
      <c r="Q49" s="123"/>
      <c r="R49" s="126" t="s">
        <v>149</v>
      </c>
      <c r="S49" s="116"/>
      <c r="T49" s="2"/>
    </row>
    <row r="50" spans="1:21" ht="15.6" x14ac:dyDescent="0.3">
      <c r="A50" s="112"/>
      <c r="B50" s="113"/>
      <c r="C50" s="113"/>
      <c r="D50" s="113"/>
      <c r="E50" s="113"/>
      <c r="F50" s="113"/>
      <c r="G50" s="113"/>
      <c r="H50" s="113"/>
      <c r="I50" s="113"/>
      <c r="J50" s="113"/>
      <c r="K50" s="113"/>
      <c r="L50" s="113"/>
      <c r="M50" s="113"/>
      <c r="N50" s="113"/>
      <c r="O50" s="113"/>
      <c r="P50" s="113"/>
      <c r="Q50" s="113"/>
      <c r="R50" s="146"/>
      <c r="S50" s="116"/>
      <c r="T50" s="2"/>
    </row>
    <row r="51" spans="1:21" ht="15.6" x14ac:dyDescent="0.3">
      <c r="A51" s="112"/>
      <c r="B51" s="113" t="s">
        <v>225</v>
      </c>
      <c r="C51" s="113"/>
      <c r="D51" s="113"/>
      <c r="E51" s="113"/>
      <c r="F51" s="113"/>
      <c r="G51" s="113"/>
      <c r="H51" s="113"/>
      <c r="I51" s="113"/>
      <c r="J51" s="113"/>
      <c r="K51" s="113"/>
      <c r="L51" s="113"/>
      <c r="M51" s="113"/>
      <c r="N51" s="113"/>
      <c r="O51" s="113"/>
      <c r="P51" s="113"/>
      <c r="Q51" s="113"/>
      <c r="R51" s="147" t="s">
        <v>91</v>
      </c>
      <c r="S51" s="116"/>
      <c r="T51" s="2"/>
    </row>
    <row r="52" spans="1:21" ht="15.6" x14ac:dyDescent="0.3">
      <c r="A52" s="112"/>
      <c r="B52" s="121" t="s">
        <v>131</v>
      </c>
      <c r="C52" s="121"/>
      <c r="D52" s="121"/>
      <c r="E52" s="121"/>
      <c r="F52" s="121"/>
      <c r="G52" s="121"/>
      <c r="H52" s="121"/>
      <c r="I52" s="121"/>
      <c r="J52" s="121"/>
      <c r="K52" s="121"/>
      <c r="L52" s="121"/>
      <c r="M52" s="121"/>
      <c r="N52" s="121"/>
      <c r="O52" s="121"/>
      <c r="P52" s="148"/>
      <c r="Q52" s="148"/>
      <c r="R52" s="149">
        <v>42353</v>
      </c>
      <c r="S52" s="116"/>
      <c r="T52" s="2"/>
    </row>
    <row r="53" spans="1:21" ht="15.6" x14ac:dyDescent="0.3">
      <c r="A53" s="112"/>
      <c r="B53" s="113" t="s">
        <v>99</v>
      </c>
      <c r="C53" s="113"/>
      <c r="D53" s="150"/>
      <c r="E53" s="150"/>
      <c r="F53" s="150"/>
      <c r="G53" s="150"/>
      <c r="H53" s="150"/>
      <c r="I53" s="150"/>
      <c r="J53" s="150"/>
      <c r="K53" s="150"/>
      <c r="L53" s="150"/>
      <c r="M53" s="150"/>
      <c r="N53" s="113">
        <f>+R53-P53+1</f>
        <v>92</v>
      </c>
      <c r="O53" s="113"/>
      <c r="P53" s="151">
        <v>42170</v>
      </c>
      <c r="Q53" s="152"/>
      <c r="R53" s="151">
        <v>42261</v>
      </c>
      <c r="S53" s="116"/>
      <c r="T53" s="2"/>
    </row>
    <row r="54" spans="1:21" ht="15.6" x14ac:dyDescent="0.3">
      <c r="A54" s="112"/>
      <c r="B54" s="113" t="s">
        <v>100</v>
      </c>
      <c r="C54" s="113"/>
      <c r="D54" s="113"/>
      <c r="E54" s="113"/>
      <c r="F54" s="113"/>
      <c r="G54" s="113"/>
      <c r="H54" s="113"/>
      <c r="I54" s="113"/>
      <c r="J54" s="113"/>
      <c r="K54" s="113"/>
      <c r="L54" s="113"/>
      <c r="M54" s="113"/>
      <c r="N54" s="113">
        <f>+R54-P54+1</f>
        <v>91</v>
      </c>
      <c r="O54" s="113"/>
      <c r="P54" s="151">
        <v>42262</v>
      </c>
      <c r="Q54" s="152"/>
      <c r="R54" s="151">
        <v>42352</v>
      </c>
      <c r="S54" s="116"/>
      <c r="T54" s="2"/>
    </row>
    <row r="55" spans="1:21" ht="15.6" x14ac:dyDescent="0.3">
      <c r="A55" s="112"/>
      <c r="B55" s="113" t="s">
        <v>261</v>
      </c>
      <c r="C55" s="113"/>
      <c r="D55" s="113"/>
      <c r="E55" s="113"/>
      <c r="F55" s="113"/>
      <c r="G55" s="113"/>
      <c r="H55" s="113"/>
      <c r="I55" s="113"/>
      <c r="J55" s="113"/>
      <c r="K55" s="113"/>
      <c r="L55" s="113"/>
      <c r="M55" s="113"/>
      <c r="N55" s="113"/>
      <c r="O55" s="113"/>
      <c r="P55" s="151"/>
      <c r="Q55" s="152"/>
      <c r="R55" s="151" t="s">
        <v>263</v>
      </c>
      <c r="S55" s="116"/>
      <c r="T55" s="2"/>
    </row>
    <row r="56" spans="1:21" ht="15.6" x14ac:dyDescent="0.3">
      <c r="A56" s="112"/>
      <c r="B56" s="113" t="s">
        <v>262</v>
      </c>
      <c r="C56" s="113"/>
      <c r="D56" s="113"/>
      <c r="E56" s="113"/>
      <c r="F56" s="113"/>
      <c r="G56" s="113"/>
      <c r="H56" s="113"/>
      <c r="I56" s="113"/>
      <c r="J56" s="113"/>
      <c r="K56" s="113"/>
      <c r="L56" s="113"/>
      <c r="M56" s="113"/>
      <c r="N56" s="113"/>
      <c r="O56" s="113"/>
      <c r="P56" s="151"/>
      <c r="Q56" s="152"/>
      <c r="R56" s="151" t="s">
        <v>118</v>
      </c>
      <c r="S56" s="116"/>
      <c r="T56" s="2"/>
      <c r="U56" s="5"/>
    </row>
    <row r="57" spans="1:21" ht="15.6" x14ac:dyDescent="0.3">
      <c r="A57" s="112"/>
      <c r="B57" s="113" t="s">
        <v>12</v>
      </c>
      <c r="C57" s="113"/>
      <c r="D57" s="113"/>
      <c r="E57" s="113"/>
      <c r="F57" s="113"/>
      <c r="G57" s="113"/>
      <c r="H57" s="113"/>
      <c r="I57" s="113"/>
      <c r="J57" s="113"/>
      <c r="K57" s="113"/>
      <c r="L57" s="113"/>
      <c r="M57" s="113"/>
      <c r="N57" s="113"/>
      <c r="O57" s="113"/>
      <c r="P57" s="151"/>
      <c r="Q57" s="152"/>
      <c r="R57" s="239">
        <v>42339</v>
      </c>
      <c r="S57" s="116"/>
      <c r="T57" s="2"/>
    </row>
    <row r="58" spans="1:21" ht="15.6" x14ac:dyDescent="0.3">
      <c r="A58" s="12"/>
      <c r="B58" s="43"/>
      <c r="C58" s="43"/>
      <c r="D58" s="43"/>
      <c r="E58" s="43"/>
      <c r="F58" s="43"/>
      <c r="G58" s="43"/>
      <c r="H58" s="43"/>
      <c r="I58" s="43"/>
      <c r="J58" s="43"/>
      <c r="K58" s="43"/>
      <c r="L58" s="43"/>
      <c r="M58" s="43"/>
      <c r="N58" s="43"/>
      <c r="O58" s="43"/>
      <c r="P58" s="110"/>
      <c r="Q58" s="111"/>
      <c r="R58" s="110"/>
      <c r="S58" s="217"/>
      <c r="T58" s="2"/>
    </row>
    <row r="59" spans="1:21" ht="15.6" x14ac:dyDescent="0.3">
      <c r="A59" s="12"/>
      <c r="B59" s="14"/>
      <c r="C59" s="14"/>
      <c r="D59" s="14"/>
      <c r="E59" s="14"/>
      <c r="F59" s="14"/>
      <c r="G59" s="14"/>
      <c r="H59" s="14"/>
      <c r="I59" s="14"/>
      <c r="J59" s="14"/>
      <c r="K59" s="14"/>
      <c r="L59" s="14"/>
      <c r="M59" s="14"/>
      <c r="N59" s="14"/>
      <c r="O59" s="14"/>
      <c r="P59" s="26"/>
      <c r="Q59" s="27"/>
      <c r="R59" s="26"/>
      <c r="S59" s="217"/>
      <c r="T59" s="2"/>
    </row>
    <row r="60" spans="1:21" ht="18" thickBot="1" x14ac:dyDescent="0.35">
      <c r="A60" s="28"/>
      <c r="B60" s="97" t="s">
        <v>279</v>
      </c>
      <c r="C60" s="29"/>
      <c r="D60" s="29"/>
      <c r="E60" s="29"/>
      <c r="F60" s="29"/>
      <c r="G60" s="29"/>
      <c r="H60" s="29"/>
      <c r="I60" s="29"/>
      <c r="J60" s="29"/>
      <c r="K60" s="29"/>
      <c r="L60" s="29"/>
      <c r="M60" s="29"/>
      <c r="N60" s="29"/>
      <c r="O60" s="29"/>
      <c r="P60" s="29"/>
      <c r="Q60" s="29"/>
      <c r="R60" s="30"/>
      <c r="S60" s="31"/>
      <c r="T60" s="2"/>
    </row>
    <row r="61" spans="1:21" ht="15.6" x14ac:dyDescent="0.3">
      <c r="A61" s="53"/>
      <c r="B61" s="59" t="s">
        <v>13</v>
      </c>
      <c r="C61" s="54"/>
      <c r="D61" s="54"/>
      <c r="E61" s="54"/>
      <c r="F61" s="54"/>
      <c r="G61" s="54"/>
      <c r="H61" s="54"/>
      <c r="I61" s="54"/>
      <c r="J61" s="54"/>
      <c r="K61" s="54"/>
      <c r="L61" s="54"/>
      <c r="M61" s="54"/>
      <c r="N61" s="54"/>
      <c r="O61" s="54"/>
      <c r="P61" s="54"/>
      <c r="Q61" s="54"/>
      <c r="R61" s="60"/>
      <c r="S61" s="54"/>
      <c r="T61" s="2"/>
    </row>
    <row r="62" spans="1:21" ht="15.6" x14ac:dyDescent="0.3">
      <c r="A62" s="12"/>
      <c r="B62" s="20"/>
      <c r="C62" s="14"/>
      <c r="D62" s="14"/>
      <c r="E62" s="14"/>
      <c r="F62" s="14"/>
      <c r="G62" s="14"/>
      <c r="H62" s="14"/>
      <c r="I62" s="14"/>
      <c r="J62" s="14"/>
      <c r="K62" s="14"/>
      <c r="L62" s="14"/>
      <c r="M62" s="14"/>
      <c r="N62" s="14"/>
      <c r="O62" s="14"/>
      <c r="P62" s="14"/>
      <c r="Q62" s="14"/>
      <c r="R62" s="33"/>
      <c r="S62" s="217"/>
      <c r="T62" s="2"/>
    </row>
    <row r="63" spans="1:21" ht="46.8" x14ac:dyDescent="0.3">
      <c r="A63" s="12"/>
      <c r="B63" s="34" t="s">
        <v>14</v>
      </c>
      <c r="C63" s="35"/>
      <c r="D63" s="35"/>
      <c r="E63" s="35"/>
      <c r="F63" s="35" t="s">
        <v>76</v>
      </c>
      <c r="G63" s="35"/>
      <c r="H63" s="35" t="s">
        <v>78</v>
      </c>
      <c r="I63" s="35"/>
      <c r="J63" s="35" t="s">
        <v>162</v>
      </c>
      <c r="K63" s="35"/>
      <c r="L63" s="35" t="s">
        <v>163</v>
      </c>
      <c r="M63" s="35"/>
      <c r="N63" s="35" t="s">
        <v>81</v>
      </c>
      <c r="O63" s="35"/>
      <c r="P63" s="35" t="s">
        <v>86</v>
      </c>
      <c r="Q63" s="35"/>
      <c r="R63" s="36" t="s">
        <v>92</v>
      </c>
      <c r="S63" s="221"/>
      <c r="T63" s="2"/>
    </row>
    <row r="64" spans="1:21" ht="15.6" x14ac:dyDescent="0.3">
      <c r="A64" s="112"/>
      <c r="B64" s="113" t="s">
        <v>15</v>
      </c>
      <c r="C64" s="155"/>
      <c r="D64" s="155"/>
      <c r="E64" s="155"/>
      <c r="F64" s="155">
        <v>244234</v>
      </c>
      <c r="G64" s="155"/>
      <c r="H64" s="156">
        <v>293030</v>
      </c>
      <c r="I64" s="155"/>
      <c r="J64" s="156">
        <v>202</v>
      </c>
      <c r="K64" s="155"/>
      <c r="L64" s="155">
        <f>4103+203-202</f>
        <v>4104</v>
      </c>
      <c r="M64" s="155"/>
      <c r="N64" s="155">
        <f>151+86</f>
        <v>237</v>
      </c>
      <c r="O64" s="155"/>
      <c r="P64" s="155">
        <v>0</v>
      </c>
      <c r="Q64" s="155"/>
      <c r="R64" s="156">
        <f>H64-J64-L64+N64-P64</f>
        <v>288961</v>
      </c>
      <c r="S64" s="116"/>
      <c r="T64" s="2"/>
    </row>
    <row r="65" spans="1:20" ht="15.6" x14ac:dyDescent="0.3">
      <c r="A65" s="112"/>
      <c r="B65" s="113" t="s">
        <v>16</v>
      </c>
      <c r="C65" s="155"/>
      <c r="D65" s="155"/>
      <c r="E65" s="155"/>
      <c r="F65" s="155">
        <v>0</v>
      </c>
      <c r="G65" s="155"/>
      <c r="H65" s="156">
        <v>0</v>
      </c>
      <c r="I65" s="155"/>
      <c r="J65" s="156">
        <v>0</v>
      </c>
      <c r="K65" s="155"/>
      <c r="L65" s="155">
        <v>0</v>
      </c>
      <c r="M65" s="155"/>
      <c r="N65" s="155">
        <v>0</v>
      </c>
      <c r="O65" s="155"/>
      <c r="P65" s="155">
        <v>0</v>
      </c>
      <c r="Q65" s="155"/>
      <c r="R65" s="156">
        <f>F65-J65-L65</f>
        <v>0</v>
      </c>
      <c r="S65" s="116"/>
      <c r="T65" s="2"/>
    </row>
    <row r="66" spans="1:20" ht="15.6" x14ac:dyDescent="0.3">
      <c r="A66" s="112"/>
      <c r="B66" s="113"/>
      <c r="C66" s="155"/>
      <c r="D66" s="155"/>
      <c r="E66" s="155"/>
      <c r="F66" s="155"/>
      <c r="G66" s="155"/>
      <c r="H66" s="156"/>
      <c r="I66" s="155"/>
      <c r="J66" s="156"/>
      <c r="K66" s="155"/>
      <c r="L66" s="155"/>
      <c r="M66" s="155"/>
      <c r="N66" s="155"/>
      <c r="O66" s="155"/>
      <c r="P66" s="155"/>
      <c r="Q66" s="155"/>
      <c r="R66" s="156"/>
      <c r="S66" s="116"/>
      <c r="T66" s="2"/>
    </row>
    <row r="67" spans="1:20" ht="15.6" x14ac:dyDescent="0.3">
      <c r="A67" s="112"/>
      <c r="B67" s="113" t="s">
        <v>17</v>
      </c>
      <c r="C67" s="155"/>
      <c r="D67" s="155"/>
      <c r="E67" s="155"/>
      <c r="F67" s="155">
        <f>SUM(F64:F66)</f>
        <v>244234</v>
      </c>
      <c r="G67" s="155"/>
      <c r="H67" s="155">
        <f>H64+H65</f>
        <v>293030</v>
      </c>
      <c r="I67" s="155"/>
      <c r="J67" s="155">
        <f>J64+J65</f>
        <v>202</v>
      </c>
      <c r="K67" s="155"/>
      <c r="L67" s="155">
        <f>SUM(L64:L66)</f>
        <v>4104</v>
      </c>
      <c r="M67" s="155"/>
      <c r="N67" s="155">
        <f>SUM(N64:N66)</f>
        <v>237</v>
      </c>
      <c r="O67" s="155"/>
      <c r="P67" s="155">
        <f>SUM(P64:P66)</f>
        <v>0</v>
      </c>
      <c r="Q67" s="155"/>
      <c r="R67" s="155">
        <f>SUM(R64:R66)</f>
        <v>288961</v>
      </c>
      <c r="S67" s="116"/>
      <c r="T67" s="2"/>
    </row>
    <row r="68" spans="1:20" ht="15.6" x14ac:dyDescent="0.3">
      <c r="A68" s="12"/>
      <c r="B68" s="43"/>
      <c r="C68" s="153"/>
      <c r="D68" s="153"/>
      <c r="E68" s="153"/>
      <c r="F68" s="153"/>
      <c r="G68" s="153"/>
      <c r="H68" s="153"/>
      <c r="I68" s="153"/>
      <c r="J68" s="153"/>
      <c r="K68" s="153"/>
      <c r="L68" s="153"/>
      <c r="M68" s="153"/>
      <c r="N68" s="153"/>
      <c r="O68" s="153"/>
      <c r="P68" s="153"/>
      <c r="Q68" s="153"/>
      <c r="R68" s="154"/>
      <c r="S68" s="217"/>
      <c r="T68" s="2"/>
    </row>
    <row r="69" spans="1:20" ht="15.6" x14ac:dyDescent="0.3">
      <c r="A69" s="12"/>
      <c r="B69" s="16" t="s">
        <v>18</v>
      </c>
      <c r="C69" s="38"/>
      <c r="D69" s="38"/>
      <c r="E69" s="38"/>
      <c r="F69" s="38"/>
      <c r="G69" s="38"/>
      <c r="H69" s="38"/>
      <c r="I69" s="38"/>
      <c r="J69" s="38"/>
      <c r="K69" s="38"/>
      <c r="L69" s="38"/>
      <c r="M69" s="38"/>
      <c r="N69" s="38"/>
      <c r="O69" s="38"/>
      <c r="P69" s="38"/>
      <c r="Q69" s="38"/>
      <c r="R69" s="39"/>
      <c r="S69" s="217"/>
      <c r="T69" s="2"/>
    </row>
    <row r="70" spans="1:20" ht="15.6" x14ac:dyDescent="0.3">
      <c r="A70" s="12"/>
      <c r="B70" s="14"/>
      <c r="C70" s="38"/>
      <c r="D70" s="38"/>
      <c r="E70" s="38"/>
      <c r="F70" s="38"/>
      <c r="G70" s="38"/>
      <c r="H70" s="38"/>
      <c r="I70" s="38"/>
      <c r="J70" s="38"/>
      <c r="K70" s="38"/>
      <c r="L70" s="38"/>
      <c r="M70" s="38"/>
      <c r="N70" s="38"/>
      <c r="O70" s="38"/>
      <c r="P70" s="38"/>
      <c r="Q70" s="38"/>
      <c r="R70" s="39"/>
      <c r="S70" s="217"/>
      <c r="T70" s="2"/>
    </row>
    <row r="71" spans="1:20" ht="15.6" x14ac:dyDescent="0.3">
      <c r="A71" s="112"/>
      <c r="B71" s="113" t="s">
        <v>15</v>
      </c>
      <c r="C71" s="155"/>
      <c r="D71" s="155"/>
      <c r="E71" s="155"/>
      <c r="F71" s="155"/>
      <c r="G71" s="155"/>
      <c r="H71" s="155"/>
      <c r="I71" s="155"/>
      <c r="J71" s="155"/>
      <c r="K71" s="155"/>
      <c r="L71" s="155"/>
      <c r="M71" s="155"/>
      <c r="N71" s="155"/>
      <c r="O71" s="155"/>
      <c r="P71" s="155"/>
      <c r="Q71" s="155"/>
      <c r="R71" s="155"/>
      <c r="S71" s="116"/>
      <c r="T71" s="2"/>
    </row>
    <row r="72" spans="1:20" ht="15.6" x14ac:dyDescent="0.3">
      <c r="A72" s="112"/>
      <c r="B72" s="113" t="s">
        <v>16</v>
      </c>
      <c r="C72" s="155"/>
      <c r="D72" s="155"/>
      <c r="E72" s="155"/>
      <c r="F72" s="155"/>
      <c r="G72" s="155"/>
      <c r="H72" s="155"/>
      <c r="I72" s="155"/>
      <c r="J72" s="155"/>
      <c r="K72" s="155"/>
      <c r="L72" s="155"/>
      <c r="M72" s="155"/>
      <c r="N72" s="155"/>
      <c r="O72" s="155"/>
      <c r="P72" s="155"/>
      <c r="Q72" s="155"/>
      <c r="R72" s="155"/>
      <c r="S72" s="116"/>
      <c r="T72" s="2"/>
    </row>
    <row r="73" spans="1:20" ht="15.6" x14ac:dyDescent="0.3">
      <c r="A73" s="112"/>
      <c r="B73" s="113"/>
      <c r="C73" s="155"/>
      <c r="D73" s="155"/>
      <c r="E73" s="155"/>
      <c r="F73" s="155"/>
      <c r="G73" s="155"/>
      <c r="H73" s="155"/>
      <c r="I73" s="155"/>
      <c r="J73" s="155"/>
      <c r="K73" s="155"/>
      <c r="L73" s="155"/>
      <c r="M73" s="155"/>
      <c r="N73" s="155"/>
      <c r="O73" s="155"/>
      <c r="P73" s="155"/>
      <c r="Q73" s="155"/>
      <c r="R73" s="155"/>
      <c r="S73" s="116"/>
      <c r="T73" s="2"/>
    </row>
    <row r="74" spans="1:20" ht="15.6" x14ac:dyDescent="0.3">
      <c r="A74" s="112"/>
      <c r="B74" s="113" t="s">
        <v>17</v>
      </c>
      <c r="C74" s="155"/>
      <c r="D74" s="155"/>
      <c r="E74" s="155"/>
      <c r="F74" s="155"/>
      <c r="G74" s="155"/>
      <c r="H74" s="155"/>
      <c r="I74" s="155"/>
      <c r="J74" s="155"/>
      <c r="K74" s="155"/>
      <c r="L74" s="155"/>
      <c r="M74" s="155"/>
      <c r="N74" s="155"/>
      <c r="O74" s="155"/>
      <c r="P74" s="155"/>
      <c r="Q74" s="155"/>
      <c r="R74" s="155"/>
      <c r="S74" s="116"/>
      <c r="T74" s="2"/>
    </row>
    <row r="75" spans="1:20" ht="15.6" x14ac:dyDescent="0.3">
      <c r="A75" s="112"/>
      <c r="B75" s="113"/>
      <c r="C75" s="155"/>
      <c r="D75" s="155"/>
      <c r="E75" s="155"/>
      <c r="F75" s="155"/>
      <c r="G75" s="155"/>
      <c r="H75" s="155"/>
      <c r="I75" s="155"/>
      <c r="J75" s="155"/>
      <c r="K75" s="155"/>
      <c r="L75" s="155"/>
      <c r="M75" s="155"/>
      <c r="N75" s="155"/>
      <c r="O75" s="155"/>
      <c r="P75" s="155"/>
      <c r="Q75" s="155"/>
      <c r="R75" s="155"/>
      <c r="S75" s="116"/>
      <c r="T75" s="2"/>
    </row>
    <row r="76" spans="1:20" ht="15.6" x14ac:dyDescent="0.3">
      <c r="A76" s="112"/>
      <c r="B76" s="113" t="s">
        <v>19</v>
      </c>
      <c r="C76" s="155"/>
      <c r="D76" s="155"/>
      <c r="E76" s="155"/>
      <c r="F76" s="155">
        <v>0</v>
      </c>
      <c r="G76" s="155"/>
      <c r="H76" s="155">
        <v>0</v>
      </c>
      <c r="I76" s="155"/>
      <c r="J76" s="155"/>
      <c r="K76" s="155"/>
      <c r="L76" s="155"/>
      <c r="M76" s="155"/>
      <c r="N76" s="155"/>
      <c r="O76" s="155"/>
      <c r="P76" s="155"/>
      <c r="Q76" s="155"/>
      <c r="R76" s="156">
        <v>0</v>
      </c>
      <c r="S76" s="116"/>
      <c r="T76" s="2"/>
    </row>
    <row r="77" spans="1:20" ht="15.6" x14ac:dyDescent="0.3">
      <c r="A77" s="112"/>
      <c r="B77" s="113" t="s">
        <v>196</v>
      </c>
      <c r="C77" s="155"/>
      <c r="D77" s="155"/>
      <c r="E77" s="155"/>
      <c r="F77" s="155">
        <v>53165</v>
      </c>
      <c r="G77" s="155"/>
      <c r="H77" s="155">
        <v>0</v>
      </c>
      <c r="I77" s="155"/>
      <c r="J77" s="155">
        <v>0</v>
      </c>
      <c r="K77" s="155"/>
      <c r="L77" s="155">
        <v>0</v>
      </c>
      <c r="M77" s="155"/>
      <c r="N77" s="155"/>
      <c r="O77" s="155"/>
      <c r="P77" s="155"/>
      <c r="Q77" s="155"/>
      <c r="R77" s="155">
        <v>0</v>
      </c>
      <c r="S77" s="116"/>
      <c r="T77" s="2"/>
    </row>
    <row r="78" spans="1:20" ht="15.6" x14ac:dyDescent="0.3">
      <c r="A78" s="112"/>
      <c r="B78" s="113" t="s">
        <v>206</v>
      </c>
      <c r="C78" s="155"/>
      <c r="D78" s="155"/>
      <c r="E78" s="155"/>
      <c r="F78" s="155">
        <v>2610</v>
      </c>
      <c r="G78" s="155"/>
      <c r="H78" s="155">
        <v>2574</v>
      </c>
      <c r="I78" s="155"/>
      <c r="J78" s="155"/>
      <c r="K78" s="155"/>
      <c r="L78" s="155"/>
      <c r="M78" s="155"/>
      <c r="N78" s="155">
        <v>-1096</v>
      </c>
      <c r="O78" s="155"/>
      <c r="P78" s="155"/>
      <c r="Q78" s="155"/>
      <c r="R78" s="155">
        <f>H78+N78</f>
        <v>1478</v>
      </c>
      <c r="S78" s="116"/>
      <c r="T78" s="2"/>
    </row>
    <row r="79" spans="1:20" ht="15.6" x14ac:dyDescent="0.3">
      <c r="A79" s="112"/>
      <c r="B79" s="113" t="s">
        <v>20</v>
      </c>
      <c r="C79" s="155"/>
      <c r="D79" s="155"/>
      <c r="E79" s="155"/>
      <c r="F79" s="155">
        <v>0</v>
      </c>
      <c r="G79" s="155"/>
      <c r="H79" s="155">
        <v>0</v>
      </c>
      <c r="I79" s="155"/>
      <c r="J79" s="155"/>
      <c r="K79" s="155"/>
      <c r="L79" s="155"/>
      <c r="M79" s="155"/>
      <c r="N79" s="155"/>
      <c r="O79" s="155"/>
      <c r="P79" s="155"/>
      <c r="Q79" s="155"/>
      <c r="R79" s="155">
        <v>0</v>
      </c>
      <c r="S79" s="116"/>
      <c r="T79" s="2"/>
    </row>
    <row r="80" spans="1:20" ht="15.6" x14ac:dyDescent="0.3">
      <c r="A80" s="112"/>
      <c r="B80" s="113" t="s">
        <v>21</v>
      </c>
      <c r="C80" s="155"/>
      <c r="D80" s="155"/>
      <c r="E80" s="155"/>
      <c r="F80" s="155">
        <f>SUM(F67:F79)</f>
        <v>300009</v>
      </c>
      <c r="G80" s="155"/>
      <c r="H80" s="155">
        <f>SUM(H67:H79)</f>
        <v>295604</v>
      </c>
      <c r="I80" s="155"/>
      <c r="J80" s="155"/>
      <c r="K80" s="155"/>
      <c r="L80" s="155"/>
      <c r="M80" s="155"/>
      <c r="N80" s="155"/>
      <c r="O80" s="155"/>
      <c r="P80" s="155"/>
      <c r="Q80" s="155"/>
      <c r="R80" s="155">
        <f>SUM(R67:R79)</f>
        <v>290439</v>
      </c>
      <c r="S80" s="116"/>
      <c r="T80" s="2"/>
    </row>
    <row r="81" spans="1:20" ht="15.6" x14ac:dyDescent="0.3">
      <c r="A81" s="12"/>
      <c r="B81" s="43"/>
      <c r="C81" s="153"/>
      <c r="D81" s="153"/>
      <c r="E81" s="153"/>
      <c r="F81" s="153"/>
      <c r="G81" s="153"/>
      <c r="H81" s="153"/>
      <c r="I81" s="153"/>
      <c r="J81" s="153"/>
      <c r="K81" s="153"/>
      <c r="L81" s="153"/>
      <c r="M81" s="153"/>
      <c r="N81" s="153"/>
      <c r="O81" s="153"/>
      <c r="P81" s="153"/>
      <c r="Q81" s="153"/>
      <c r="R81" s="154"/>
      <c r="S81" s="217"/>
      <c r="T81" s="2"/>
    </row>
    <row r="82" spans="1:20" ht="15.6" x14ac:dyDescent="0.3">
      <c r="A82" s="12"/>
      <c r="B82" s="14"/>
      <c r="C82" s="14"/>
      <c r="D82" s="14"/>
      <c r="E82" s="14"/>
      <c r="F82" s="14"/>
      <c r="G82" s="14"/>
      <c r="H82" s="14"/>
      <c r="I82" s="14"/>
      <c r="J82" s="14"/>
      <c r="K82" s="14"/>
      <c r="L82" s="14"/>
      <c r="M82" s="14"/>
      <c r="N82" s="14"/>
      <c r="O82" s="14"/>
      <c r="P82" s="14"/>
      <c r="Q82" s="14"/>
      <c r="R82" s="14"/>
      <c r="S82" s="217"/>
      <c r="T82" s="2"/>
    </row>
    <row r="83" spans="1:20" ht="15.6" x14ac:dyDescent="0.3">
      <c r="A83" s="53"/>
      <c r="B83" s="61" t="s">
        <v>22</v>
      </c>
      <c r="C83" s="61"/>
      <c r="D83" s="62"/>
      <c r="E83" s="62"/>
      <c r="F83" s="62"/>
      <c r="G83" s="62"/>
      <c r="H83" s="63" t="s">
        <v>77</v>
      </c>
      <c r="I83" s="62"/>
      <c r="J83" s="64">
        <f>+P205</f>
        <v>42338</v>
      </c>
      <c r="K83" s="62"/>
      <c r="L83" s="62"/>
      <c r="M83" s="62"/>
      <c r="N83" s="62"/>
      <c r="O83" s="62"/>
      <c r="P83" s="62" t="s">
        <v>87</v>
      </c>
      <c r="Q83" s="62"/>
      <c r="R83" s="62" t="s">
        <v>93</v>
      </c>
      <c r="S83" s="219"/>
      <c r="T83" s="2"/>
    </row>
    <row r="84" spans="1:20" ht="15.6" x14ac:dyDescent="0.3">
      <c r="A84" s="77"/>
      <c r="B84" s="79" t="s">
        <v>23</v>
      </c>
      <c r="C84" s="25"/>
      <c r="D84" s="25"/>
      <c r="E84" s="25"/>
      <c r="F84" s="25"/>
      <c r="G84" s="25"/>
      <c r="H84" s="25"/>
      <c r="I84" s="25"/>
      <c r="J84" s="25"/>
      <c r="K84" s="25"/>
      <c r="L84" s="25"/>
      <c r="M84" s="25"/>
      <c r="N84" s="25"/>
      <c r="O84" s="25"/>
      <c r="P84" s="78">
        <v>0</v>
      </c>
      <c r="Q84" s="79"/>
      <c r="R84" s="82">
        <v>0</v>
      </c>
      <c r="S84" s="222"/>
      <c r="T84" s="2"/>
    </row>
    <row r="85" spans="1:20" ht="15.6" x14ac:dyDescent="0.3">
      <c r="A85" s="122"/>
      <c r="B85" s="113" t="s">
        <v>218</v>
      </c>
      <c r="C85" s="135"/>
      <c r="D85" s="157"/>
      <c r="E85" s="157"/>
      <c r="F85" s="157"/>
      <c r="G85" s="158"/>
      <c r="H85" s="157"/>
      <c r="I85" s="135"/>
      <c r="J85" s="159"/>
      <c r="K85" s="135"/>
      <c r="L85" s="135"/>
      <c r="M85" s="135"/>
      <c r="N85" s="135"/>
      <c r="O85" s="135"/>
      <c r="P85" s="155">
        <f>-N78</f>
        <v>1096</v>
      </c>
      <c r="Q85" s="113"/>
      <c r="R85" s="156"/>
      <c r="S85" s="139"/>
      <c r="T85" s="2"/>
    </row>
    <row r="86" spans="1:20" ht="15.6" x14ac:dyDescent="0.3">
      <c r="A86" s="122"/>
      <c r="B86" s="113" t="s">
        <v>219</v>
      </c>
      <c r="C86" s="135"/>
      <c r="D86" s="157"/>
      <c r="E86" s="157"/>
      <c r="F86" s="157"/>
      <c r="G86" s="158"/>
      <c r="H86" s="157"/>
      <c r="I86" s="135"/>
      <c r="J86" s="159"/>
      <c r="K86" s="135"/>
      <c r="L86" s="135"/>
      <c r="M86" s="135"/>
      <c r="N86" s="135"/>
      <c r="O86" s="135"/>
      <c r="P86" s="155">
        <v>-151</v>
      </c>
      <c r="Q86" s="113"/>
      <c r="R86" s="156"/>
      <c r="S86" s="139"/>
      <c r="T86" s="2"/>
    </row>
    <row r="87" spans="1:20" ht="15.6" x14ac:dyDescent="0.3">
      <c r="A87" s="122"/>
      <c r="B87" s="113" t="s">
        <v>24</v>
      </c>
      <c r="C87" s="135"/>
      <c r="D87" s="157"/>
      <c r="E87" s="157"/>
      <c r="F87" s="157"/>
      <c r="G87" s="158"/>
      <c r="H87" s="157"/>
      <c r="I87" s="135"/>
      <c r="J87" s="159"/>
      <c r="K87" s="135"/>
      <c r="L87" s="135"/>
      <c r="M87" s="135"/>
      <c r="N87" s="135"/>
      <c r="O87" s="135"/>
      <c r="P87" s="155">
        <f>+J64+L64</f>
        <v>4306</v>
      </c>
      <c r="Q87" s="113"/>
      <c r="R87" s="156"/>
      <c r="S87" s="139"/>
      <c r="T87" s="2"/>
    </row>
    <row r="88" spans="1:20" ht="15.6" x14ac:dyDescent="0.3">
      <c r="A88" s="122"/>
      <c r="B88" s="113" t="s">
        <v>135</v>
      </c>
      <c r="C88" s="135"/>
      <c r="D88" s="157"/>
      <c r="E88" s="157"/>
      <c r="F88" s="157"/>
      <c r="G88" s="158"/>
      <c r="H88" s="157"/>
      <c r="I88" s="135"/>
      <c r="J88" s="159"/>
      <c r="K88" s="135"/>
      <c r="L88" s="135"/>
      <c r="M88" s="135"/>
      <c r="N88" s="135"/>
      <c r="O88" s="135"/>
      <c r="P88" s="155"/>
      <c r="Q88" s="113"/>
      <c r="R88" s="156">
        <f>3140-203</f>
        <v>2937</v>
      </c>
      <c r="S88" s="139"/>
      <c r="T88" s="2"/>
    </row>
    <row r="89" spans="1:20" ht="15.6" x14ac:dyDescent="0.3">
      <c r="A89" s="122"/>
      <c r="B89" s="113" t="s">
        <v>133</v>
      </c>
      <c r="C89" s="135"/>
      <c r="D89" s="157"/>
      <c r="E89" s="157"/>
      <c r="F89" s="157"/>
      <c r="G89" s="158"/>
      <c r="H89" s="157"/>
      <c r="I89" s="135"/>
      <c r="J89" s="159"/>
      <c r="K89" s="135"/>
      <c r="L89" s="135"/>
      <c r="M89" s="135"/>
      <c r="N89" s="135"/>
      <c r="O89" s="135"/>
      <c r="P89" s="155"/>
      <c r="Q89" s="113"/>
      <c r="R89" s="156">
        <v>92</v>
      </c>
      <c r="S89" s="139"/>
      <c r="T89" s="2"/>
    </row>
    <row r="90" spans="1:20" ht="15.6" x14ac:dyDescent="0.3">
      <c r="A90" s="122"/>
      <c r="B90" s="113" t="s">
        <v>134</v>
      </c>
      <c r="C90" s="135"/>
      <c r="D90" s="157"/>
      <c r="E90" s="157"/>
      <c r="F90" s="157"/>
      <c r="G90" s="158"/>
      <c r="H90" s="157"/>
      <c r="I90" s="135"/>
      <c r="J90" s="159"/>
      <c r="K90" s="135"/>
      <c r="L90" s="135"/>
      <c r="M90" s="135"/>
      <c r="N90" s="135"/>
      <c r="O90" s="135"/>
      <c r="P90" s="155"/>
      <c r="Q90" s="113"/>
      <c r="R90" s="156">
        <v>15</v>
      </c>
      <c r="S90" s="139"/>
      <c r="T90" s="2"/>
    </row>
    <row r="91" spans="1:20" ht="15.6" x14ac:dyDescent="0.3">
      <c r="A91" s="122"/>
      <c r="B91" s="113" t="s">
        <v>143</v>
      </c>
      <c r="C91" s="135"/>
      <c r="D91" s="157"/>
      <c r="E91" s="157"/>
      <c r="F91" s="157"/>
      <c r="G91" s="158"/>
      <c r="H91" s="157"/>
      <c r="I91" s="135"/>
      <c r="J91" s="159"/>
      <c r="K91" s="135"/>
      <c r="L91" s="135"/>
      <c r="M91" s="135"/>
      <c r="N91" s="135"/>
      <c r="O91" s="135"/>
      <c r="P91" s="155"/>
      <c r="Q91" s="113"/>
      <c r="R91" s="156">
        <v>0</v>
      </c>
      <c r="S91" s="139"/>
      <c r="T91" s="2"/>
    </row>
    <row r="92" spans="1:20" ht="15.6" x14ac:dyDescent="0.3">
      <c r="A92" s="122"/>
      <c r="B92" s="113" t="s">
        <v>145</v>
      </c>
      <c r="C92" s="135"/>
      <c r="D92" s="157"/>
      <c r="E92" s="157"/>
      <c r="F92" s="157"/>
      <c r="G92" s="158"/>
      <c r="H92" s="157"/>
      <c r="I92" s="135"/>
      <c r="J92" s="159"/>
      <c r="K92" s="135"/>
      <c r="L92" s="135"/>
      <c r="M92" s="135"/>
      <c r="N92" s="135"/>
      <c r="O92" s="135"/>
      <c r="P92" s="155"/>
      <c r="Q92" s="113"/>
      <c r="R92" s="156">
        <v>23</v>
      </c>
      <c r="S92" s="139"/>
      <c r="T92" s="2"/>
    </row>
    <row r="93" spans="1:20" ht="15.6" x14ac:dyDescent="0.3">
      <c r="A93" s="122"/>
      <c r="B93" s="113" t="s">
        <v>164</v>
      </c>
      <c r="C93" s="135"/>
      <c r="D93" s="157"/>
      <c r="E93" s="157"/>
      <c r="F93" s="157"/>
      <c r="G93" s="158"/>
      <c r="H93" s="157"/>
      <c r="I93" s="135"/>
      <c r="J93" s="159"/>
      <c r="K93" s="135"/>
      <c r="L93" s="135"/>
      <c r="M93" s="135"/>
      <c r="N93" s="135"/>
      <c r="O93" s="135"/>
      <c r="P93" s="155"/>
      <c r="Q93" s="113"/>
      <c r="R93" s="156">
        <v>0</v>
      </c>
      <c r="S93" s="139"/>
      <c r="T93" s="2"/>
    </row>
    <row r="94" spans="1:20" ht="15.6" x14ac:dyDescent="0.3">
      <c r="A94" s="122"/>
      <c r="B94" s="113" t="s">
        <v>165</v>
      </c>
      <c r="C94" s="135"/>
      <c r="D94" s="157"/>
      <c r="E94" s="157"/>
      <c r="F94" s="157"/>
      <c r="G94" s="158"/>
      <c r="H94" s="157"/>
      <c r="I94" s="135"/>
      <c r="J94" s="159"/>
      <c r="K94" s="135"/>
      <c r="L94" s="135"/>
      <c r="M94" s="135"/>
      <c r="N94" s="135"/>
      <c r="O94" s="135"/>
      <c r="P94" s="155"/>
      <c r="Q94" s="113"/>
      <c r="R94" s="156">
        <v>0</v>
      </c>
      <c r="S94" s="139"/>
      <c r="T94" s="2"/>
    </row>
    <row r="95" spans="1:20" ht="15.6" x14ac:dyDescent="0.3">
      <c r="A95" s="122"/>
      <c r="B95" s="113" t="s">
        <v>166</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c r="B96" s="113" t="s">
        <v>264</v>
      </c>
      <c r="C96" s="135"/>
      <c r="D96" s="135"/>
      <c r="E96" s="135"/>
      <c r="F96" s="135"/>
      <c r="G96" s="135"/>
      <c r="H96" s="135"/>
      <c r="I96" s="135"/>
      <c r="J96" s="135"/>
      <c r="K96" s="135"/>
      <c r="L96" s="135"/>
      <c r="M96" s="135"/>
      <c r="N96" s="135"/>
      <c r="O96" s="135"/>
      <c r="P96" s="155"/>
      <c r="Q96" s="113"/>
      <c r="R96" s="156">
        <v>552</v>
      </c>
      <c r="S96" s="139"/>
      <c r="T96" s="2"/>
    </row>
    <row r="97" spans="1:21" ht="15.6" x14ac:dyDescent="0.3">
      <c r="A97" s="122"/>
      <c r="B97" s="113" t="s">
        <v>25</v>
      </c>
      <c r="C97" s="135"/>
      <c r="D97" s="135"/>
      <c r="E97" s="135"/>
      <c r="F97" s="135"/>
      <c r="G97" s="135"/>
      <c r="H97" s="135"/>
      <c r="I97" s="135"/>
      <c r="J97" s="135"/>
      <c r="K97" s="135"/>
      <c r="L97" s="135"/>
      <c r="M97" s="135"/>
      <c r="N97" s="135"/>
      <c r="O97" s="135"/>
      <c r="P97" s="155">
        <f>SUM(P84:P96)</f>
        <v>5251</v>
      </c>
      <c r="Q97" s="113"/>
      <c r="R97" s="155">
        <f>SUM(R84:R96)</f>
        <v>3619</v>
      </c>
      <c r="S97" s="139"/>
      <c r="T97" s="2"/>
    </row>
    <row r="98" spans="1:21" ht="15.6" x14ac:dyDescent="0.3">
      <c r="A98" s="122"/>
      <c r="B98" s="113" t="s">
        <v>26</v>
      </c>
      <c r="C98" s="135"/>
      <c r="D98" s="135"/>
      <c r="E98" s="135"/>
      <c r="F98" s="135"/>
      <c r="G98" s="135"/>
      <c r="H98" s="135"/>
      <c r="I98" s="135"/>
      <c r="J98" s="135"/>
      <c r="K98" s="135"/>
      <c r="L98" s="135"/>
      <c r="M98" s="135"/>
      <c r="N98" s="135"/>
      <c r="O98" s="135"/>
      <c r="P98" s="155">
        <f>-R98</f>
        <v>0</v>
      </c>
      <c r="Q98" s="113"/>
      <c r="R98" s="156">
        <v>0</v>
      </c>
      <c r="S98" s="139"/>
      <c r="T98" s="2"/>
    </row>
    <row r="99" spans="1:21" ht="15.6" x14ac:dyDescent="0.3">
      <c r="A99" s="122"/>
      <c r="B99" s="113" t="s">
        <v>150</v>
      </c>
      <c r="C99" s="135"/>
      <c r="D99" s="135"/>
      <c r="E99" s="135"/>
      <c r="F99" s="135"/>
      <c r="G99" s="135"/>
      <c r="H99" s="135"/>
      <c r="I99" s="135"/>
      <c r="J99" s="135"/>
      <c r="K99" s="135"/>
      <c r="L99" s="135"/>
      <c r="M99" s="135"/>
      <c r="N99" s="135"/>
      <c r="O99" s="135"/>
      <c r="P99" s="155"/>
      <c r="Q99" s="113"/>
      <c r="R99" s="156">
        <v>0</v>
      </c>
      <c r="S99" s="139"/>
      <c r="T99" s="2"/>
    </row>
    <row r="100" spans="1:21" ht="15.6" x14ac:dyDescent="0.3">
      <c r="A100" s="122"/>
      <c r="B100" s="113" t="s">
        <v>27</v>
      </c>
      <c r="C100" s="135"/>
      <c r="D100" s="135"/>
      <c r="E100" s="135"/>
      <c r="F100" s="135"/>
      <c r="G100" s="135"/>
      <c r="H100" s="135"/>
      <c r="I100" s="135"/>
      <c r="J100" s="135"/>
      <c r="K100" s="135"/>
      <c r="L100" s="135"/>
      <c r="M100" s="135"/>
      <c r="N100" s="135"/>
      <c r="O100" s="135"/>
      <c r="P100" s="155">
        <f>P97+P98</f>
        <v>5251</v>
      </c>
      <c r="Q100" s="113"/>
      <c r="R100" s="155">
        <f>R97+R98+R99</f>
        <v>3619</v>
      </c>
      <c r="S100" s="139"/>
      <c r="T100" s="2"/>
    </row>
    <row r="101" spans="1:21" ht="15.6" x14ac:dyDescent="0.3">
      <c r="A101" s="112"/>
      <c r="B101" s="160" t="s">
        <v>28</v>
      </c>
      <c r="C101" s="135"/>
      <c r="D101" s="135"/>
      <c r="E101" s="135"/>
      <c r="F101" s="135"/>
      <c r="G101" s="135"/>
      <c r="H101" s="135"/>
      <c r="I101" s="135"/>
      <c r="J101" s="135"/>
      <c r="K101" s="135"/>
      <c r="L101" s="135"/>
      <c r="M101" s="135"/>
      <c r="N101" s="135"/>
      <c r="O101" s="135"/>
      <c r="P101" s="155"/>
      <c r="Q101" s="113"/>
      <c r="R101" s="156"/>
      <c r="S101" s="139"/>
      <c r="T101" s="2"/>
    </row>
    <row r="102" spans="1:21" ht="15.6" x14ac:dyDescent="0.3">
      <c r="A102" s="122">
        <v>1</v>
      </c>
      <c r="B102" s="113" t="s">
        <v>175</v>
      </c>
      <c r="C102" s="135"/>
      <c r="D102" s="135"/>
      <c r="E102" s="135"/>
      <c r="F102" s="135"/>
      <c r="G102" s="135"/>
      <c r="H102" s="135"/>
      <c r="I102" s="135"/>
      <c r="J102" s="135"/>
      <c r="K102" s="135"/>
      <c r="L102" s="135"/>
      <c r="M102" s="135"/>
      <c r="N102" s="135"/>
      <c r="O102" s="135"/>
      <c r="P102" s="155"/>
      <c r="Q102" s="113"/>
      <c r="R102" s="156">
        <v>0</v>
      </c>
      <c r="S102" s="139"/>
      <c r="T102" s="2"/>
    </row>
    <row r="103" spans="1:21" ht="15.6" x14ac:dyDescent="0.3">
      <c r="A103" s="122">
        <v>2</v>
      </c>
      <c r="B103" s="113" t="s">
        <v>195</v>
      </c>
      <c r="C103" s="113"/>
      <c r="D103" s="135"/>
      <c r="E103" s="135"/>
      <c r="F103" s="135"/>
      <c r="G103" s="135"/>
      <c r="H103" s="135"/>
      <c r="I103" s="135"/>
      <c r="J103" s="135"/>
      <c r="K103" s="135"/>
      <c r="L103" s="135"/>
      <c r="M103" s="135"/>
      <c r="N103" s="135"/>
      <c r="O103" s="135"/>
      <c r="P103" s="113"/>
      <c r="Q103" s="113"/>
      <c r="R103" s="156">
        <v>-3</v>
      </c>
      <c r="S103" s="139"/>
      <c r="T103" s="2"/>
    </row>
    <row r="104" spans="1:21" ht="15.6" x14ac:dyDescent="0.3">
      <c r="A104" s="122">
        <v>3</v>
      </c>
      <c r="B104" s="113" t="s">
        <v>265</v>
      </c>
      <c r="C104" s="113"/>
      <c r="D104" s="135"/>
      <c r="E104" s="135"/>
      <c r="F104" s="135"/>
      <c r="G104" s="135"/>
      <c r="H104" s="135"/>
      <c r="I104" s="135"/>
      <c r="J104" s="135"/>
      <c r="K104" s="135"/>
      <c r="L104" s="135"/>
      <c r="M104" s="135"/>
      <c r="N104" s="135"/>
      <c r="O104" s="135"/>
      <c r="P104" s="113"/>
      <c r="Q104" s="113"/>
      <c r="R104" s="156">
        <f>-110-2-3</f>
        <v>-115</v>
      </c>
      <c r="S104" s="139"/>
      <c r="T104" s="2"/>
    </row>
    <row r="105" spans="1:21" ht="15.6" x14ac:dyDescent="0.3">
      <c r="A105" s="122">
        <v>4</v>
      </c>
      <c r="B105" s="113" t="s">
        <v>96</v>
      </c>
      <c r="C105" s="113"/>
      <c r="D105" s="135"/>
      <c r="E105" s="135"/>
      <c r="F105" s="135"/>
      <c r="G105" s="135"/>
      <c r="H105" s="135"/>
      <c r="I105" s="135"/>
      <c r="J105" s="135"/>
      <c r="K105" s="135"/>
      <c r="L105" s="135"/>
      <c r="M105" s="135"/>
      <c r="N105" s="135"/>
      <c r="O105" s="135"/>
      <c r="P105" s="113"/>
      <c r="Q105" s="113"/>
      <c r="R105" s="156">
        <v>-286</v>
      </c>
      <c r="S105" s="139"/>
      <c r="T105" s="2"/>
    </row>
    <row r="106" spans="1:21" ht="15.6" x14ac:dyDescent="0.3">
      <c r="A106" s="122" t="s">
        <v>274</v>
      </c>
      <c r="B106" s="113" t="s">
        <v>272</v>
      </c>
      <c r="C106" s="113"/>
      <c r="D106" s="135"/>
      <c r="E106" s="135"/>
      <c r="F106" s="135"/>
      <c r="G106" s="135"/>
      <c r="H106" s="135"/>
      <c r="I106" s="135"/>
      <c r="J106" s="135"/>
      <c r="K106" s="135"/>
      <c r="L106" s="135"/>
      <c r="M106" s="135"/>
      <c r="N106" s="135"/>
      <c r="O106" s="135"/>
      <c r="P106" s="113"/>
      <c r="Q106" s="113"/>
      <c r="R106" s="156">
        <v>-466</v>
      </c>
      <c r="S106" s="139"/>
      <c r="T106" s="2"/>
      <c r="U106" s="4"/>
    </row>
    <row r="107" spans="1:21" ht="15.6" x14ac:dyDescent="0.3">
      <c r="A107" s="122" t="s">
        <v>275</v>
      </c>
      <c r="B107" s="113" t="s">
        <v>266</v>
      </c>
      <c r="C107" s="113"/>
      <c r="D107" s="135"/>
      <c r="E107" s="135"/>
      <c r="F107" s="135"/>
      <c r="G107" s="135"/>
      <c r="H107" s="135"/>
      <c r="I107" s="135"/>
      <c r="J107" s="135"/>
      <c r="K107" s="135"/>
      <c r="L107" s="135"/>
      <c r="M107" s="135"/>
      <c r="N107" s="135"/>
      <c r="O107" s="135"/>
      <c r="P107" s="113"/>
      <c r="Q107" s="113"/>
      <c r="R107" s="156">
        <v>-516</v>
      </c>
      <c r="S107" s="139"/>
      <c r="T107" s="2"/>
      <c r="U107" s="4"/>
    </row>
    <row r="108" spans="1:21" ht="15.6" x14ac:dyDescent="0.3">
      <c r="A108" s="122">
        <v>6</v>
      </c>
      <c r="B108" s="113" t="s">
        <v>189</v>
      </c>
      <c r="C108" s="113"/>
      <c r="D108" s="135"/>
      <c r="E108" s="135"/>
      <c r="F108" s="135"/>
      <c r="G108" s="135"/>
      <c r="H108" s="135"/>
      <c r="I108" s="135"/>
      <c r="J108" s="135"/>
      <c r="K108" s="135"/>
      <c r="L108" s="135"/>
      <c r="M108" s="135"/>
      <c r="N108" s="135"/>
      <c r="O108" s="135"/>
      <c r="P108" s="113"/>
      <c r="Q108" s="113"/>
      <c r="R108" s="156">
        <v>-58</v>
      </c>
      <c r="S108" s="139"/>
      <c r="T108" s="2"/>
      <c r="U108" s="4"/>
    </row>
    <row r="109" spans="1:21" ht="15.6" x14ac:dyDescent="0.3">
      <c r="A109" s="122">
        <v>7</v>
      </c>
      <c r="B109" s="113" t="s">
        <v>190</v>
      </c>
      <c r="C109" s="113"/>
      <c r="D109" s="135"/>
      <c r="E109" s="135"/>
      <c r="F109" s="135"/>
      <c r="G109" s="135"/>
      <c r="H109" s="135"/>
      <c r="I109" s="135"/>
      <c r="J109" s="135"/>
      <c r="K109" s="135"/>
      <c r="L109" s="135"/>
      <c r="M109" s="135"/>
      <c r="N109" s="135"/>
      <c r="O109" s="135"/>
      <c r="P109" s="113"/>
      <c r="Q109" s="113"/>
      <c r="R109" s="156">
        <v>-67</v>
      </c>
      <c r="S109" s="139"/>
      <c r="T109" s="2"/>
      <c r="U109" s="4"/>
    </row>
    <row r="110" spans="1:21" ht="15.6" x14ac:dyDescent="0.3">
      <c r="A110" s="122">
        <v>8</v>
      </c>
      <c r="B110" s="113" t="s">
        <v>156</v>
      </c>
      <c r="C110" s="113"/>
      <c r="D110" s="135"/>
      <c r="E110" s="135"/>
      <c r="F110" s="135"/>
      <c r="G110" s="135"/>
      <c r="H110" s="135"/>
      <c r="I110" s="135"/>
      <c r="J110" s="135"/>
      <c r="K110" s="135"/>
      <c r="L110" s="135"/>
      <c r="M110" s="135"/>
      <c r="N110" s="135"/>
      <c r="O110" s="135"/>
      <c r="P110" s="113"/>
      <c r="Q110" s="113"/>
      <c r="R110" s="156">
        <v>-1</v>
      </c>
      <c r="S110" s="139"/>
      <c r="T110" s="2"/>
      <c r="U110" s="4"/>
    </row>
    <row r="111" spans="1:21" ht="15.6" x14ac:dyDescent="0.3">
      <c r="A111" s="122">
        <v>9</v>
      </c>
      <c r="B111" s="113" t="s">
        <v>37</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22">
        <v>10</v>
      </c>
      <c r="B112" s="113" t="s">
        <v>101</v>
      </c>
      <c r="C112" s="113"/>
      <c r="D112" s="135"/>
      <c r="E112" s="135"/>
      <c r="F112" s="135"/>
      <c r="G112" s="135"/>
      <c r="H112" s="135"/>
      <c r="I112" s="135"/>
      <c r="J112" s="135"/>
      <c r="K112" s="135"/>
      <c r="L112" s="135"/>
      <c r="M112" s="135"/>
      <c r="N112" s="135"/>
      <c r="O112" s="135"/>
      <c r="P112" s="113"/>
      <c r="Q112" s="113"/>
      <c r="R112" s="156">
        <v>0</v>
      </c>
      <c r="S112" s="139"/>
      <c r="T112" s="2"/>
    </row>
    <row r="113" spans="1:20" ht="15.6" x14ac:dyDescent="0.3">
      <c r="A113" s="122">
        <v>11</v>
      </c>
      <c r="B113" s="113" t="s">
        <v>29</v>
      </c>
      <c r="C113" s="113"/>
      <c r="D113" s="135"/>
      <c r="E113" s="135"/>
      <c r="F113" s="135"/>
      <c r="G113" s="135"/>
      <c r="H113" s="135"/>
      <c r="I113" s="135"/>
      <c r="J113" s="135"/>
      <c r="K113" s="135"/>
      <c r="L113" s="135"/>
      <c r="M113" s="135"/>
      <c r="N113" s="135"/>
      <c r="O113" s="135"/>
      <c r="P113" s="113"/>
      <c r="Q113" s="113"/>
      <c r="R113" s="156">
        <v>-20</v>
      </c>
      <c r="S113" s="139"/>
      <c r="T113" s="2"/>
    </row>
    <row r="114" spans="1:20" ht="15.6" x14ac:dyDescent="0.3">
      <c r="A114" s="122">
        <v>12</v>
      </c>
      <c r="B114" s="113" t="s">
        <v>138</v>
      </c>
      <c r="C114" s="113"/>
      <c r="D114" s="135"/>
      <c r="E114" s="135"/>
      <c r="F114" s="135"/>
      <c r="G114" s="135"/>
      <c r="H114" s="135"/>
      <c r="I114" s="135"/>
      <c r="J114" s="135"/>
      <c r="K114" s="135"/>
      <c r="L114" s="135"/>
      <c r="M114" s="135"/>
      <c r="N114" s="135"/>
      <c r="O114" s="135"/>
      <c r="P114" s="113"/>
      <c r="Q114" s="113"/>
      <c r="R114" s="156">
        <v>0</v>
      </c>
      <c r="S114" s="139"/>
      <c r="T114" s="2"/>
    </row>
    <row r="115" spans="1:20" ht="15.6" x14ac:dyDescent="0.3">
      <c r="A115" s="122">
        <v>13</v>
      </c>
      <c r="B115" s="113" t="s">
        <v>267</v>
      </c>
      <c r="C115" s="113"/>
      <c r="D115" s="135"/>
      <c r="E115" s="135"/>
      <c r="F115" s="135"/>
      <c r="G115" s="135"/>
      <c r="H115" s="135"/>
      <c r="I115" s="135"/>
      <c r="J115" s="135"/>
      <c r="K115" s="135"/>
      <c r="L115" s="135"/>
      <c r="M115" s="135"/>
      <c r="N115" s="135"/>
      <c r="O115" s="135"/>
      <c r="P115" s="113"/>
      <c r="Q115" s="113"/>
      <c r="R115" s="156">
        <v>-48</v>
      </c>
      <c r="S115" s="139"/>
      <c r="T115" s="2"/>
    </row>
    <row r="116" spans="1:20" ht="15.6" x14ac:dyDescent="0.3">
      <c r="A116" s="122">
        <v>14</v>
      </c>
      <c r="B116" s="113" t="s">
        <v>157</v>
      </c>
      <c r="C116" s="113"/>
      <c r="D116" s="135"/>
      <c r="E116" s="135"/>
      <c r="F116" s="135"/>
      <c r="G116" s="135"/>
      <c r="H116" s="135"/>
      <c r="I116" s="135"/>
      <c r="J116" s="135"/>
      <c r="K116" s="135"/>
      <c r="L116" s="135"/>
      <c r="M116" s="135"/>
      <c r="N116" s="135"/>
      <c r="O116" s="135"/>
      <c r="P116" s="113"/>
      <c r="Q116" s="113"/>
      <c r="R116" s="156">
        <v>0</v>
      </c>
      <c r="S116" s="139"/>
      <c r="T116" s="2"/>
    </row>
    <row r="117" spans="1:20" ht="15.6" x14ac:dyDescent="0.3">
      <c r="A117" s="122">
        <v>15</v>
      </c>
      <c r="B117" s="113" t="s">
        <v>207</v>
      </c>
      <c r="C117" s="113"/>
      <c r="D117" s="135"/>
      <c r="E117" s="135"/>
      <c r="F117" s="135"/>
      <c r="G117" s="135"/>
      <c r="H117" s="135"/>
      <c r="I117" s="135"/>
      <c r="J117" s="135"/>
      <c r="K117" s="135"/>
      <c r="L117" s="135"/>
      <c r="M117" s="135"/>
      <c r="N117" s="135"/>
      <c r="O117" s="135"/>
      <c r="P117" s="113"/>
      <c r="Q117" s="113"/>
      <c r="R117" s="156">
        <v>-109</v>
      </c>
      <c r="S117" s="139"/>
      <c r="T117" s="2"/>
    </row>
    <row r="118" spans="1:20" ht="15.6" x14ac:dyDescent="0.3">
      <c r="A118" s="122">
        <v>16</v>
      </c>
      <c r="B118" s="113" t="s">
        <v>167</v>
      </c>
      <c r="C118" s="113"/>
      <c r="D118" s="135"/>
      <c r="E118" s="135"/>
      <c r="F118" s="135"/>
      <c r="G118" s="135"/>
      <c r="H118" s="135"/>
      <c r="I118" s="135"/>
      <c r="J118" s="135"/>
      <c r="K118" s="135"/>
      <c r="L118" s="135"/>
      <c r="M118" s="135"/>
      <c r="N118" s="135"/>
      <c r="O118" s="135"/>
      <c r="P118" s="113"/>
      <c r="Q118" s="113"/>
      <c r="R118" s="156">
        <f>-31-176</f>
        <v>-207</v>
      </c>
      <c r="S118" s="139"/>
      <c r="T118" s="2"/>
    </row>
    <row r="119" spans="1:20" ht="15.6" x14ac:dyDescent="0.3">
      <c r="A119" s="122">
        <v>17</v>
      </c>
      <c r="B119" s="113" t="s">
        <v>268</v>
      </c>
      <c r="C119" s="113"/>
      <c r="D119" s="135"/>
      <c r="E119" s="135"/>
      <c r="F119" s="135"/>
      <c r="G119" s="135"/>
      <c r="H119" s="135"/>
      <c r="I119" s="135"/>
      <c r="J119" s="135"/>
      <c r="K119" s="135"/>
      <c r="L119" s="135"/>
      <c r="M119" s="135"/>
      <c r="N119" s="135"/>
      <c r="O119" s="135"/>
      <c r="P119" s="113"/>
      <c r="Q119" s="113"/>
      <c r="R119" s="156">
        <f>-R100-SUM(R102:R118)</f>
        <v>-1723</v>
      </c>
      <c r="S119" s="139"/>
      <c r="T119" s="2"/>
    </row>
    <row r="120" spans="1:20" ht="15.6" x14ac:dyDescent="0.3">
      <c r="A120" s="112"/>
      <c r="B120" s="160" t="s">
        <v>30</v>
      </c>
      <c r="C120" s="135"/>
      <c r="D120" s="135"/>
      <c r="E120" s="135"/>
      <c r="F120" s="135"/>
      <c r="G120" s="135"/>
      <c r="H120" s="135"/>
      <c r="I120" s="135"/>
      <c r="J120" s="135"/>
      <c r="K120" s="135"/>
      <c r="L120" s="135"/>
      <c r="M120" s="135"/>
      <c r="N120" s="135"/>
      <c r="O120" s="135"/>
      <c r="P120" s="113"/>
      <c r="Q120" s="113"/>
      <c r="R120" s="161"/>
      <c r="S120" s="139"/>
      <c r="T120" s="2"/>
    </row>
    <row r="121" spans="1:20" ht="15.6" x14ac:dyDescent="0.3">
      <c r="A121" s="112"/>
      <c r="B121" s="113" t="s">
        <v>208</v>
      </c>
      <c r="C121" s="135"/>
      <c r="D121" s="135"/>
      <c r="E121" s="135"/>
      <c r="F121" s="135"/>
      <c r="G121" s="135"/>
      <c r="H121" s="135"/>
      <c r="I121" s="135"/>
      <c r="J121" s="135"/>
      <c r="K121" s="135"/>
      <c r="L121" s="135"/>
      <c r="M121" s="135"/>
      <c r="N121" s="135"/>
      <c r="O121" s="135"/>
      <c r="P121" s="155">
        <f>-P187</f>
        <v>-86</v>
      </c>
      <c r="Q121" s="155"/>
      <c r="R121" s="156"/>
      <c r="S121" s="139"/>
      <c r="T121" s="2"/>
    </row>
    <row r="122" spans="1:20" ht="15.6" x14ac:dyDescent="0.3">
      <c r="A122" s="112"/>
      <c r="B122" s="113" t="s">
        <v>209</v>
      </c>
      <c r="C122" s="135"/>
      <c r="D122" s="135"/>
      <c r="E122" s="135"/>
      <c r="F122" s="135"/>
      <c r="G122" s="135"/>
      <c r="H122" s="135"/>
      <c r="I122" s="135"/>
      <c r="J122" s="135"/>
      <c r="K122" s="135"/>
      <c r="L122" s="135"/>
      <c r="M122" s="135"/>
      <c r="N122" s="135"/>
      <c r="O122" s="135"/>
      <c r="P122" s="155">
        <v>0</v>
      </c>
      <c r="Q122" s="155"/>
      <c r="R122" s="156"/>
      <c r="S122" s="139"/>
      <c r="T122" s="2"/>
    </row>
    <row r="123" spans="1:20" ht="15.6" x14ac:dyDescent="0.3">
      <c r="A123" s="112"/>
      <c r="B123" s="113" t="s">
        <v>270</v>
      </c>
      <c r="C123" s="135"/>
      <c r="D123" s="135"/>
      <c r="E123" s="135"/>
      <c r="F123" s="135"/>
      <c r="G123" s="135"/>
      <c r="H123" s="135"/>
      <c r="I123" s="135"/>
      <c r="J123" s="135"/>
      <c r="K123" s="135"/>
      <c r="L123" s="135"/>
      <c r="M123" s="135"/>
      <c r="N123" s="135"/>
      <c r="O123" s="135"/>
      <c r="P123" s="155">
        <v>-2247</v>
      </c>
      <c r="Q123" s="155"/>
      <c r="R123" s="156"/>
      <c r="S123" s="139"/>
      <c r="T123" s="2"/>
    </row>
    <row r="124" spans="1:20" ht="15.6" x14ac:dyDescent="0.3">
      <c r="A124" s="112"/>
      <c r="B124" s="113" t="s">
        <v>269</v>
      </c>
      <c r="C124" s="135"/>
      <c r="D124" s="135"/>
      <c r="E124" s="135"/>
      <c r="F124" s="135"/>
      <c r="G124" s="135"/>
      <c r="H124" s="135"/>
      <c r="I124" s="135"/>
      <c r="J124" s="135"/>
      <c r="K124" s="135"/>
      <c r="L124" s="135"/>
      <c r="M124" s="135"/>
      <c r="N124" s="135"/>
      <c r="O124" s="135"/>
      <c r="P124" s="155">
        <v>-2918</v>
      </c>
      <c r="Q124" s="155"/>
      <c r="R124" s="156"/>
      <c r="S124" s="139"/>
      <c r="T124" s="2"/>
    </row>
    <row r="125" spans="1:20" ht="15.6" x14ac:dyDescent="0.3">
      <c r="A125" s="112"/>
      <c r="B125" s="113" t="s">
        <v>181</v>
      </c>
      <c r="C125" s="135"/>
      <c r="D125" s="135"/>
      <c r="E125" s="135"/>
      <c r="F125" s="135"/>
      <c r="G125" s="135"/>
      <c r="H125" s="135"/>
      <c r="I125" s="135"/>
      <c r="J125" s="135"/>
      <c r="K125" s="135"/>
      <c r="L125" s="135"/>
      <c r="M125" s="135"/>
      <c r="N125" s="135"/>
      <c r="O125" s="135"/>
      <c r="P125" s="155">
        <v>0</v>
      </c>
      <c r="Q125" s="155"/>
      <c r="R125" s="156"/>
      <c r="S125" s="139"/>
      <c r="T125" s="2"/>
    </row>
    <row r="126" spans="1:20" ht="15.6" x14ac:dyDescent="0.3">
      <c r="A126" s="112"/>
      <c r="B126" s="113" t="s">
        <v>182</v>
      </c>
      <c r="C126" s="135"/>
      <c r="D126" s="135"/>
      <c r="E126" s="135"/>
      <c r="F126" s="135"/>
      <c r="G126" s="135"/>
      <c r="H126" s="135"/>
      <c r="I126" s="135"/>
      <c r="J126" s="135"/>
      <c r="K126" s="135"/>
      <c r="L126" s="135"/>
      <c r="M126" s="135"/>
      <c r="N126" s="135"/>
      <c r="O126" s="135"/>
      <c r="P126" s="155">
        <v>0</v>
      </c>
      <c r="Q126" s="155"/>
      <c r="R126" s="156"/>
      <c r="S126" s="139"/>
      <c r="T126" s="2"/>
    </row>
    <row r="127" spans="1:20" ht="15.6" x14ac:dyDescent="0.3">
      <c r="A127" s="112"/>
      <c r="B127" s="113" t="s">
        <v>271</v>
      </c>
      <c r="C127" s="135"/>
      <c r="D127" s="135"/>
      <c r="E127" s="135"/>
      <c r="F127" s="135"/>
      <c r="G127" s="135"/>
      <c r="H127" s="135"/>
      <c r="I127" s="135"/>
      <c r="J127" s="135"/>
      <c r="K127" s="135"/>
      <c r="L127" s="135"/>
      <c r="M127" s="135"/>
      <c r="N127" s="135"/>
      <c r="O127" s="135"/>
      <c r="P127" s="155">
        <v>0</v>
      </c>
      <c r="Q127" s="155"/>
      <c r="R127" s="156"/>
      <c r="S127" s="139"/>
      <c r="T127" s="2"/>
    </row>
    <row r="128" spans="1:20" ht="15.6" x14ac:dyDescent="0.3">
      <c r="A128" s="112"/>
      <c r="B128" s="113" t="s">
        <v>31</v>
      </c>
      <c r="C128" s="135"/>
      <c r="D128" s="135"/>
      <c r="E128" s="135"/>
      <c r="F128" s="135"/>
      <c r="G128" s="135"/>
      <c r="H128" s="135"/>
      <c r="I128" s="135"/>
      <c r="J128" s="135"/>
      <c r="K128" s="135"/>
      <c r="L128" s="135"/>
      <c r="M128" s="135"/>
      <c r="N128" s="135"/>
      <c r="O128" s="135"/>
      <c r="P128" s="155">
        <f>SUM(P121:P127)</f>
        <v>-5251</v>
      </c>
      <c r="Q128" s="155"/>
      <c r="R128" s="155">
        <f>SUM(R101:R127)</f>
        <v>-3619</v>
      </c>
      <c r="S128" s="139"/>
      <c r="T128" s="2"/>
    </row>
    <row r="129" spans="1:20" ht="15.6" x14ac:dyDescent="0.3">
      <c r="A129" s="112"/>
      <c r="B129" s="113" t="s">
        <v>32</v>
      </c>
      <c r="C129" s="135"/>
      <c r="D129" s="135"/>
      <c r="E129" s="135"/>
      <c r="F129" s="135"/>
      <c r="G129" s="135"/>
      <c r="H129" s="135"/>
      <c r="I129" s="135"/>
      <c r="J129" s="135"/>
      <c r="K129" s="135"/>
      <c r="L129" s="135"/>
      <c r="M129" s="135"/>
      <c r="N129" s="135"/>
      <c r="O129" s="135"/>
      <c r="P129" s="155">
        <f>P100+P128+P111</f>
        <v>0</v>
      </c>
      <c r="Q129" s="155"/>
      <c r="R129" s="155">
        <f>R100+R128</f>
        <v>0</v>
      </c>
      <c r="S129" s="139"/>
      <c r="T129" s="2"/>
    </row>
    <row r="130" spans="1:20" ht="15.6" x14ac:dyDescent="0.3">
      <c r="A130" s="12"/>
      <c r="B130" s="43"/>
      <c r="C130" s="43"/>
      <c r="D130" s="43"/>
      <c r="E130" s="43"/>
      <c r="F130" s="43"/>
      <c r="G130" s="43"/>
      <c r="H130" s="43"/>
      <c r="I130" s="43"/>
      <c r="J130" s="43"/>
      <c r="K130" s="43"/>
      <c r="L130" s="43"/>
      <c r="M130" s="43"/>
      <c r="N130" s="43"/>
      <c r="O130" s="43"/>
      <c r="P130" s="153"/>
      <c r="Q130" s="153"/>
      <c r="R130" s="153"/>
      <c r="S130" s="217"/>
      <c r="T130" s="2"/>
    </row>
    <row r="131" spans="1:20" ht="15.6" x14ac:dyDescent="0.3">
      <c r="A131" s="12"/>
      <c r="B131" s="14"/>
      <c r="C131" s="14"/>
      <c r="D131" s="14"/>
      <c r="E131" s="14"/>
      <c r="F131" s="14"/>
      <c r="G131" s="14"/>
      <c r="H131" s="14"/>
      <c r="I131" s="14"/>
      <c r="J131" s="14"/>
      <c r="K131" s="14"/>
      <c r="L131" s="14"/>
      <c r="M131" s="14"/>
      <c r="N131" s="14"/>
      <c r="O131" s="14"/>
      <c r="P131" s="14"/>
      <c r="Q131" s="14"/>
      <c r="R131" s="33"/>
      <c r="S131" s="217"/>
      <c r="T131" s="2"/>
    </row>
    <row r="132" spans="1:20" ht="18" thickBot="1" x14ac:dyDescent="0.35">
      <c r="A132" s="28"/>
      <c r="B132" s="97" t="str">
        <f>B60</f>
        <v>PM22 INVESTOR REPORT QUARTER ENDING NOVEMBER 2015</v>
      </c>
      <c r="C132" s="29"/>
      <c r="D132" s="29"/>
      <c r="E132" s="29"/>
      <c r="F132" s="29"/>
      <c r="G132" s="29"/>
      <c r="H132" s="29"/>
      <c r="I132" s="29"/>
      <c r="J132" s="29"/>
      <c r="K132" s="29"/>
      <c r="L132" s="29"/>
      <c r="M132" s="29"/>
      <c r="N132" s="29"/>
      <c r="O132" s="29"/>
      <c r="P132" s="29"/>
      <c r="Q132" s="29"/>
      <c r="R132" s="40"/>
      <c r="S132" s="31"/>
      <c r="T132" s="2"/>
    </row>
    <row r="133" spans="1:20" ht="15.6" x14ac:dyDescent="0.3">
      <c r="A133" s="65"/>
      <c r="B133" s="66" t="s">
        <v>33</v>
      </c>
      <c r="C133" s="67"/>
      <c r="D133" s="67"/>
      <c r="E133" s="67"/>
      <c r="F133" s="67"/>
      <c r="G133" s="67"/>
      <c r="H133" s="67"/>
      <c r="I133" s="67"/>
      <c r="J133" s="67"/>
      <c r="K133" s="67"/>
      <c r="L133" s="67"/>
      <c r="M133" s="67"/>
      <c r="N133" s="67"/>
      <c r="O133" s="67"/>
      <c r="P133" s="67"/>
      <c r="Q133" s="67"/>
      <c r="R133" s="68"/>
      <c r="S133" s="223"/>
      <c r="T133" s="2"/>
    </row>
    <row r="134" spans="1:20" ht="15.6" x14ac:dyDescent="0.3">
      <c r="A134" s="12"/>
      <c r="B134" s="22"/>
      <c r="C134" s="14"/>
      <c r="D134" s="14"/>
      <c r="E134" s="14"/>
      <c r="F134" s="14"/>
      <c r="G134" s="14"/>
      <c r="H134" s="14"/>
      <c r="I134" s="14"/>
      <c r="J134" s="14"/>
      <c r="K134" s="14"/>
      <c r="L134" s="14"/>
      <c r="M134" s="14"/>
      <c r="N134" s="14"/>
      <c r="O134" s="14"/>
      <c r="P134" s="14"/>
      <c r="Q134" s="14"/>
      <c r="R134" s="33"/>
      <c r="S134" s="217"/>
      <c r="T134" s="2"/>
    </row>
    <row r="135" spans="1:20" ht="15.6" x14ac:dyDescent="0.3">
      <c r="A135" s="12"/>
      <c r="B135" s="41" t="s">
        <v>34</v>
      </c>
      <c r="C135" s="14"/>
      <c r="D135" s="14"/>
      <c r="E135" s="14"/>
      <c r="F135" s="14"/>
      <c r="G135" s="14"/>
      <c r="H135" s="14"/>
      <c r="I135" s="14"/>
      <c r="J135" s="14"/>
      <c r="K135" s="14"/>
      <c r="L135" s="14"/>
      <c r="M135" s="14"/>
      <c r="N135" s="14"/>
      <c r="O135" s="14"/>
      <c r="P135" s="14"/>
      <c r="Q135" s="14"/>
      <c r="R135" s="33"/>
      <c r="S135" s="217"/>
      <c r="T135" s="2"/>
    </row>
    <row r="136" spans="1:20" ht="15.6" x14ac:dyDescent="0.3">
      <c r="A136" s="112"/>
      <c r="B136" s="113" t="s">
        <v>35</v>
      </c>
      <c r="C136" s="113"/>
      <c r="D136" s="113"/>
      <c r="E136" s="113"/>
      <c r="F136" s="113"/>
      <c r="G136" s="113"/>
      <c r="H136" s="113"/>
      <c r="I136" s="113"/>
      <c r="J136" s="113"/>
      <c r="K136" s="113"/>
      <c r="L136" s="113"/>
      <c r="M136" s="113"/>
      <c r="N136" s="113"/>
      <c r="O136" s="113"/>
      <c r="P136" s="113"/>
      <c r="Q136" s="113"/>
      <c r="R136" s="156">
        <v>7502</v>
      </c>
      <c r="S136" s="116"/>
      <c r="T136" s="2"/>
    </row>
    <row r="137" spans="1:20" ht="15.6" x14ac:dyDescent="0.3">
      <c r="A137" s="112"/>
      <c r="B137" s="113" t="s">
        <v>36</v>
      </c>
      <c r="C137" s="113"/>
      <c r="D137" s="113"/>
      <c r="E137" s="113"/>
      <c r="F137" s="113"/>
      <c r="G137" s="113"/>
      <c r="H137" s="113"/>
      <c r="I137" s="113"/>
      <c r="J137" s="113"/>
      <c r="K137" s="113"/>
      <c r="L137" s="113"/>
      <c r="M137" s="113"/>
      <c r="N137" s="113"/>
      <c r="O137" s="113"/>
      <c r="P137" s="113"/>
      <c r="Q137" s="113"/>
      <c r="R137" s="156">
        <v>0</v>
      </c>
      <c r="S137" s="116"/>
      <c r="T137" s="2"/>
    </row>
    <row r="138" spans="1:20" ht="15.6" x14ac:dyDescent="0.3">
      <c r="A138" s="112"/>
      <c r="B138" s="113" t="s">
        <v>169</v>
      </c>
      <c r="C138" s="113"/>
      <c r="D138" s="113"/>
      <c r="E138" s="113"/>
      <c r="F138" s="113"/>
      <c r="G138" s="113"/>
      <c r="H138" s="113"/>
      <c r="I138" s="113"/>
      <c r="J138" s="113"/>
      <c r="K138" s="113"/>
      <c r="L138" s="113"/>
      <c r="M138" s="113"/>
      <c r="N138" s="113"/>
      <c r="O138" s="113"/>
      <c r="P138" s="113"/>
      <c r="Q138" s="113"/>
      <c r="R138" s="156">
        <f>R136-R139</f>
        <v>428.53531462999945</v>
      </c>
      <c r="S138" s="116"/>
      <c r="T138" s="2"/>
    </row>
    <row r="139" spans="1:20" ht="15.6" x14ac:dyDescent="0.3">
      <c r="A139" s="112"/>
      <c r="B139" s="113" t="s">
        <v>210</v>
      </c>
      <c r="C139" s="113"/>
      <c r="D139" s="113"/>
      <c r="E139" s="113"/>
      <c r="F139" s="113"/>
      <c r="G139" s="113"/>
      <c r="H139" s="113"/>
      <c r="I139" s="113"/>
      <c r="J139" s="113"/>
      <c r="K139" s="113"/>
      <c r="L139" s="113"/>
      <c r="M139" s="113"/>
      <c r="N139" s="113"/>
      <c r="O139" s="113"/>
      <c r="P139" s="113"/>
      <c r="Q139" s="113"/>
      <c r="R139" s="156">
        <f>SUM(D33:J33)*0.025</f>
        <v>7073.4646853700006</v>
      </c>
      <c r="S139" s="116"/>
      <c r="T139" s="2"/>
    </row>
    <row r="140" spans="1:20" ht="15.6" x14ac:dyDescent="0.3">
      <c r="A140" s="112"/>
      <c r="B140" s="113" t="s">
        <v>108</v>
      </c>
      <c r="C140" s="113"/>
      <c r="D140" s="113"/>
      <c r="E140" s="113"/>
      <c r="F140" s="113"/>
      <c r="G140" s="113"/>
      <c r="H140" s="113"/>
      <c r="I140" s="113"/>
      <c r="J140" s="113"/>
      <c r="K140" s="113"/>
      <c r="L140" s="113"/>
      <c r="M140" s="113"/>
      <c r="N140" s="113"/>
      <c r="O140" s="113"/>
      <c r="P140" s="113"/>
      <c r="Q140" s="113"/>
      <c r="R140" s="156"/>
      <c r="S140" s="116"/>
      <c r="T140" s="2"/>
    </row>
    <row r="141" spans="1:20" ht="15.6" x14ac:dyDescent="0.3">
      <c r="A141" s="112"/>
      <c r="B141" s="113" t="s">
        <v>155</v>
      </c>
      <c r="C141" s="113"/>
      <c r="D141" s="113"/>
      <c r="E141" s="113"/>
      <c r="F141" s="113"/>
      <c r="G141" s="113"/>
      <c r="H141" s="113"/>
      <c r="I141" s="113"/>
      <c r="J141" s="113"/>
      <c r="K141" s="113"/>
      <c r="L141" s="113"/>
      <c r="M141" s="113"/>
      <c r="N141" s="113"/>
      <c r="O141" s="113"/>
      <c r="P141" s="113"/>
      <c r="Q141" s="113"/>
      <c r="R141" s="156">
        <v>0</v>
      </c>
      <c r="S141" s="116"/>
      <c r="T141" s="2"/>
    </row>
    <row r="142" spans="1:20" ht="15.6" x14ac:dyDescent="0.3">
      <c r="A142" s="112"/>
      <c r="B142" s="113" t="s">
        <v>189</v>
      </c>
      <c r="C142" s="113"/>
      <c r="D142" s="113"/>
      <c r="E142" s="113"/>
      <c r="F142" s="113"/>
      <c r="G142" s="113"/>
      <c r="H142" s="113"/>
      <c r="I142" s="113"/>
      <c r="J142" s="113"/>
      <c r="K142" s="113"/>
      <c r="L142" s="113"/>
      <c r="M142" s="113"/>
      <c r="N142" s="113"/>
      <c r="O142" s="113"/>
      <c r="P142" s="113"/>
      <c r="Q142" s="113"/>
      <c r="R142" s="156">
        <v>0</v>
      </c>
      <c r="S142" s="116"/>
      <c r="T142" s="2"/>
    </row>
    <row r="143" spans="1:20" ht="15.6" x14ac:dyDescent="0.3">
      <c r="A143" s="112"/>
      <c r="B143" s="113" t="s">
        <v>190</v>
      </c>
      <c r="C143" s="113"/>
      <c r="D143" s="113"/>
      <c r="E143" s="113"/>
      <c r="F143" s="113"/>
      <c r="G143" s="113"/>
      <c r="H143" s="113"/>
      <c r="I143" s="113"/>
      <c r="J143" s="113"/>
      <c r="K143" s="113"/>
      <c r="L143" s="113"/>
      <c r="M143" s="113"/>
      <c r="N143" s="113"/>
      <c r="O143" s="113"/>
      <c r="P143" s="113"/>
      <c r="Q143" s="113"/>
      <c r="R143" s="156">
        <v>0</v>
      </c>
      <c r="S143" s="116"/>
      <c r="T143" s="2"/>
    </row>
    <row r="144" spans="1:20" ht="15.6" x14ac:dyDescent="0.3">
      <c r="A144" s="112"/>
      <c r="B144" s="113" t="s">
        <v>37</v>
      </c>
      <c r="C144" s="113"/>
      <c r="D144" s="113"/>
      <c r="E144" s="113"/>
      <c r="F144" s="113"/>
      <c r="G144" s="113"/>
      <c r="H144" s="113"/>
      <c r="I144" s="113"/>
      <c r="J144" s="113"/>
      <c r="K144" s="113"/>
      <c r="L144" s="113"/>
      <c r="M144" s="113"/>
      <c r="N144" s="113"/>
      <c r="O144" s="113"/>
      <c r="P144" s="113"/>
      <c r="Q144" s="113"/>
      <c r="R144" s="156">
        <v>0</v>
      </c>
      <c r="S144" s="116"/>
      <c r="T144" s="2"/>
    </row>
    <row r="145" spans="1:21" ht="15.6" x14ac:dyDescent="0.3">
      <c r="A145" s="112"/>
      <c r="B145" s="113" t="s">
        <v>102</v>
      </c>
      <c r="C145" s="113"/>
      <c r="D145" s="113"/>
      <c r="E145" s="113"/>
      <c r="F145" s="113"/>
      <c r="G145" s="113"/>
      <c r="H145" s="113"/>
      <c r="I145" s="113"/>
      <c r="J145" s="113"/>
      <c r="K145" s="113"/>
      <c r="L145" s="113"/>
      <c r="M145" s="113"/>
      <c r="N145" s="113"/>
      <c r="O145" s="113"/>
      <c r="P145" s="113"/>
      <c r="Q145" s="113"/>
      <c r="R145" s="156">
        <v>0</v>
      </c>
      <c r="S145" s="116"/>
      <c r="T145" s="2"/>
    </row>
    <row r="146" spans="1:21" ht="15.6" x14ac:dyDescent="0.3">
      <c r="A146" s="112"/>
      <c r="B146" s="113" t="s">
        <v>256</v>
      </c>
      <c r="C146" s="113"/>
      <c r="D146" s="113"/>
      <c r="E146" s="113"/>
      <c r="F146" s="113"/>
      <c r="G146" s="113"/>
      <c r="H146" s="113"/>
      <c r="I146" s="113"/>
      <c r="J146" s="113"/>
      <c r="K146" s="113"/>
      <c r="L146" s="113"/>
      <c r="M146" s="113"/>
      <c r="N146" s="113"/>
      <c r="O146" s="113"/>
      <c r="P146" s="113"/>
      <c r="Q146" s="113"/>
      <c r="R146" s="156">
        <v>0</v>
      </c>
      <c r="S146" s="116"/>
      <c r="T146" s="2"/>
      <c r="U146" s="4"/>
    </row>
    <row r="147" spans="1:21" ht="15.6" x14ac:dyDescent="0.3">
      <c r="A147" s="112"/>
      <c r="B147" s="113" t="s">
        <v>38</v>
      </c>
      <c r="C147" s="113"/>
      <c r="D147" s="113"/>
      <c r="E147" s="113"/>
      <c r="F147" s="113"/>
      <c r="G147" s="113"/>
      <c r="H147" s="113"/>
      <c r="I147" s="113"/>
      <c r="J147" s="113"/>
      <c r="K147" s="113"/>
      <c r="L147" s="113"/>
      <c r="M147" s="113"/>
      <c r="N147" s="113"/>
      <c r="O147" s="113"/>
      <c r="P147" s="113"/>
      <c r="Q147" s="113"/>
      <c r="R147" s="156">
        <f>SUM(R137:R146)</f>
        <v>7502</v>
      </c>
      <c r="S147" s="116"/>
      <c r="T147" s="2"/>
    </row>
    <row r="148" spans="1:21" ht="15.6" x14ac:dyDescent="0.3">
      <c r="A148" s="12"/>
      <c r="B148" s="43"/>
      <c r="C148" s="43"/>
      <c r="D148" s="43"/>
      <c r="E148" s="43"/>
      <c r="F148" s="43"/>
      <c r="G148" s="43"/>
      <c r="H148" s="43"/>
      <c r="I148" s="43"/>
      <c r="J148" s="43"/>
      <c r="K148" s="43"/>
      <c r="L148" s="43"/>
      <c r="M148" s="43"/>
      <c r="N148" s="43"/>
      <c r="O148" s="43"/>
      <c r="P148" s="43"/>
      <c r="Q148" s="43"/>
      <c r="R148" s="162"/>
      <c r="S148" s="217"/>
      <c r="T148" s="2"/>
    </row>
    <row r="149" spans="1:21" ht="15.6" x14ac:dyDescent="0.3">
      <c r="A149" s="12"/>
      <c r="B149" s="41" t="s">
        <v>203</v>
      </c>
      <c r="C149" s="14"/>
      <c r="D149" s="14"/>
      <c r="E149" s="14"/>
      <c r="F149" s="14"/>
      <c r="G149" s="14"/>
      <c r="H149" s="14"/>
      <c r="I149" s="14"/>
      <c r="J149" s="14"/>
      <c r="K149" s="14"/>
      <c r="L149" s="14"/>
      <c r="M149" s="14"/>
      <c r="N149" s="14"/>
      <c r="O149" s="14"/>
      <c r="P149" s="14"/>
      <c r="Q149" s="14"/>
      <c r="R149" s="33"/>
      <c r="S149" s="217"/>
      <c r="T149" s="2"/>
    </row>
    <row r="150" spans="1:21" ht="15.6" x14ac:dyDescent="0.3">
      <c r="A150" s="112"/>
      <c r="B150" s="113" t="s">
        <v>278</v>
      </c>
      <c r="C150" s="113"/>
      <c r="D150" s="113"/>
      <c r="E150" s="113"/>
      <c r="F150" s="113"/>
      <c r="G150" s="113"/>
      <c r="H150" s="113"/>
      <c r="I150" s="113"/>
      <c r="J150" s="113"/>
      <c r="K150" s="113"/>
      <c r="L150" s="113"/>
      <c r="M150" s="113"/>
      <c r="N150" s="113"/>
      <c r="O150" s="113"/>
      <c r="P150" s="113"/>
      <c r="Q150" s="113"/>
      <c r="R150" s="156">
        <v>0</v>
      </c>
      <c r="S150" s="139"/>
      <c r="T150" s="2"/>
    </row>
    <row r="151" spans="1:21" ht="15.6" x14ac:dyDescent="0.3">
      <c r="A151" s="112"/>
      <c r="B151" s="113" t="s">
        <v>191</v>
      </c>
      <c r="C151" s="115"/>
      <c r="D151" s="115"/>
      <c r="E151" s="115"/>
      <c r="F151" s="115"/>
      <c r="G151" s="115"/>
      <c r="H151" s="115"/>
      <c r="I151" s="115"/>
      <c r="J151" s="115"/>
      <c r="K151" s="115"/>
      <c r="L151" s="115"/>
      <c r="M151" s="115"/>
      <c r="N151" s="115"/>
      <c r="O151" s="115"/>
      <c r="P151" s="115"/>
      <c r="Q151" s="115"/>
      <c r="R151" s="156">
        <f>+J77</f>
        <v>0</v>
      </c>
      <c r="S151" s="139"/>
      <c r="T151" s="2"/>
    </row>
    <row r="152" spans="1:21" ht="15.6" x14ac:dyDescent="0.3">
      <c r="A152" s="112"/>
      <c r="B152" s="113" t="s">
        <v>205</v>
      </c>
      <c r="C152" s="113"/>
      <c r="D152" s="113"/>
      <c r="E152" s="113"/>
      <c r="F152" s="113"/>
      <c r="G152" s="113"/>
      <c r="H152" s="113"/>
      <c r="I152" s="113"/>
      <c r="J152" s="113"/>
      <c r="K152" s="113"/>
      <c r="L152" s="113"/>
      <c r="M152" s="113"/>
      <c r="N152" s="113"/>
      <c r="O152" s="113"/>
      <c r="P152" s="113"/>
      <c r="Q152" s="113"/>
      <c r="R152" s="156">
        <f>R150+R151</f>
        <v>0</v>
      </c>
      <c r="S152" s="139"/>
      <c r="T152" s="2"/>
    </row>
    <row r="153" spans="1:21" ht="15.6" x14ac:dyDescent="0.3">
      <c r="A153" s="12"/>
      <c r="B153" s="163"/>
      <c r="C153" s="163"/>
      <c r="D153" s="163"/>
      <c r="E153" s="163"/>
      <c r="F153" s="163"/>
      <c r="G153" s="163"/>
      <c r="H153" s="163"/>
      <c r="I153" s="163"/>
      <c r="J153" s="163"/>
      <c r="K153" s="163"/>
      <c r="L153" s="163"/>
      <c r="M153" s="163"/>
      <c r="N153" s="163"/>
      <c r="O153" s="163"/>
      <c r="P153" s="163"/>
      <c r="Q153" s="163"/>
      <c r="R153" s="195"/>
      <c r="S153" s="217"/>
      <c r="T153" s="2"/>
    </row>
    <row r="154" spans="1:21" ht="15.6" x14ac:dyDescent="0.3">
      <c r="A154" s="12"/>
      <c r="B154" s="41" t="s">
        <v>211</v>
      </c>
      <c r="C154" s="163"/>
      <c r="D154" s="163"/>
      <c r="E154" s="163"/>
      <c r="F154" s="163"/>
      <c r="G154" s="163"/>
      <c r="H154" s="163"/>
      <c r="I154" s="163"/>
      <c r="J154" s="163"/>
      <c r="K154" s="163"/>
      <c r="L154" s="163"/>
      <c r="M154" s="163"/>
      <c r="N154" s="163"/>
      <c r="O154" s="163"/>
      <c r="P154" s="163"/>
      <c r="Q154" s="163"/>
      <c r="R154" s="195"/>
      <c r="S154" s="217"/>
      <c r="T154" s="2"/>
    </row>
    <row r="155" spans="1:21" ht="15.6" x14ac:dyDescent="0.3">
      <c r="A155" s="231"/>
      <c r="B155" s="232" t="s">
        <v>277</v>
      </c>
      <c r="C155" s="232"/>
      <c r="D155" s="232"/>
      <c r="E155" s="232"/>
      <c r="F155" s="232"/>
      <c r="G155" s="232"/>
      <c r="H155" s="232"/>
      <c r="I155" s="232"/>
      <c r="J155" s="232"/>
      <c r="K155" s="232"/>
      <c r="L155" s="232"/>
      <c r="M155" s="232"/>
      <c r="N155" s="232"/>
      <c r="O155" s="232"/>
      <c r="P155" s="232"/>
      <c r="Q155" s="232"/>
      <c r="R155" s="233">
        <f>+'Aug 15'!R158</f>
        <v>2574</v>
      </c>
      <c r="S155" s="234"/>
      <c r="T155" s="2"/>
    </row>
    <row r="156" spans="1:21" ht="15.6" x14ac:dyDescent="0.3">
      <c r="A156" s="231"/>
      <c r="B156" s="232" t="s">
        <v>213</v>
      </c>
      <c r="C156" s="232"/>
      <c r="D156" s="232"/>
      <c r="E156" s="232"/>
      <c r="F156" s="232"/>
      <c r="G156" s="232"/>
      <c r="H156" s="232"/>
      <c r="I156" s="232"/>
      <c r="J156" s="232"/>
      <c r="K156" s="232"/>
      <c r="L156" s="232"/>
      <c r="M156" s="232"/>
      <c r="N156" s="232"/>
      <c r="O156" s="232"/>
      <c r="P156" s="232"/>
      <c r="Q156" s="232"/>
      <c r="R156" s="233">
        <f>P86</f>
        <v>-151</v>
      </c>
      <c r="S156" s="234"/>
      <c r="T156" s="2"/>
    </row>
    <row r="157" spans="1:21" ht="15.6" x14ac:dyDescent="0.3">
      <c r="A157" s="231"/>
      <c r="B157" s="232" t="s">
        <v>214</v>
      </c>
      <c r="C157" s="232"/>
      <c r="D157" s="232"/>
      <c r="E157" s="232"/>
      <c r="F157" s="232"/>
      <c r="G157" s="232"/>
      <c r="H157" s="232"/>
      <c r="I157" s="232"/>
      <c r="J157" s="232"/>
      <c r="K157" s="232"/>
      <c r="L157" s="232"/>
      <c r="M157" s="232"/>
      <c r="N157" s="232"/>
      <c r="O157" s="232"/>
      <c r="P157" s="232"/>
      <c r="Q157" s="232"/>
      <c r="R157" s="233">
        <v>-945</v>
      </c>
      <c r="S157" s="234"/>
      <c r="T157" s="2"/>
    </row>
    <row r="158" spans="1:21" ht="15.6" x14ac:dyDescent="0.3">
      <c r="A158" s="231"/>
      <c r="B158" s="232" t="s">
        <v>215</v>
      </c>
      <c r="C158" s="232"/>
      <c r="D158" s="232"/>
      <c r="E158" s="232"/>
      <c r="F158" s="232"/>
      <c r="G158" s="232"/>
      <c r="H158" s="232"/>
      <c r="I158" s="232"/>
      <c r="J158" s="232"/>
      <c r="K158" s="232"/>
      <c r="L158" s="232"/>
      <c r="M158" s="232"/>
      <c r="N158" s="232"/>
      <c r="O158" s="232"/>
      <c r="P158" s="232"/>
      <c r="Q158" s="232"/>
      <c r="R158" s="233">
        <f>R155+R156+R157</f>
        <v>1478</v>
      </c>
      <c r="S158" s="234"/>
      <c r="T158" s="2"/>
    </row>
    <row r="159" spans="1:21" ht="15.6" x14ac:dyDescent="0.3">
      <c r="A159" s="12"/>
      <c r="B159" s="43"/>
      <c r="C159" s="43"/>
      <c r="D159" s="43"/>
      <c r="E159" s="43"/>
      <c r="F159" s="43"/>
      <c r="G159" s="43"/>
      <c r="H159" s="43"/>
      <c r="I159" s="43"/>
      <c r="J159" s="43"/>
      <c r="K159" s="43"/>
      <c r="L159" s="43"/>
      <c r="M159" s="43"/>
      <c r="N159" s="43"/>
      <c r="O159" s="43"/>
      <c r="P159" s="43"/>
      <c r="Q159" s="43"/>
      <c r="R159" s="162"/>
      <c r="S159" s="217"/>
      <c r="T159" s="2"/>
    </row>
    <row r="160" spans="1:21" ht="15.6" x14ac:dyDescent="0.3">
      <c r="A160" s="12"/>
      <c r="B160" s="41" t="s">
        <v>39</v>
      </c>
      <c r="C160" s="14"/>
      <c r="D160" s="14"/>
      <c r="E160" s="14"/>
      <c r="F160" s="14"/>
      <c r="G160" s="14"/>
      <c r="H160" s="14"/>
      <c r="I160" s="14"/>
      <c r="J160" s="14"/>
      <c r="K160" s="14"/>
      <c r="L160" s="14"/>
      <c r="M160" s="14"/>
      <c r="N160" s="14"/>
      <c r="O160" s="14"/>
      <c r="P160" s="14"/>
      <c r="Q160" s="14"/>
      <c r="R160" s="42"/>
      <c r="S160" s="217"/>
      <c r="T160" s="2"/>
    </row>
    <row r="161" spans="1:252" ht="15.6" x14ac:dyDescent="0.3">
      <c r="A161" s="112"/>
      <c r="B161" s="113" t="s">
        <v>40</v>
      </c>
      <c r="C161" s="113"/>
      <c r="D161" s="113"/>
      <c r="E161" s="113"/>
      <c r="F161" s="113"/>
      <c r="G161" s="113"/>
      <c r="H161" s="113"/>
      <c r="I161" s="113"/>
      <c r="J161" s="113"/>
      <c r="K161" s="113"/>
      <c r="L161" s="113"/>
      <c r="M161" s="113"/>
      <c r="N161" s="113"/>
      <c r="O161" s="113"/>
      <c r="P161" s="113"/>
      <c r="Q161" s="113"/>
      <c r="R161" s="156">
        <v>0</v>
      </c>
      <c r="S161" s="116"/>
      <c r="T161" s="2"/>
    </row>
    <row r="162" spans="1:252" ht="15.6" x14ac:dyDescent="0.3">
      <c r="A162" s="112"/>
      <c r="B162" s="113" t="s">
        <v>41</v>
      </c>
      <c r="C162" s="113"/>
      <c r="D162" s="113"/>
      <c r="E162" s="113"/>
      <c r="F162" s="113"/>
      <c r="G162" s="113"/>
      <c r="H162" s="113"/>
      <c r="I162" s="113"/>
      <c r="J162" s="113"/>
      <c r="K162" s="113"/>
      <c r="L162" s="113"/>
      <c r="M162" s="113"/>
      <c r="N162" s="113"/>
      <c r="O162" s="113"/>
      <c r="P162" s="113"/>
      <c r="Q162" s="113"/>
      <c r="R162" s="156">
        <v>0</v>
      </c>
      <c r="S162" s="116"/>
      <c r="T162" s="2"/>
    </row>
    <row r="163" spans="1:252" ht="15.6" x14ac:dyDescent="0.3">
      <c r="A163" s="112"/>
      <c r="B163" s="113" t="s">
        <v>42</v>
      </c>
      <c r="C163" s="113"/>
      <c r="D163" s="113"/>
      <c r="E163" s="113"/>
      <c r="F163" s="113"/>
      <c r="G163" s="113"/>
      <c r="H163" s="113"/>
      <c r="I163" s="113"/>
      <c r="J163" s="113"/>
      <c r="K163" s="113"/>
      <c r="L163" s="113"/>
      <c r="M163" s="113"/>
      <c r="N163" s="113"/>
      <c r="O163" s="113"/>
      <c r="P163" s="113"/>
      <c r="Q163" s="113"/>
      <c r="R163" s="156">
        <f>R162+R161</f>
        <v>0</v>
      </c>
      <c r="S163" s="116"/>
      <c r="T163" s="2"/>
    </row>
    <row r="164" spans="1:252" ht="15.6" x14ac:dyDescent="0.3">
      <c r="A164" s="112"/>
      <c r="B164" s="113" t="s">
        <v>174</v>
      </c>
      <c r="C164" s="113"/>
      <c r="D164" s="113"/>
      <c r="E164" s="113"/>
      <c r="F164" s="113"/>
      <c r="G164" s="113"/>
      <c r="H164" s="113"/>
      <c r="I164" s="113"/>
      <c r="J164" s="113"/>
      <c r="K164" s="113"/>
      <c r="L164" s="113"/>
      <c r="M164" s="113"/>
      <c r="N164" s="113"/>
      <c r="O164" s="113"/>
      <c r="P164" s="113"/>
      <c r="Q164" s="113"/>
      <c r="R164" s="156">
        <f>R111</f>
        <v>0</v>
      </c>
      <c r="S164" s="116"/>
      <c r="T164" s="2"/>
    </row>
    <row r="165" spans="1:252" ht="15.6" x14ac:dyDescent="0.3">
      <c r="A165" s="112"/>
      <c r="B165" s="113" t="s">
        <v>43</v>
      </c>
      <c r="C165" s="113"/>
      <c r="D165" s="113"/>
      <c r="E165" s="113"/>
      <c r="F165" s="113"/>
      <c r="G165" s="113"/>
      <c r="H165" s="113"/>
      <c r="I165" s="113"/>
      <c r="J165" s="113"/>
      <c r="K165" s="113"/>
      <c r="L165" s="113"/>
      <c r="M165" s="113"/>
      <c r="N165" s="113"/>
      <c r="O165" s="113"/>
      <c r="P165" s="113"/>
      <c r="Q165" s="113"/>
      <c r="R165" s="156">
        <f>R163+R164</f>
        <v>0</v>
      </c>
      <c r="S165" s="116"/>
      <c r="T165" s="2"/>
    </row>
    <row r="166" spans="1:252" ht="15.6" x14ac:dyDescent="0.3">
      <c r="A166" s="112"/>
      <c r="B166" s="113" t="s">
        <v>150</v>
      </c>
      <c r="C166" s="113"/>
      <c r="D166" s="113"/>
      <c r="E166" s="113"/>
      <c r="F166" s="113"/>
      <c r="G166" s="113"/>
      <c r="H166" s="113"/>
      <c r="I166" s="113"/>
      <c r="J166" s="113"/>
      <c r="K166" s="113"/>
      <c r="L166" s="113"/>
      <c r="M166" s="113"/>
      <c r="N166" s="113"/>
      <c r="O166" s="113"/>
      <c r="P166" s="113"/>
      <c r="Q166" s="113"/>
      <c r="R166" s="156">
        <f>-R99</f>
        <v>0</v>
      </c>
      <c r="S166" s="116"/>
      <c r="T166" s="2"/>
    </row>
    <row r="167" spans="1:252" ht="16.2" thickBot="1" x14ac:dyDescent="0.35">
      <c r="A167" s="12"/>
      <c r="B167" s="43"/>
      <c r="C167" s="43"/>
      <c r="D167" s="43"/>
      <c r="E167" s="43"/>
      <c r="F167" s="43"/>
      <c r="G167" s="43"/>
      <c r="H167" s="43"/>
      <c r="I167" s="43"/>
      <c r="J167" s="43"/>
      <c r="K167" s="43"/>
      <c r="L167" s="43"/>
      <c r="M167" s="43"/>
      <c r="N167" s="43"/>
      <c r="O167" s="43"/>
      <c r="P167" s="43"/>
      <c r="Q167" s="43"/>
      <c r="R167" s="162"/>
      <c r="S167" s="217"/>
      <c r="T167" s="2"/>
    </row>
    <row r="168" spans="1:252" ht="15.6" x14ac:dyDescent="0.3">
      <c r="A168" s="10"/>
      <c r="B168" s="11"/>
      <c r="C168" s="11"/>
      <c r="D168" s="11"/>
      <c r="E168" s="11"/>
      <c r="F168" s="11"/>
      <c r="G168" s="11"/>
      <c r="H168" s="11"/>
      <c r="I168" s="11"/>
      <c r="J168" s="11"/>
      <c r="K168" s="11"/>
      <c r="L168" s="11"/>
      <c r="M168" s="11"/>
      <c r="N168" s="11"/>
      <c r="O168" s="11"/>
      <c r="P168" s="11"/>
      <c r="Q168" s="11"/>
      <c r="R168" s="32"/>
      <c r="S168" s="216"/>
      <c r="T168" s="2"/>
    </row>
    <row r="169" spans="1:252" s="6" customFormat="1" ht="15.6" x14ac:dyDescent="0.3">
      <c r="A169" s="12"/>
      <c r="B169" s="41" t="s">
        <v>204</v>
      </c>
      <c r="C169" s="43"/>
      <c r="D169" s="43"/>
      <c r="E169" s="43"/>
      <c r="F169" s="43"/>
      <c r="G169" s="43"/>
      <c r="H169" s="43"/>
      <c r="I169" s="43"/>
      <c r="J169" s="43"/>
      <c r="K169" s="43"/>
      <c r="L169" s="43"/>
      <c r="M169" s="43"/>
      <c r="N169" s="43"/>
      <c r="O169" s="43"/>
      <c r="P169" s="43"/>
      <c r="Q169" s="43"/>
      <c r="R169" s="44"/>
      <c r="S169" s="217"/>
      <c r="T169" s="2"/>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row>
    <row r="170" spans="1:252" s="7" customFormat="1" ht="15.6" x14ac:dyDescent="0.3">
      <c r="A170" s="112"/>
      <c r="B170" s="113" t="s">
        <v>141</v>
      </c>
      <c r="C170" s="113"/>
      <c r="D170" s="113"/>
      <c r="E170" s="113"/>
      <c r="F170" s="113"/>
      <c r="G170" s="113"/>
      <c r="H170" s="113"/>
      <c r="I170" s="113"/>
      <c r="J170" s="113"/>
      <c r="K170" s="113"/>
      <c r="L170" s="113"/>
      <c r="M170" s="113"/>
      <c r="N170" s="113"/>
      <c r="O170" s="113"/>
      <c r="P170" s="113"/>
      <c r="Q170" s="113"/>
      <c r="R170" s="156">
        <f>+'Aug 15'!R172</f>
        <v>445</v>
      </c>
      <c r="S170" s="116"/>
      <c r="T170" s="2"/>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row>
    <row r="171" spans="1:252" s="7" customFormat="1" ht="15.6" x14ac:dyDescent="0.3">
      <c r="A171" s="112"/>
      <c r="B171" s="113" t="s">
        <v>144</v>
      </c>
      <c r="C171" s="113"/>
      <c r="D171" s="113"/>
      <c r="E171" s="113"/>
      <c r="F171" s="113"/>
      <c r="G171" s="113"/>
      <c r="H171" s="113"/>
      <c r="I171" s="113"/>
      <c r="J171" s="113"/>
      <c r="K171" s="113"/>
      <c r="L171" s="113"/>
      <c r="M171" s="113"/>
      <c r="N171" s="113"/>
      <c r="O171" s="113"/>
      <c r="P171" s="113"/>
      <c r="Q171" s="113"/>
      <c r="R171" s="156">
        <f>+R92</f>
        <v>23</v>
      </c>
      <c r="S171" s="116"/>
      <c r="T171" s="2"/>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1:252" s="7" customFormat="1" ht="15.6" x14ac:dyDescent="0.3">
      <c r="A172" s="112"/>
      <c r="B172" s="113" t="s">
        <v>142</v>
      </c>
      <c r="C172" s="113"/>
      <c r="D172" s="113"/>
      <c r="E172" s="113"/>
      <c r="F172" s="113"/>
      <c r="G172" s="113"/>
      <c r="H172" s="113"/>
      <c r="I172" s="113"/>
      <c r="J172" s="113"/>
      <c r="K172" s="113"/>
      <c r="L172" s="113"/>
      <c r="M172" s="113"/>
      <c r="N172" s="113"/>
      <c r="O172" s="113"/>
      <c r="P172" s="113"/>
      <c r="Q172" s="113"/>
      <c r="R172" s="156">
        <f>+R170-R171</f>
        <v>422</v>
      </c>
      <c r="S172" s="116"/>
      <c r="T172" s="2"/>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1:252" s="8" customFormat="1" ht="16.2" thickBot="1" x14ac:dyDescent="0.35">
      <c r="A173" s="28"/>
      <c r="B173" s="43"/>
      <c r="C173" s="43"/>
      <c r="D173" s="43"/>
      <c r="E173" s="43"/>
      <c r="F173" s="43"/>
      <c r="G173" s="43"/>
      <c r="H173" s="43"/>
      <c r="I173" s="43"/>
      <c r="J173" s="43"/>
      <c r="K173" s="43"/>
      <c r="L173" s="43"/>
      <c r="M173" s="43"/>
      <c r="N173" s="43"/>
      <c r="O173" s="43"/>
      <c r="P173" s="43"/>
      <c r="Q173" s="43"/>
      <c r="R173" s="162"/>
      <c r="S173" s="217"/>
      <c r="T173" s="2"/>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1:252" s="9" customFormat="1" ht="15.6" x14ac:dyDescent="0.3">
      <c r="A174" s="10"/>
      <c r="B174" s="11"/>
      <c r="C174" s="11"/>
      <c r="D174" s="11"/>
      <c r="E174" s="11"/>
      <c r="F174" s="11"/>
      <c r="G174" s="11"/>
      <c r="H174" s="11"/>
      <c r="I174" s="11"/>
      <c r="J174" s="11"/>
      <c r="K174" s="11"/>
      <c r="L174" s="11"/>
      <c r="M174" s="11"/>
      <c r="N174" s="11"/>
      <c r="O174" s="11"/>
      <c r="P174" s="11"/>
      <c r="Q174" s="11"/>
      <c r="R174" s="32"/>
      <c r="S174" s="216"/>
      <c r="T174" s="2"/>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1:252" ht="15.6" x14ac:dyDescent="0.3">
      <c r="A175" s="12"/>
      <c r="B175" s="41" t="s">
        <v>44</v>
      </c>
      <c r="C175" s="14"/>
      <c r="D175" s="14"/>
      <c r="E175" s="14"/>
      <c r="F175" s="14"/>
      <c r="G175" s="14"/>
      <c r="H175" s="14"/>
      <c r="I175" s="14"/>
      <c r="J175" s="14"/>
      <c r="K175" s="14"/>
      <c r="L175" s="14"/>
      <c r="M175" s="14"/>
      <c r="N175" s="14"/>
      <c r="O175" s="14"/>
      <c r="P175" s="14"/>
      <c r="Q175" s="14"/>
      <c r="R175" s="33"/>
      <c r="S175" s="217"/>
      <c r="T175" s="2"/>
    </row>
    <row r="176" spans="1:252" ht="15.6" x14ac:dyDescent="0.3">
      <c r="A176" s="12"/>
      <c r="B176" s="22"/>
      <c r="C176" s="14"/>
      <c r="D176" s="14"/>
      <c r="E176" s="14"/>
      <c r="F176" s="14"/>
      <c r="G176" s="14"/>
      <c r="H176" s="14"/>
      <c r="I176" s="14"/>
      <c r="J176" s="14"/>
      <c r="K176" s="14"/>
      <c r="L176" s="14"/>
      <c r="M176" s="14"/>
      <c r="N176" s="14"/>
      <c r="O176" s="14"/>
      <c r="P176" s="14"/>
      <c r="Q176" s="14"/>
      <c r="R176" s="33"/>
      <c r="S176" s="217"/>
      <c r="T176" s="2"/>
    </row>
    <row r="177" spans="1:20" ht="15.6" x14ac:dyDescent="0.3">
      <c r="A177" s="112"/>
      <c r="B177" s="113" t="s">
        <v>172</v>
      </c>
      <c r="C177" s="113"/>
      <c r="D177" s="113"/>
      <c r="E177" s="113"/>
      <c r="F177" s="113"/>
      <c r="G177" s="113"/>
      <c r="H177" s="113"/>
      <c r="I177" s="113"/>
      <c r="J177" s="113"/>
      <c r="K177" s="113"/>
      <c r="L177" s="113"/>
      <c r="M177" s="113"/>
      <c r="N177" s="113"/>
      <c r="O177" s="113"/>
      <c r="P177" s="113"/>
      <c r="Q177" s="113"/>
      <c r="R177" s="156">
        <f>+R67</f>
        <v>288961</v>
      </c>
      <c r="S177" s="116"/>
      <c r="T177" s="2"/>
    </row>
    <row r="178" spans="1:20" ht="15.6" x14ac:dyDescent="0.3">
      <c r="A178" s="112"/>
      <c r="B178" s="113" t="s">
        <v>173</v>
      </c>
      <c r="C178" s="113"/>
      <c r="D178" s="113"/>
      <c r="E178" s="113"/>
      <c r="F178" s="113"/>
      <c r="G178" s="113"/>
      <c r="H178" s="113"/>
      <c r="I178" s="113"/>
      <c r="J178" s="113"/>
      <c r="K178" s="113"/>
      <c r="L178" s="113"/>
      <c r="M178" s="113"/>
      <c r="N178" s="113"/>
      <c r="O178" s="113"/>
      <c r="P178" s="113"/>
      <c r="Q178" s="113"/>
      <c r="R178" s="156">
        <f>+R77</f>
        <v>0</v>
      </c>
      <c r="S178" s="116"/>
      <c r="T178" s="2"/>
    </row>
    <row r="179" spans="1:20" ht="15.6" x14ac:dyDescent="0.3">
      <c r="A179" s="112"/>
      <c r="B179" s="113" t="s">
        <v>216</v>
      </c>
      <c r="C179" s="113"/>
      <c r="D179" s="113"/>
      <c r="E179" s="113"/>
      <c r="F179" s="113"/>
      <c r="G179" s="113"/>
      <c r="H179" s="113"/>
      <c r="I179" s="113"/>
      <c r="J179" s="113"/>
      <c r="K179" s="113"/>
      <c r="L179" s="113"/>
      <c r="M179" s="113"/>
      <c r="N179" s="113"/>
      <c r="O179" s="113"/>
      <c r="P179" s="113"/>
      <c r="Q179" s="113"/>
      <c r="R179" s="156">
        <f>+R78</f>
        <v>1478</v>
      </c>
      <c r="S179" s="116"/>
      <c r="T179" s="2"/>
    </row>
    <row r="180" spans="1:20" ht="15.6" x14ac:dyDescent="0.3">
      <c r="A180" s="112"/>
      <c r="B180" s="113" t="s">
        <v>126</v>
      </c>
      <c r="C180" s="113"/>
      <c r="D180" s="113"/>
      <c r="E180" s="113"/>
      <c r="F180" s="113"/>
      <c r="G180" s="113"/>
      <c r="H180" s="113"/>
      <c r="I180" s="113"/>
      <c r="J180" s="113"/>
      <c r="K180" s="113"/>
      <c r="L180" s="113"/>
      <c r="M180" s="113"/>
      <c r="N180" s="113"/>
      <c r="O180" s="113"/>
      <c r="P180" s="113"/>
      <c r="Q180" s="113"/>
      <c r="R180" s="156">
        <f>+R177+R178+R179</f>
        <v>290439</v>
      </c>
      <c r="S180" s="116"/>
      <c r="T180" s="2"/>
    </row>
    <row r="181" spans="1:20" ht="15.6" x14ac:dyDescent="0.3">
      <c r="A181" s="112"/>
      <c r="B181" s="113" t="s">
        <v>45</v>
      </c>
      <c r="C181" s="113"/>
      <c r="D181" s="113"/>
      <c r="E181" s="113"/>
      <c r="F181" s="113"/>
      <c r="G181" s="113"/>
      <c r="H181" s="113"/>
      <c r="I181" s="113"/>
      <c r="J181" s="113"/>
      <c r="K181" s="113"/>
      <c r="L181" s="113"/>
      <c r="M181" s="113"/>
      <c r="N181" s="113"/>
      <c r="O181" s="113"/>
      <c r="P181" s="113"/>
      <c r="Q181" s="113"/>
      <c r="R181" s="156">
        <f>R80</f>
        <v>290439</v>
      </c>
      <c r="S181" s="116"/>
      <c r="T181" s="2"/>
    </row>
    <row r="182" spans="1:20" ht="16.2" thickBot="1" x14ac:dyDescent="0.35">
      <c r="A182" s="12"/>
      <c r="B182" s="43"/>
      <c r="C182" s="43"/>
      <c r="D182" s="43"/>
      <c r="E182" s="43"/>
      <c r="F182" s="43"/>
      <c r="G182" s="43"/>
      <c r="H182" s="43"/>
      <c r="I182" s="43"/>
      <c r="J182" s="43"/>
      <c r="K182" s="43"/>
      <c r="L182" s="43"/>
      <c r="M182" s="43"/>
      <c r="N182" s="43"/>
      <c r="O182" s="43"/>
      <c r="P182" s="43"/>
      <c r="Q182" s="43"/>
      <c r="R182" s="162"/>
      <c r="S182" s="217"/>
      <c r="T182" s="2"/>
    </row>
    <row r="183" spans="1:20" ht="15.6" x14ac:dyDescent="0.3">
      <c r="A183" s="10"/>
      <c r="B183" s="11"/>
      <c r="C183" s="11"/>
      <c r="D183" s="11"/>
      <c r="E183" s="11"/>
      <c r="F183" s="11"/>
      <c r="G183" s="11"/>
      <c r="H183" s="11"/>
      <c r="I183" s="11"/>
      <c r="J183" s="11"/>
      <c r="K183" s="11"/>
      <c r="L183" s="11"/>
      <c r="M183" s="11"/>
      <c r="N183" s="11"/>
      <c r="O183" s="11"/>
      <c r="P183" s="11"/>
      <c r="Q183" s="11"/>
      <c r="R183" s="32"/>
      <c r="S183" s="216"/>
      <c r="T183" s="2"/>
    </row>
    <row r="184" spans="1:20" ht="15.6" x14ac:dyDescent="0.3">
      <c r="A184" s="12"/>
      <c r="B184" s="41" t="s">
        <v>46</v>
      </c>
      <c r="C184" s="37"/>
      <c r="D184" s="45"/>
      <c r="E184" s="45"/>
      <c r="F184" s="45"/>
      <c r="G184" s="45"/>
      <c r="H184" s="45"/>
      <c r="I184" s="45"/>
      <c r="J184" s="45"/>
      <c r="K184" s="45"/>
      <c r="L184" s="45"/>
      <c r="M184" s="45"/>
      <c r="N184" s="45"/>
      <c r="O184" s="45" t="s">
        <v>82</v>
      </c>
      <c r="P184" s="45" t="s">
        <v>170</v>
      </c>
      <c r="Q184" s="16"/>
      <c r="R184" s="46" t="s">
        <v>94</v>
      </c>
      <c r="S184" s="224"/>
      <c r="T184" s="2"/>
    </row>
    <row r="185" spans="1:20" ht="15.6" x14ac:dyDescent="0.3">
      <c r="A185" s="112"/>
      <c r="B185" s="113" t="s">
        <v>47</v>
      </c>
      <c r="C185" s="113"/>
      <c r="D185" s="113"/>
      <c r="E185" s="113"/>
      <c r="F185" s="113"/>
      <c r="G185" s="113"/>
      <c r="H185" s="113"/>
      <c r="I185" s="113"/>
      <c r="J185" s="113"/>
      <c r="K185" s="113"/>
      <c r="L185" s="113"/>
      <c r="M185" s="113"/>
      <c r="N185" s="113"/>
      <c r="O185" s="156">
        <f>+R31*0.08</f>
        <v>24000.720000000001</v>
      </c>
      <c r="P185" s="145"/>
      <c r="Q185" s="113"/>
      <c r="R185" s="156"/>
      <c r="S185" s="116"/>
      <c r="T185" s="2"/>
    </row>
    <row r="186" spans="1:20" ht="15.6" x14ac:dyDescent="0.3">
      <c r="A186" s="112"/>
      <c r="B186" s="113" t="s">
        <v>48</v>
      </c>
      <c r="C186" s="113"/>
      <c r="D186" s="113"/>
      <c r="E186" s="113"/>
      <c r="F186" s="113"/>
      <c r="G186" s="113"/>
      <c r="H186" s="113"/>
      <c r="I186" s="113"/>
      <c r="J186" s="113"/>
      <c r="K186" s="113"/>
      <c r="L186" s="113"/>
      <c r="M186" s="113"/>
      <c r="N186" s="113"/>
      <c r="O186" s="156">
        <f>+'Aug 15'!O188</f>
        <v>36</v>
      </c>
      <c r="P186" s="156">
        <f>+'Aug 15'!P188</f>
        <v>436</v>
      </c>
      <c r="Q186" s="113"/>
      <c r="R186" s="156">
        <f>O186+P186</f>
        <v>472</v>
      </c>
      <c r="S186" s="116"/>
      <c r="T186" s="2"/>
    </row>
    <row r="187" spans="1:20" ht="15.6" x14ac:dyDescent="0.3">
      <c r="A187" s="112"/>
      <c r="B187" s="113" t="s">
        <v>49</v>
      </c>
      <c r="C187" s="113"/>
      <c r="D187" s="113"/>
      <c r="E187" s="113"/>
      <c r="F187" s="113"/>
      <c r="G187" s="113"/>
      <c r="H187" s="113"/>
      <c r="I187" s="113"/>
      <c r="J187" s="113"/>
      <c r="K187" s="113"/>
      <c r="L187" s="113"/>
      <c r="M187" s="113"/>
      <c r="N187" s="113"/>
      <c r="O187" s="155">
        <v>151</v>
      </c>
      <c r="P187" s="155">
        <v>86</v>
      </c>
      <c r="Q187" s="113"/>
      <c r="R187" s="156">
        <f>O187+P187</f>
        <v>237</v>
      </c>
      <c r="S187" s="116"/>
      <c r="T187" s="2"/>
    </row>
    <row r="188" spans="1:20" ht="15.6" x14ac:dyDescent="0.3">
      <c r="A188" s="112"/>
      <c r="B188" s="113" t="s">
        <v>50</v>
      </c>
      <c r="C188" s="113"/>
      <c r="D188" s="113"/>
      <c r="E188" s="113"/>
      <c r="F188" s="113"/>
      <c r="G188" s="113"/>
      <c r="H188" s="113"/>
      <c r="I188" s="113"/>
      <c r="J188" s="113"/>
      <c r="K188" s="113"/>
      <c r="L188" s="113"/>
      <c r="M188" s="113"/>
      <c r="N188" s="113"/>
      <c r="O188" s="156">
        <f>O186+O187</f>
        <v>187</v>
      </c>
      <c r="P188" s="156">
        <f>P187+P186</f>
        <v>522</v>
      </c>
      <c r="Q188" s="113"/>
      <c r="R188" s="156">
        <f>O188+P188</f>
        <v>709</v>
      </c>
      <c r="S188" s="116"/>
      <c r="T188" s="2"/>
    </row>
    <row r="189" spans="1:20" ht="15.6" x14ac:dyDescent="0.3">
      <c r="A189" s="112"/>
      <c r="B189" s="113" t="s">
        <v>51</v>
      </c>
      <c r="C189" s="113"/>
      <c r="D189" s="113"/>
      <c r="E189" s="113"/>
      <c r="F189" s="113"/>
      <c r="G189" s="113"/>
      <c r="H189" s="113"/>
      <c r="I189" s="113"/>
      <c r="J189" s="113"/>
      <c r="K189" s="113"/>
      <c r="L189" s="113"/>
      <c r="M189" s="113"/>
      <c r="N189" s="113"/>
      <c r="O189" s="156">
        <f>O185-O188-P188</f>
        <v>23291.72</v>
      </c>
      <c r="P189" s="145"/>
      <c r="Q189" s="113"/>
      <c r="R189" s="156"/>
      <c r="S189" s="116"/>
      <c r="T189" s="2"/>
    </row>
    <row r="190" spans="1:20" ht="16.2" thickBot="1" x14ac:dyDescent="0.35">
      <c r="A190" s="12"/>
      <c r="B190" s="43"/>
      <c r="C190" s="43"/>
      <c r="D190" s="43"/>
      <c r="E190" s="43"/>
      <c r="F190" s="43"/>
      <c r="G190" s="43"/>
      <c r="H190" s="43"/>
      <c r="I190" s="43"/>
      <c r="J190" s="43"/>
      <c r="K190" s="43"/>
      <c r="L190" s="43"/>
      <c r="M190" s="43"/>
      <c r="N190" s="43"/>
      <c r="O190" s="43"/>
      <c r="P190" s="43"/>
      <c r="Q190" s="43"/>
      <c r="R190" s="162"/>
      <c r="S190" s="217"/>
      <c r="T190" s="2"/>
    </row>
    <row r="191" spans="1:20" ht="15.6" x14ac:dyDescent="0.3">
      <c r="A191" s="10"/>
      <c r="B191" s="11"/>
      <c r="C191" s="11"/>
      <c r="D191" s="11"/>
      <c r="E191" s="11"/>
      <c r="F191" s="11"/>
      <c r="G191" s="11"/>
      <c r="H191" s="11"/>
      <c r="I191" s="11"/>
      <c r="J191" s="11"/>
      <c r="K191" s="11"/>
      <c r="L191" s="11"/>
      <c r="M191" s="11"/>
      <c r="N191" s="11"/>
      <c r="O191" s="11"/>
      <c r="P191" s="11"/>
      <c r="Q191" s="11"/>
      <c r="R191" s="32"/>
      <c r="S191" s="216"/>
      <c r="T191" s="2"/>
    </row>
    <row r="192" spans="1:20" ht="15.6" x14ac:dyDescent="0.3">
      <c r="A192" s="12"/>
      <c r="B192" s="41" t="s">
        <v>52</v>
      </c>
      <c r="C192" s="14"/>
      <c r="D192" s="14"/>
      <c r="E192" s="14"/>
      <c r="F192" s="14"/>
      <c r="G192" s="14"/>
      <c r="H192" s="14"/>
      <c r="I192" s="14"/>
      <c r="J192" s="14"/>
      <c r="K192" s="14"/>
      <c r="L192" s="14"/>
      <c r="M192" s="14"/>
      <c r="N192" s="14"/>
      <c r="O192" s="14"/>
      <c r="P192" s="14"/>
      <c r="Q192" s="14"/>
      <c r="R192" s="47"/>
      <c r="S192" s="217"/>
      <c r="T192" s="2"/>
    </row>
    <row r="193" spans="1:20" ht="15.6" x14ac:dyDescent="0.3">
      <c r="A193" s="112"/>
      <c r="B193" s="113" t="s">
        <v>53</v>
      </c>
      <c r="C193" s="113"/>
      <c r="D193" s="113"/>
      <c r="E193" s="113"/>
      <c r="F193" s="113"/>
      <c r="G193" s="113"/>
      <c r="H193" s="113"/>
      <c r="I193" s="113"/>
      <c r="J193" s="113"/>
      <c r="K193" s="113"/>
      <c r="L193" s="113"/>
      <c r="M193" s="113"/>
      <c r="N193" s="113"/>
      <c r="O193" s="113"/>
      <c r="P193" s="113"/>
      <c r="Q193" s="113"/>
      <c r="R193" s="161">
        <f>(R100+R102+R103+R104+R105)/-(R106+R107)</f>
        <v>3.2739307535641546</v>
      </c>
      <c r="S193" s="116" t="s">
        <v>95</v>
      </c>
      <c r="T193" s="2"/>
    </row>
    <row r="194" spans="1:20" ht="15.6" x14ac:dyDescent="0.3">
      <c r="A194" s="112"/>
      <c r="B194" s="113" t="s">
        <v>54</v>
      </c>
      <c r="C194" s="113"/>
      <c r="D194" s="113"/>
      <c r="E194" s="113"/>
      <c r="F194" s="113"/>
      <c r="G194" s="113"/>
      <c r="H194" s="113"/>
      <c r="I194" s="113"/>
      <c r="J194" s="113"/>
      <c r="K194" s="113"/>
      <c r="L194" s="113"/>
      <c r="M194" s="113"/>
      <c r="N194" s="113"/>
      <c r="O194" s="113"/>
      <c r="P194" s="113"/>
      <c r="Q194" s="113"/>
      <c r="R194" s="241">
        <v>3.07</v>
      </c>
      <c r="S194" s="116" t="s">
        <v>95</v>
      </c>
      <c r="T194" s="2"/>
    </row>
    <row r="195" spans="1:20" ht="15.6" x14ac:dyDescent="0.3">
      <c r="A195" s="112"/>
      <c r="B195" s="113" t="s">
        <v>183</v>
      </c>
      <c r="C195" s="113"/>
      <c r="D195" s="113"/>
      <c r="E195" s="113"/>
      <c r="F195" s="113"/>
      <c r="G195" s="113"/>
      <c r="H195" s="113"/>
      <c r="I195" s="113"/>
      <c r="J195" s="113"/>
      <c r="K195" s="113"/>
      <c r="L195" s="113"/>
      <c r="M195" s="113"/>
      <c r="N195" s="113"/>
      <c r="O195" s="113"/>
      <c r="P195" s="113"/>
      <c r="Q195" s="113"/>
      <c r="R195" s="242">
        <f>(R100+R102+R103+R104+R105+R106+R107)/-(R108)</f>
        <v>38.5</v>
      </c>
      <c r="S195" s="116" t="s">
        <v>95</v>
      </c>
      <c r="T195" s="2"/>
    </row>
    <row r="196" spans="1:20" ht="15.6" x14ac:dyDescent="0.3">
      <c r="A196" s="112"/>
      <c r="B196" s="113" t="s">
        <v>184</v>
      </c>
      <c r="C196" s="113"/>
      <c r="D196" s="113"/>
      <c r="E196" s="113"/>
      <c r="F196" s="113"/>
      <c r="G196" s="113"/>
      <c r="H196" s="113"/>
      <c r="I196" s="113"/>
      <c r="J196" s="113"/>
      <c r="K196" s="113"/>
      <c r="L196" s="113"/>
      <c r="M196" s="113"/>
      <c r="N196" s="113"/>
      <c r="O196" s="113"/>
      <c r="P196" s="113"/>
      <c r="Q196" s="113"/>
      <c r="R196" s="241">
        <v>35.47</v>
      </c>
      <c r="S196" s="116" t="s">
        <v>95</v>
      </c>
      <c r="T196" s="2"/>
    </row>
    <row r="197" spans="1:20" ht="15.6" x14ac:dyDescent="0.3">
      <c r="A197" s="112"/>
      <c r="B197" s="113" t="s">
        <v>185</v>
      </c>
      <c r="C197" s="113"/>
      <c r="D197" s="113"/>
      <c r="E197" s="113"/>
      <c r="F197" s="113"/>
      <c r="G197" s="113"/>
      <c r="H197" s="113"/>
      <c r="I197" s="113"/>
      <c r="J197" s="113"/>
      <c r="K197" s="113"/>
      <c r="L197" s="113"/>
      <c r="M197" s="113"/>
      <c r="N197" s="113"/>
      <c r="O197" s="113"/>
      <c r="P197" s="113"/>
      <c r="Q197" s="113"/>
      <c r="R197" s="242">
        <f>(R100+R102+R103+R104+R105+R106+R107+R108)/-(R109)</f>
        <v>32.462686567164177</v>
      </c>
      <c r="S197" s="116" t="s">
        <v>95</v>
      </c>
      <c r="T197" s="2"/>
    </row>
    <row r="198" spans="1:20" ht="15.6" x14ac:dyDescent="0.3">
      <c r="A198" s="112"/>
      <c r="B198" s="113" t="s">
        <v>186</v>
      </c>
      <c r="C198" s="113"/>
      <c r="D198" s="113"/>
      <c r="E198" s="113"/>
      <c r="F198" s="113"/>
      <c r="G198" s="113"/>
      <c r="H198" s="113"/>
      <c r="I198" s="113"/>
      <c r="J198" s="113"/>
      <c r="K198" s="113"/>
      <c r="L198" s="113"/>
      <c r="M198" s="113"/>
      <c r="N198" s="113"/>
      <c r="O198" s="113"/>
      <c r="P198" s="113"/>
      <c r="Q198" s="113"/>
      <c r="R198" s="241">
        <v>29.82</v>
      </c>
      <c r="S198" s="116" t="s">
        <v>95</v>
      </c>
      <c r="T198" s="2"/>
    </row>
    <row r="199" spans="1:20" ht="15.6" x14ac:dyDescent="0.3">
      <c r="A199" s="112"/>
      <c r="B199" s="113" t="s">
        <v>257</v>
      </c>
      <c r="C199" s="113"/>
      <c r="D199" s="113"/>
      <c r="E199" s="113"/>
      <c r="F199" s="113"/>
      <c r="G199" s="113"/>
      <c r="H199" s="113"/>
      <c r="I199" s="113"/>
      <c r="J199" s="113"/>
      <c r="K199" s="113"/>
      <c r="L199" s="113"/>
      <c r="M199" s="113"/>
      <c r="N199" s="113"/>
      <c r="O199" s="113"/>
      <c r="P199" s="113"/>
      <c r="Q199" s="113"/>
      <c r="R199" s="242">
        <f>(R100+R102+R103+R104+R105+R106+R107+R108+R109+R110+R111+R112+R113+R114)/-(R115)</f>
        <v>43.479166666666664</v>
      </c>
      <c r="S199" s="116" t="s">
        <v>95</v>
      </c>
      <c r="T199" s="2"/>
    </row>
    <row r="200" spans="1:20" ht="15.6" x14ac:dyDescent="0.3">
      <c r="A200" s="112"/>
      <c r="B200" s="113" t="s">
        <v>258</v>
      </c>
      <c r="C200" s="113"/>
      <c r="D200" s="113"/>
      <c r="E200" s="113"/>
      <c r="F200" s="113"/>
      <c r="G200" s="113"/>
      <c r="H200" s="113"/>
      <c r="I200" s="113"/>
      <c r="J200" s="113"/>
      <c r="K200" s="113"/>
      <c r="L200" s="113"/>
      <c r="M200" s="113"/>
      <c r="N200" s="113"/>
      <c r="O200" s="113"/>
      <c r="P200" s="113"/>
      <c r="Q200" s="113"/>
      <c r="R200" s="241">
        <v>39.29</v>
      </c>
      <c r="S200" s="116" t="s">
        <v>95</v>
      </c>
      <c r="T200" s="2"/>
    </row>
    <row r="201" spans="1:20" ht="15.6" x14ac:dyDescent="0.3">
      <c r="A201" s="112"/>
      <c r="B201" s="113"/>
      <c r="C201" s="113"/>
      <c r="D201" s="113"/>
      <c r="E201" s="113"/>
      <c r="F201" s="113"/>
      <c r="G201" s="113"/>
      <c r="H201" s="113"/>
      <c r="I201" s="113"/>
      <c r="J201" s="113"/>
      <c r="K201" s="113"/>
      <c r="L201" s="113"/>
      <c r="M201" s="113"/>
      <c r="N201" s="113"/>
      <c r="O201" s="113"/>
      <c r="P201" s="113"/>
      <c r="Q201" s="113"/>
      <c r="R201" s="113"/>
      <c r="S201" s="116"/>
      <c r="T201" s="2"/>
    </row>
    <row r="202" spans="1:20" ht="15.6" x14ac:dyDescent="0.3">
      <c r="A202" s="12"/>
      <c r="B202" s="163"/>
      <c r="C202" s="163"/>
      <c r="D202" s="163"/>
      <c r="E202" s="163"/>
      <c r="F202" s="163"/>
      <c r="G202" s="163"/>
      <c r="H202" s="163"/>
      <c r="I202" s="163"/>
      <c r="J202" s="163"/>
      <c r="K202" s="163"/>
      <c r="L202" s="163"/>
      <c r="M202" s="163"/>
      <c r="N202" s="163"/>
      <c r="O202" s="163"/>
      <c r="P202" s="163"/>
      <c r="Q202" s="163"/>
      <c r="R202" s="163"/>
      <c r="S202" s="218"/>
      <c r="T202" s="2"/>
    </row>
    <row r="203" spans="1:20" ht="15.6" x14ac:dyDescent="0.3">
      <c r="A203" s="12"/>
      <c r="B203" s="84"/>
      <c r="C203" s="84"/>
      <c r="D203" s="84"/>
      <c r="E203" s="84"/>
      <c r="F203" s="84"/>
      <c r="G203" s="84"/>
      <c r="H203" s="84"/>
      <c r="I203" s="84"/>
      <c r="J203" s="84"/>
      <c r="K203" s="84"/>
      <c r="L203" s="84"/>
      <c r="M203" s="84"/>
      <c r="N203" s="84"/>
      <c r="O203" s="84"/>
      <c r="P203" s="84"/>
      <c r="Q203" s="84"/>
      <c r="R203" s="84"/>
      <c r="S203" s="218"/>
      <c r="T203" s="2"/>
    </row>
    <row r="204" spans="1:20" ht="18" thickBot="1" x14ac:dyDescent="0.35">
      <c r="A204" s="28"/>
      <c r="B204" s="97" t="str">
        <f>B132</f>
        <v>PM22 INVESTOR REPORT QUARTER ENDING NOVEMBER 2015</v>
      </c>
      <c r="C204" s="98"/>
      <c r="D204" s="98"/>
      <c r="E204" s="98"/>
      <c r="F204" s="98"/>
      <c r="G204" s="98"/>
      <c r="H204" s="98"/>
      <c r="I204" s="98"/>
      <c r="J204" s="98"/>
      <c r="K204" s="98"/>
      <c r="L204" s="98"/>
      <c r="M204" s="98"/>
      <c r="N204" s="98"/>
      <c r="O204" s="98"/>
      <c r="P204" s="98"/>
      <c r="Q204" s="98"/>
      <c r="R204" s="98"/>
      <c r="S204" s="99"/>
      <c r="T204" s="2"/>
    </row>
    <row r="205" spans="1:20" ht="15.6" x14ac:dyDescent="0.3">
      <c r="A205" s="65"/>
      <c r="B205" s="66" t="s">
        <v>55</v>
      </c>
      <c r="C205" s="69"/>
      <c r="D205" s="70"/>
      <c r="E205" s="70"/>
      <c r="F205" s="70"/>
      <c r="G205" s="70"/>
      <c r="H205" s="70"/>
      <c r="I205" s="70"/>
      <c r="J205" s="70"/>
      <c r="K205" s="70"/>
      <c r="L205" s="70"/>
      <c r="M205" s="70"/>
      <c r="N205" s="70"/>
      <c r="O205" s="70"/>
      <c r="P205" s="70">
        <v>42338</v>
      </c>
      <c r="Q205" s="67"/>
      <c r="R205" s="67"/>
      <c r="S205" s="223"/>
      <c r="T205" s="2"/>
    </row>
    <row r="206" spans="1:20" ht="15.6" x14ac:dyDescent="0.3">
      <c r="A206" s="48"/>
      <c r="B206" s="49"/>
      <c r="C206" s="50"/>
      <c r="D206" s="51"/>
      <c r="E206" s="51"/>
      <c r="F206" s="51"/>
      <c r="G206" s="51"/>
      <c r="H206" s="51"/>
      <c r="I206" s="51"/>
      <c r="J206" s="51"/>
      <c r="K206" s="51"/>
      <c r="L206" s="51"/>
      <c r="M206" s="51"/>
      <c r="N206" s="51"/>
      <c r="O206" s="51"/>
      <c r="P206" s="51"/>
      <c r="Q206" s="14"/>
      <c r="R206" s="14"/>
      <c r="S206" s="217"/>
      <c r="T206" s="2"/>
    </row>
    <row r="207" spans="1:20" ht="15.6" x14ac:dyDescent="0.3">
      <c r="A207" s="166"/>
      <c r="B207" s="113" t="s">
        <v>56</v>
      </c>
      <c r="C207" s="167"/>
      <c r="D207" s="148"/>
      <c r="E207" s="148"/>
      <c r="F207" s="148"/>
      <c r="G207" s="148"/>
      <c r="H207" s="148"/>
      <c r="I207" s="148"/>
      <c r="J207" s="148"/>
      <c r="K207" s="148"/>
      <c r="L207" s="148"/>
      <c r="M207" s="148"/>
      <c r="N207" s="148"/>
      <c r="O207" s="148"/>
      <c r="P207" s="142">
        <v>4.079E-2</v>
      </c>
      <c r="Q207" s="113"/>
      <c r="R207" s="113"/>
      <c r="S207" s="116"/>
      <c r="T207" s="2"/>
    </row>
    <row r="208" spans="1:20" ht="15.6" x14ac:dyDescent="0.3">
      <c r="A208" s="166"/>
      <c r="B208" s="113" t="s">
        <v>158</v>
      </c>
      <c r="C208" s="167"/>
      <c r="D208" s="148"/>
      <c r="E208" s="148"/>
      <c r="F208" s="148"/>
      <c r="G208" s="148"/>
      <c r="H208" s="148"/>
      <c r="I208" s="148"/>
      <c r="J208" s="148"/>
      <c r="K208" s="148"/>
      <c r="L208" s="148"/>
      <c r="M208" s="148"/>
      <c r="N208" s="148"/>
      <c r="O208" s="148"/>
      <c r="P208" s="142">
        <v>1.5340718167454973E-2</v>
      </c>
      <c r="Q208" s="113"/>
      <c r="R208" s="113"/>
      <c r="S208" s="116"/>
      <c r="T208" s="2"/>
    </row>
    <row r="209" spans="1:20" ht="15.6" x14ac:dyDescent="0.3">
      <c r="A209" s="166"/>
      <c r="B209" s="113" t="s">
        <v>57</v>
      </c>
      <c r="C209" s="167"/>
      <c r="D209" s="148"/>
      <c r="E209" s="148"/>
      <c r="F209" s="148"/>
      <c r="G209" s="148"/>
      <c r="H209" s="148"/>
      <c r="I209" s="148"/>
      <c r="J209" s="148"/>
      <c r="K209" s="148"/>
      <c r="L209" s="148"/>
      <c r="M209" s="148"/>
      <c r="N209" s="148"/>
      <c r="O209" s="148"/>
      <c r="P209" s="210">
        <f>P207-P208</f>
        <v>2.5449281832545027E-2</v>
      </c>
      <c r="Q209" s="113"/>
      <c r="R209" s="113"/>
      <c r="S209" s="116"/>
      <c r="T209" s="2"/>
    </row>
    <row r="210" spans="1:20" ht="15.6" x14ac:dyDescent="0.3">
      <c r="A210" s="166"/>
      <c r="B210" s="113" t="s">
        <v>161</v>
      </c>
      <c r="C210" s="167"/>
      <c r="D210" s="148"/>
      <c r="E210" s="148"/>
      <c r="F210" s="148"/>
      <c r="G210" s="148"/>
      <c r="H210" s="148"/>
      <c r="I210" s="148"/>
      <c r="J210" s="148"/>
      <c r="K210" s="148"/>
      <c r="L210" s="148"/>
      <c r="M210" s="148"/>
      <c r="N210" s="148"/>
      <c r="O210" s="148"/>
      <c r="P210" s="210">
        <v>4.5874999999999999E-2</v>
      </c>
      <c r="Q210" s="113"/>
      <c r="R210" s="113"/>
      <c r="S210" s="116"/>
      <c r="T210" s="2"/>
    </row>
    <row r="211" spans="1:20" ht="15.6" x14ac:dyDescent="0.3">
      <c r="A211" s="166"/>
      <c r="B211" s="113" t="s">
        <v>58</v>
      </c>
      <c r="C211" s="167"/>
      <c r="D211" s="148"/>
      <c r="E211" s="148"/>
      <c r="F211" s="148"/>
      <c r="G211" s="148"/>
      <c r="H211" s="148"/>
      <c r="I211" s="148"/>
      <c r="J211" s="148"/>
      <c r="K211" s="148"/>
      <c r="L211" s="148"/>
      <c r="M211" s="148"/>
      <c r="N211" s="148"/>
      <c r="O211" s="148"/>
      <c r="P211" s="208">
        <v>4.0419999999999998E-2</v>
      </c>
      <c r="Q211" s="113"/>
      <c r="R211" s="113"/>
      <c r="S211" s="116"/>
      <c r="T211" s="2"/>
    </row>
    <row r="212" spans="1:20" ht="15.6" x14ac:dyDescent="0.3">
      <c r="A212" s="166"/>
      <c r="B212" s="113" t="s">
        <v>159</v>
      </c>
      <c r="C212" s="167"/>
      <c r="D212" s="148"/>
      <c r="E212" s="148"/>
      <c r="F212" s="148"/>
      <c r="G212" s="148"/>
      <c r="H212" s="148"/>
      <c r="I212" s="148"/>
      <c r="J212" s="148"/>
      <c r="K212" s="148"/>
      <c r="L212" s="148"/>
      <c r="M212" s="148"/>
      <c r="N212" s="148"/>
      <c r="O212" s="148"/>
      <c r="P212" s="142">
        <f>R40</f>
        <v>1.568060068945875E-2</v>
      </c>
      <c r="Q212" s="113"/>
      <c r="R212" s="113"/>
      <c r="S212" s="116"/>
      <c r="T212" s="2"/>
    </row>
    <row r="213" spans="1:20" ht="15.6" x14ac:dyDescent="0.3">
      <c r="A213" s="166"/>
      <c r="B213" s="113" t="s">
        <v>59</v>
      </c>
      <c r="C213" s="167"/>
      <c r="D213" s="148"/>
      <c r="E213" s="148"/>
      <c r="F213" s="148"/>
      <c r="G213" s="148"/>
      <c r="H213" s="148"/>
      <c r="I213" s="148"/>
      <c r="J213" s="148"/>
      <c r="K213" s="148"/>
      <c r="L213" s="148"/>
      <c r="M213" s="148"/>
      <c r="N213" s="148"/>
      <c r="O213" s="148"/>
      <c r="P213" s="142">
        <f>P211-P212</f>
        <v>2.4739399310541248E-2</v>
      </c>
      <c r="Q213" s="113"/>
      <c r="R213" s="113"/>
      <c r="S213" s="116"/>
      <c r="T213" s="2"/>
    </row>
    <row r="214" spans="1:20" ht="15.6" x14ac:dyDescent="0.3">
      <c r="A214" s="166"/>
      <c r="B214" s="113" t="s">
        <v>139</v>
      </c>
      <c r="C214" s="167"/>
      <c r="D214" s="148"/>
      <c r="E214" s="148"/>
      <c r="F214" s="148"/>
      <c r="G214" s="148"/>
      <c r="H214" s="148"/>
      <c r="I214" s="148"/>
      <c r="J214" s="148"/>
      <c r="K214" s="148"/>
      <c r="L214" s="148"/>
      <c r="M214" s="148"/>
      <c r="N214" s="148"/>
      <c r="O214" s="148"/>
      <c r="P214" s="142">
        <f>(+R100+R102)/H80</f>
        <v>1.2242730138969702E-2</v>
      </c>
      <c r="Q214" s="113"/>
      <c r="R214" s="113"/>
      <c r="S214" s="116"/>
      <c r="T214" s="2"/>
    </row>
    <row r="215" spans="1:20" ht="15.6" x14ac:dyDescent="0.3">
      <c r="A215" s="166"/>
      <c r="B215" s="113" t="s">
        <v>132</v>
      </c>
      <c r="C215" s="167"/>
      <c r="D215" s="148"/>
      <c r="E215" s="148"/>
      <c r="F215" s="148"/>
      <c r="G215" s="148"/>
      <c r="H215" s="148"/>
      <c r="I215" s="148"/>
      <c r="J215" s="148"/>
      <c r="K215" s="148"/>
      <c r="L215" s="148"/>
      <c r="M215" s="148"/>
      <c r="N215" s="148"/>
      <c r="O215" s="148"/>
      <c r="P215" s="168">
        <v>52124</v>
      </c>
      <c r="Q215" s="113"/>
      <c r="R215" s="113"/>
      <c r="S215" s="116"/>
      <c r="T215" s="2"/>
    </row>
    <row r="216" spans="1:20" ht="15.6" x14ac:dyDescent="0.3">
      <c r="A216" s="166"/>
      <c r="B216" s="113" t="s">
        <v>187</v>
      </c>
      <c r="C216" s="167"/>
      <c r="D216" s="148"/>
      <c r="E216" s="148"/>
      <c r="F216" s="148"/>
      <c r="G216" s="148"/>
      <c r="H216" s="148"/>
      <c r="I216" s="148"/>
      <c r="J216" s="148"/>
      <c r="K216" s="148"/>
      <c r="L216" s="148"/>
      <c r="M216" s="148"/>
      <c r="N216" s="148"/>
      <c r="O216" s="148"/>
      <c r="P216" s="168">
        <v>15599</v>
      </c>
      <c r="Q216" s="113"/>
      <c r="R216" s="113"/>
      <c r="S216" s="116"/>
      <c r="T216" s="2"/>
    </row>
    <row r="217" spans="1:20" ht="15.6" x14ac:dyDescent="0.3">
      <c r="A217" s="166"/>
      <c r="B217" s="113" t="s">
        <v>188</v>
      </c>
      <c r="C217" s="167"/>
      <c r="D217" s="148"/>
      <c r="E217" s="148"/>
      <c r="F217" s="148"/>
      <c r="G217" s="148"/>
      <c r="H217" s="148"/>
      <c r="I217" s="148"/>
      <c r="J217" s="148"/>
      <c r="K217" s="148"/>
      <c r="L217" s="148"/>
      <c r="M217" s="148"/>
      <c r="N217" s="148"/>
      <c r="O217" s="148"/>
      <c r="P217" s="168">
        <v>15599</v>
      </c>
      <c r="Q217" s="113"/>
      <c r="R217" s="113"/>
      <c r="S217" s="116"/>
      <c r="T217" s="2"/>
    </row>
    <row r="218" spans="1:20" ht="15.6" x14ac:dyDescent="0.3">
      <c r="A218" s="166"/>
      <c r="B218" s="113" t="s">
        <v>259</v>
      </c>
      <c r="C218" s="167"/>
      <c r="D218" s="148"/>
      <c r="E218" s="148"/>
      <c r="F218" s="148"/>
      <c r="G218" s="148"/>
      <c r="H218" s="148"/>
      <c r="I218" s="148"/>
      <c r="J218" s="148"/>
      <c r="K218" s="148"/>
      <c r="L218" s="148"/>
      <c r="M218" s="148"/>
      <c r="N218" s="148"/>
      <c r="O218" s="148"/>
      <c r="P218" s="168">
        <v>15599</v>
      </c>
      <c r="Q218" s="113"/>
      <c r="R218" s="113"/>
      <c r="S218" s="116"/>
      <c r="T218" s="2"/>
    </row>
    <row r="219" spans="1:20" ht="15.6" x14ac:dyDescent="0.3">
      <c r="A219" s="166"/>
      <c r="B219" s="113" t="s">
        <v>60</v>
      </c>
      <c r="C219" s="167"/>
      <c r="D219" s="148"/>
      <c r="E219" s="148"/>
      <c r="F219" s="148"/>
      <c r="G219" s="148"/>
      <c r="H219" s="148"/>
      <c r="I219" s="148"/>
      <c r="J219" s="148"/>
      <c r="K219" s="148"/>
      <c r="L219" s="148"/>
      <c r="M219" s="148"/>
      <c r="N219" s="148"/>
      <c r="O219" s="148"/>
      <c r="P219" s="146">
        <v>20.55</v>
      </c>
      <c r="Q219" s="113" t="s">
        <v>90</v>
      </c>
      <c r="R219" s="113"/>
      <c r="S219" s="116"/>
      <c r="T219" s="2"/>
    </row>
    <row r="220" spans="1:20" ht="15.6" x14ac:dyDescent="0.3">
      <c r="A220" s="166"/>
      <c r="B220" s="113" t="s">
        <v>61</v>
      </c>
      <c r="C220" s="167"/>
      <c r="D220" s="148"/>
      <c r="E220" s="148"/>
      <c r="F220" s="148"/>
      <c r="G220" s="148"/>
      <c r="H220" s="148"/>
      <c r="I220" s="148"/>
      <c r="J220" s="148"/>
      <c r="K220" s="148"/>
      <c r="L220" s="148"/>
      <c r="M220" s="148"/>
      <c r="N220" s="148"/>
      <c r="O220" s="148"/>
      <c r="P220" s="209">
        <v>20.010000000000002</v>
      </c>
      <c r="Q220" s="113" t="s">
        <v>90</v>
      </c>
      <c r="R220" s="113"/>
      <c r="S220" s="116"/>
      <c r="T220" s="2"/>
    </row>
    <row r="221" spans="1:20" ht="15.6" x14ac:dyDescent="0.3">
      <c r="A221" s="166"/>
      <c r="B221" s="113" t="s">
        <v>62</v>
      </c>
      <c r="C221" s="167"/>
      <c r="D221" s="148"/>
      <c r="E221" s="148"/>
      <c r="F221" s="148"/>
      <c r="G221" s="148"/>
      <c r="H221" s="148"/>
      <c r="I221" s="148"/>
      <c r="J221" s="148"/>
      <c r="K221" s="148"/>
      <c r="L221" s="148"/>
      <c r="M221" s="148"/>
      <c r="N221" s="148"/>
      <c r="O221" s="148"/>
      <c r="P221" s="142">
        <f>(+J64+L64)/H64</f>
        <v>1.4694741152782992E-2</v>
      </c>
      <c r="Q221" s="113"/>
      <c r="R221" s="113"/>
      <c r="S221" s="116"/>
      <c r="T221" s="2"/>
    </row>
    <row r="222" spans="1:20" ht="15.6" x14ac:dyDescent="0.3">
      <c r="A222" s="166"/>
      <c r="B222" s="113" t="s">
        <v>63</v>
      </c>
      <c r="C222" s="167"/>
      <c r="D222" s="148"/>
      <c r="E222" s="148"/>
      <c r="F222" s="148"/>
      <c r="G222" s="148"/>
      <c r="H222" s="148"/>
      <c r="I222" s="148"/>
      <c r="J222" s="148"/>
      <c r="K222" s="148"/>
      <c r="L222" s="148"/>
      <c r="M222" s="148"/>
      <c r="N222" s="148"/>
      <c r="O222" s="148"/>
      <c r="P222" s="210">
        <v>4.19E-2</v>
      </c>
      <c r="Q222" s="113"/>
      <c r="R222" s="113"/>
      <c r="S222" s="116"/>
      <c r="T222" s="2"/>
    </row>
    <row r="223" spans="1:20" ht="15.6" x14ac:dyDescent="0.3">
      <c r="A223" s="48"/>
      <c r="B223" s="164"/>
      <c r="C223" s="164"/>
      <c r="D223" s="43"/>
      <c r="E223" s="43"/>
      <c r="F223" s="43"/>
      <c r="G223" s="43"/>
      <c r="H223" s="43"/>
      <c r="I223" s="43"/>
      <c r="J223" s="43"/>
      <c r="K223" s="43"/>
      <c r="L223" s="43"/>
      <c r="M223" s="43"/>
      <c r="N223" s="43"/>
      <c r="O223" s="43"/>
      <c r="P223" s="162"/>
      <c r="Q223" s="43"/>
      <c r="R223" s="165"/>
      <c r="S223" s="217"/>
      <c r="T223" s="2"/>
    </row>
    <row r="224" spans="1:20" ht="15.6" x14ac:dyDescent="0.3">
      <c r="A224" s="71"/>
      <c r="B224" s="61" t="s">
        <v>64</v>
      </c>
      <c r="C224" s="62"/>
      <c r="D224" s="62"/>
      <c r="E224" s="62"/>
      <c r="F224" s="62"/>
      <c r="G224" s="62"/>
      <c r="H224" s="62"/>
      <c r="I224" s="62"/>
      <c r="J224" s="62"/>
      <c r="K224" s="62"/>
      <c r="L224" s="62"/>
      <c r="M224" s="62"/>
      <c r="N224" s="62"/>
      <c r="O224" s="62" t="s">
        <v>83</v>
      </c>
      <c r="P224" s="72" t="s">
        <v>88</v>
      </c>
      <c r="Q224" s="54"/>
      <c r="R224" s="54"/>
      <c r="S224" s="219"/>
      <c r="T224" s="2"/>
    </row>
    <row r="225" spans="1:20" ht="15.6" x14ac:dyDescent="0.3">
      <c r="A225" s="52"/>
      <c r="B225" s="79" t="s">
        <v>65</v>
      </c>
      <c r="C225" s="78"/>
      <c r="D225" s="95"/>
      <c r="E225" s="95"/>
      <c r="F225" s="95"/>
      <c r="G225" s="95"/>
      <c r="H225" s="95"/>
      <c r="I225" s="95"/>
      <c r="J225" s="95"/>
      <c r="K225" s="95"/>
      <c r="L225" s="95"/>
      <c r="M225" s="95"/>
      <c r="N225" s="95"/>
      <c r="O225" s="95">
        <v>0</v>
      </c>
      <c r="P225" s="96">
        <v>0</v>
      </c>
      <c r="Q225" s="79"/>
      <c r="R225" s="94"/>
      <c r="S225" s="225"/>
      <c r="T225" s="2"/>
    </row>
    <row r="226" spans="1:20" ht="15.6" x14ac:dyDescent="0.3">
      <c r="A226" s="172"/>
      <c r="B226" s="113" t="s">
        <v>113</v>
      </c>
      <c r="C226" s="155"/>
      <c r="D226" s="123"/>
      <c r="E226" s="123"/>
      <c r="F226" s="123"/>
      <c r="G226" s="123"/>
      <c r="H226" s="123"/>
      <c r="I226" s="123"/>
      <c r="J226" s="123"/>
      <c r="K226" s="123"/>
      <c r="L226" s="123"/>
      <c r="M226" s="123"/>
      <c r="N226" s="123"/>
      <c r="O226" s="173">
        <f>+N278</f>
        <v>0</v>
      </c>
      <c r="P226" s="174">
        <f>+P278</f>
        <v>0</v>
      </c>
      <c r="Q226" s="113"/>
      <c r="R226" s="175"/>
      <c r="S226" s="176"/>
      <c r="T226" s="2"/>
    </row>
    <row r="227" spans="1:20" ht="15.6" x14ac:dyDescent="0.3">
      <c r="A227" s="172"/>
      <c r="B227" s="113" t="s">
        <v>66</v>
      </c>
      <c r="C227" s="155"/>
      <c r="D227" s="123"/>
      <c r="E227" s="123"/>
      <c r="F227" s="123"/>
      <c r="G227" s="123"/>
      <c r="H227" s="123"/>
      <c r="I227" s="123"/>
      <c r="J227" s="123"/>
      <c r="K227" s="123"/>
      <c r="L227" s="123"/>
      <c r="M227" s="123"/>
      <c r="N227" s="123"/>
      <c r="O227" s="173">
        <f>+N290</f>
        <v>0</v>
      </c>
      <c r="P227" s="174">
        <f>+P290</f>
        <v>0</v>
      </c>
      <c r="Q227" s="113"/>
      <c r="R227" s="175"/>
      <c r="S227" s="176"/>
      <c r="T227" s="2"/>
    </row>
    <row r="228" spans="1:20" ht="15.6" x14ac:dyDescent="0.3">
      <c r="A228" s="172"/>
      <c r="B228" s="134" t="s">
        <v>284</v>
      </c>
      <c r="C228" s="177"/>
      <c r="D228" s="135"/>
      <c r="E228" s="135"/>
      <c r="F228" s="135"/>
      <c r="G228" s="135"/>
      <c r="H228" s="135"/>
      <c r="I228" s="135"/>
      <c r="J228" s="135"/>
      <c r="K228" s="135"/>
      <c r="L228" s="135"/>
      <c r="M228" s="135"/>
      <c r="N228" s="135"/>
      <c r="O228" s="113"/>
      <c r="P228" s="174">
        <v>0</v>
      </c>
      <c r="Q228" s="135"/>
      <c r="R228" s="178"/>
      <c r="S228" s="176"/>
      <c r="T228" s="2"/>
    </row>
    <row r="229" spans="1:20" ht="15.6" x14ac:dyDescent="0.3">
      <c r="A229" s="172"/>
      <c r="B229" s="134" t="s">
        <v>140</v>
      </c>
      <c r="C229" s="177"/>
      <c r="D229" s="135"/>
      <c r="E229" s="135"/>
      <c r="F229" s="135"/>
      <c r="G229" s="135"/>
      <c r="H229" s="135"/>
      <c r="I229" s="135"/>
      <c r="J229" s="135"/>
      <c r="K229" s="135"/>
      <c r="L229" s="135"/>
      <c r="M229" s="135"/>
      <c r="N229" s="135"/>
      <c r="O229" s="113"/>
      <c r="P229" s="174">
        <f>-J77</f>
        <v>0</v>
      </c>
      <c r="Q229" s="135"/>
      <c r="R229" s="178"/>
      <c r="S229" s="176"/>
      <c r="T229" s="2"/>
    </row>
    <row r="230" spans="1:20" ht="15.6" x14ac:dyDescent="0.3">
      <c r="A230" s="179"/>
      <c r="B230" s="134" t="s">
        <v>67</v>
      </c>
      <c r="C230" s="180"/>
      <c r="D230" s="135"/>
      <c r="E230" s="135"/>
      <c r="F230" s="135"/>
      <c r="G230" s="135"/>
      <c r="H230" s="135"/>
      <c r="I230" s="135"/>
      <c r="J230" s="135"/>
      <c r="K230" s="135"/>
      <c r="L230" s="135"/>
      <c r="M230" s="135"/>
      <c r="N230" s="135"/>
      <c r="O230" s="113"/>
      <c r="P230" s="174"/>
      <c r="Q230" s="135"/>
      <c r="R230" s="178"/>
      <c r="S230" s="181"/>
      <c r="T230" s="2"/>
    </row>
    <row r="231" spans="1:20" ht="15.6" x14ac:dyDescent="0.3">
      <c r="A231" s="179"/>
      <c r="B231" s="118" t="s">
        <v>68</v>
      </c>
      <c r="C231" s="180"/>
      <c r="D231" s="135"/>
      <c r="E231" s="135"/>
      <c r="F231" s="135"/>
      <c r="G231" s="135"/>
      <c r="H231" s="135"/>
      <c r="I231" s="135"/>
      <c r="J231" s="135"/>
      <c r="K231" s="135"/>
      <c r="L231" s="135"/>
      <c r="M231" s="135"/>
      <c r="N231" s="135"/>
      <c r="O231" s="123"/>
      <c r="P231" s="174">
        <f>R162</f>
        <v>0</v>
      </c>
      <c r="Q231" s="135"/>
      <c r="R231" s="178"/>
      <c r="S231" s="181"/>
      <c r="T231" s="2"/>
    </row>
    <row r="232" spans="1:20" ht="15.6" x14ac:dyDescent="0.3">
      <c r="A232" s="172"/>
      <c r="B232" s="113" t="s">
        <v>69</v>
      </c>
      <c r="C232" s="177"/>
      <c r="D232" s="135"/>
      <c r="E232" s="135"/>
      <c r="F232" s="135"/>
      <c r="G232" s="135"/>
      <c r="H232" s="135"/>
      <c r="I232" s="135"/>
      <c r="J232" s="135"/>
      <c r="K232" s="135"/>
      <c r="L232" s="135"/>
      <c r="M232" s="135"/>
      <c r="N232" s="135"/>
      <c r="O232" s="123"/>
      <c r="P232" s="174">
        <f>+'Aug 15'!P232+P231</f>
        <v>0</v>
      </c>
      <c r="Q232" s="135"/>
      <c r="R232" s="178"/>
      <c r="S232" s="181"/>
      <c r="T232" s="2"/>
    </row>
    <row r="233" spans="1:20" ht="15.6" x14ac:dyDescent="0.3">
      <c r="A233" s="179"/>
      <c r="B233" s="134" t="s">
        <v>151</v>
      </c>
      <c r="C233" s="180"/>
      <c r="D233" s="135"/>
      <c r="E233" s="135"/>
      <c r="F233" s="135"/>
      <c r="G233" s="135"/>
      <c r="H233" s="135"/>
      <c r="I233" s="135"/>
      <c r="J233" s="135"/>
      <c r="K233" s="135"/>
      <c r="L233" s="135"/>
      <c r="M233" s="135"/>
      <c r="N233" s="135"/>
      <c r="O233" s="123"/>
      <c r="P233" s="174"/>
      <c r="Q233" s="135"/>
      <c r="R233" s="178"/>
      <c r="S233" s="181"/>
      <c r="T233" s="2"/>
    </row>
    <row r="234" spans="1:20" ht="15.6" x14ac:dyDescent="0.3">
      <c r="A234" s="179"/>
      <c r="B234" s="113" t="s">
        <v>160</v>
      </c>
      <c r="C234" s="180"/>
      <c r="D234" s="135"/>
      <c r="E234" s="135"/>
      <c r="F234" s="135"/>
      <c r="G234" s="135"/>
      <c r="H234" s="135"/>
      <c r="I234" s="135"/>
      <c r="J234" s="135"/>
      <c r="K234" s="135"/>
      <c r="L234" s="135"/>
      <c r="M234" s="135"/>
      <c r="N234" s="135"/>
      <c r="O234" s="123">
        <v>0</v>
      </c>
      <c r="P234" s="174">
        <v>0</v>
      </c>
      <c r="Q234" s="135"/>
      <c r="R234" s="178"/>
      <c r="S234" s="181"/>
      <c r="T234" s="2"/>
    </row>
    <row r="235" spans="1:20" ht="15.6" x14ac:dyDescent="0.3">
      <c r="A235" s="172"/>
      <c r="B235" s="113" t="s">
        <v>70</v>
      </c>
      <c r="C235" s="182"/>
      <c r="D235" s="135"/>
      <c r="E235" s="135"/>
      <c r="F235" s="135"/>
      <c r="G235" s="135"/>
      <c r="H235" s="135"/>
      <c r="I235" s="135"/>
      <c r="J235" s="135"/>
      <c r="K235" s="135"/>
      <c r="L235" s="135"/>
      <c r="M235" s="135"/>
      <c r="N235" s="135"/>
      <c r="O235" s="113"/>
      <c r="P235" s="183">
        <v>0</v>
      </c>
      <c r="Q235" s="135"/>
      <c r="R235" s="178"/>
      <c r="S235" s="181"/>
      <c r="T235" s="2"/>
    </row>
    <row r="236" spans="1:20" ht="15.6" x14ac:dyDescent="0.3">
      <c r="A236" s="172"/>
      <c r="B236" s="113" t="s">
        <v>71</v>
      </c>
      <c r="C236" s="182"/>
      <c r="D236" s="135"/>
      <c r="E236" s="135"/>
      <c r="F236" s="135"/>
      <c r="G236" s="135"/>
      <c r="H236" s="135"/>
      <c r="I236" s="135"/>
      <c r="J236" s="135"/>
      <c r="K236" s="135"/>
      <c r="L236" s="135"/>
      <c r="M236" s="135"/>
      <c r="N236" s="135"/>
      <c r="O236" s="113"/>
      <c r="P236" s="183">
        <v>0</v>
      </c>
      <c r="Q236" s="135"/>
      <c r="R236" s="178"/>
      <c r="S236" s="181"/>
      <c r="T236" s="2"/>
    </row>
    <row r="237" spans="1:20" ht="15.6" x14ac:dyDescent="0.3">
      <c r="A237" s="172"/>
      <c r="B237" s="134" t="s">
        <v>136</v>
      </c>
      <c r="C237" s="182"/>
      <c r="D237" s="135"/>
      <c r="E237" s="135"/>
      <c r="F237" s="135"/>
      <c r="G237" s="135"/>
      <c r="H237" s="135"/>
      <c r="I237" s="135"/>
      <c r="J237" s="135"/>
      <c r="K237" s="135"/>
      <c r="L237" s="135"/>
      <c r="M237" s="135"/>
      <c r="N237" s="135"/>
      <c r="O237" s="113"/>
      <c r="P237" s="184"/>
      <c r="Q237" s="135"/>
      <c r="R237" s="178"/>
      <c r="S237" s="181"/>
      <c r="T237" s="2"/>
    </row>
    <row r="238" spans="1:20" ht="15.6" x14ac:dyDescent="0.3">
      <c r="A238" s="172"/>
      <c r="B238" s="113" t="s">
        <v>160</v>
      </c>
      <c r="C238" s="182"/>
      <c r="D238" s="135"/>
      <c r="E238" s="135"/>
      <c r="F238" s="135"/>
      <c r="G238" s="135"/>
      <c r="H238" s="135"/>
      <c r="I238" s="135"/>
      <c r="J238" s="135"/>
      <c r="K238" s="135"/>
      <c r="L238" s="135"/>
      <c r="M238" s="135"/>
      <c r="N238" s="135"/>
      <c r="O238" s="123">
        <v>0</v>
      </c>
      <c r="P238" s="174">
        <v>0</v>
      </c>
      <c r="Q238" s="135"/>
      <c r="R238" s="178"/>
      <c r="S238" s="181"/>
      <c r="T238" s="2"/>
    </row>
    <row r="239" spans="1:20" ht="15.6" x14ac:dyDescent="0.3">
      <c r="A239" s="172"/>
      <c r="B239" s="113" t="s">
        <v>137</v>
      </c>
      <c r="C239" s="182"/>
      <c r="D239" s="135"/>
      <c r="E239" s="135"/>
      <c r="F239" s="135"/>
      <c r="G239" s="135"/>
      <c r="H239" s="135"/>
      <c r="I239" s="135"/>
      <c r="J239" s="135"/>
      <c r="K239" s="135"/>
      <c r="L239" s="135"/>
      <c r="M239" s="135"/>
      <c r="N239" s="135"/>
      <c r="O239" s="113"/>
      <c r="P239" s="183">
        <v>0</v>
      </c>
      <c r="Q239" s="135"/>
      <c r="R239" s="178"/>
      <c r="S239" s="181"/>
      <c r="T239" s="2"/>
    </row>
    <row r="240" spans="1:20" ht="15.6" x14ac:dyDescent="0.3">
      <c r="A240" s="172"/>
      <c r="B240" s="180"/>
      <c r="C240" s="182"/>
      <c r="D240" s="135"/>
      <c r="E240" s="135"/>
      <c r="F240" s="135"/>
      <c r="G240" s="135"/>
      <c r="H240" s="135"/>
      <c r="I240" s="135"/>
      <c r="J240" s="135"/>
      <c r="K240" s="135"/>
      <c r="L240" s="135"/>
      <c r="M240" s="135"/>
      <c r="N240" s="135"/>
      <c r="O240" s="113"/>
      <c r="P240" s="184"/>
      <c r="Q240" s="135"/>
      <c r="R240" s="178"/>
      <c r="S240" s="181"/>
      <c r="T240" s="2"/>
    </row>
    <row r="241" spans="1:20" ht="15.6" x14ac:dyDescent="0.3">
      <c r="A241" s="172"/>
      <c r="B241" s="180"/>
      <c r="C241" s="182"/>
      <c r="D241" s="135"/>
      <c r="E241" s="135"/>
      <c r="F241" s="135"/>
      <c r="G241" s="135"/>
      <c r="H241" s="135"/>
      <c r="I241" s="135"/>
      <c r="J241" s="135"/>
      <c r="K241" s="135"/>
      <c r="L241" s="135"/>
      <c r="M241" s="135"/>
      <c r="N241" s="135"/>
      <c r="O241" s="135"/>
      <c r="P241" s="185"/>
      <c r="Q241" s="135"/>
      <c r="R241" s="178"/>
      <c r="S241" s="181"/>
      <c r="T241" s="2"/>
    </row>
    <row r="242" spans="1:20" ht="17.399999999999999" x14ac:dyDescent="0.3">
      <c r="A242" s="172"/>
      <c r="B242" s="186" t="s">
        <v>129</v>
      </c>
      <c r="C242" s="182"/>
      <c r="D242" s="135"/>
      <c r="E242" s="135"/>
      <c r="F242" s="135"/>
      <c r="G242" s="135"/>
      <c r="H242" s="135"/>
      <c r="I242" s="135"/>
      <c r="J242" s="135"/>
      <c r="K242" s="135"/>
      <c r="L242" s="187"/>
      <c r="M242" s="135"/>
      <c r="N242" s="187" t="s">
        <v>128</v>
      </c>
      <c r="O242" s="187"/>
      <c r="P242" s="185"/>
      <c r="Q242" s="135"/>
      <c r="R242" s="178"/>
      <c r="S242" s="181"/>
      <c r="T242" s="2"/>
    </row>
    <row r="243" spans="1:20" ht="17.399999999999999" x14ac:dyDescent="0.3">
      <c r="A243" s="169"/>
      <c r="B243" s="199"/>
      <c r="C243" s="170"/>
      <c r="D243" s="43"/>
      <c r="E243" s="43"/>
      <c r="F243" s="43"/>
      <c r="G243" s="43"/>
      <c r="H243" s="43"/>
      <c r="I243" s="43"/>
      <c r="J243" s="43"/>
      <c r="K243" s="43"/>
      <c r="L243" s="200"/>
      <c r="M243" s="43"/>
      <c r="N243" s="43"/>
      <c r="O243" s="43"/>
      <c r="P243" s="171"/>
      <c r="Q243" s="43"/>
      <c r="R243" s="165"/>
      <c r="S243" s="226"/>
      <c r="T243" s="2"/>
    </row>
    <row r="244" spans="1:20" ht="15.6" x14ac:dyDescent="0.3">
      <c r="A244" s="53"/>
      <c r="B244" s="61" t="s">
        <v>152</v>
      </c>
      <c r="C244" s="62"/>
      <c r="D244" s="62"/>
      <c r="E244" s="62"/>
      <c r="F244" s="62"/>
      <c r="G244" s="62"/>
      <c r="H244" s="62"/>
      <c r="I244" s="62"/>
      <c r="J244" s="62"/>
      <c r="K244" s="62"/>
      <c r="L244" s="62"/>
      <c r="M244" s="62"/>
      <c r="N244" s="72" t="s">
        <v>83</v>
      </c>
      <c r="O244" s="62" t="s">
        <v>84</v>
      </c>
      <c r="P244" s="72" t="s">
        <v>89</v>
      </c>
      <c r="Q244" s="62" t="s">
        <v>84</v>
      </c>
      <c r="R244" s="54"/>
      <c r="S244" s="227"/>
      <c r="T244" s="2"/>
    </row>
    <row r="245" spans="1:20" ht="15.6" x14ac:dyDescent="0.3">
      <c r="A245" s="24"/>
      <c r="B245" s="78" t="s">
        <v>72</v>
      </c>
      <c r="C245" s="93"/>
      <c r="D245" s="93"/>
      <c r="E245" s="93"/>
      <c r="F245" s="93"/>
      <c r="G245" s="93"/>
      <c r="H245" s="93"/>
      <c r="I245" s="93"/>
      <c r="J245" s="93"/>
      <c r="K245" s="93"/>
      <c r="L245" s="93"/>
      <c r="M245" s="93"/>
      <c r="N245" s="78">
        <f>+N257+N269+N281</f>
        <v>1814</v>
      </c>
      <c r="O245" s="81">
        <f>N245/$N$254</f>
        <v>1</v>
      </c>
      <c r="P245" s="82">
        <f t="shared" ref="P245:P252" si="5">+P257+P269+P281</f>
        <v>288961</v>
      </c>
      <c r="Q245" s="81">
        <f t="shared" ref="Q245:Q252" si="6">P245/$P$254</f>
        <v>1</v>
      </c>
      <c r="R245" s="94"/>
      <c r="S245" s="228"/>
      <c r="T245" s="2"/>
    </row>
    <row r="246" spans="1:20" ht="15.6" x14ac:dyDescent="0.3">
      <c r="A246" s="112"/>
      <c r="B246" s="155" t="s">
        <v>73</v>
      </c>
      <c r="C246" s="191"/>
      <c r="D246" s="191"/>
      <c r="E246" s="191"/>
      <c r="F246" s="191"/>
      <c r="G246" s="191"/>
      <c r="H246" s="191"/>
      <c r="I246" s="191"/>
      <c r="J246" s="191"/>
      <c r="K246" s="191"/>
      <c r="L246" s="191"/>
      <c r="M246" s="191"/>
      <c r="N246" s="155">
        <f t="shared" ref="N246:N252" si="7">+N258+N270+N282</f>
        <v>0</v>
      </c>
      <c r="O246" s="192">
        <f t="shared" ref="O246:O252" si="8">N246/$N$254</f>
        <v>0</v>
      </c>
      <c r="P246" s="156">
        <f t="shared" si="5"/>
        <v>0</v>
      </c>
      <c r="Q246" s="192">
        <f t="shared" si="6"/>
        <v>0</v>
      </c>
      <c r="R246" s="175"/>
      <c r="S246" s="193"/>
      <c r="T246" s="2"/>
    </row>
    <row r="247" spans="1:20" ht="15.6" x14ac:dyDescent="0.3">
      <c r="A247" s="112"/>
      <c r="B247" s="155" t="s">
        <v>74</v>
      </c>
      <c r="C247" s="191"/>
      <c r="D247" s="191"/>
      <c r="E247" s="191"/>
      <c r="F247" s="191"/>
      <c r="G247" s="191"/>
      <c r="H247" s="191"/>
      <c r="I247" s="191"/>
      <c r="J247" s="191"/>
      <c r="K247" s="191"/>
      <c r="L247" s="191"/>
      <c r="M247" s="191"/>
      <c r="N247" s="155">
        <f t="shared" si="7"/>
        <v>0</v>
      </c>
      <c r="O247" s="192">
        <f t="shared" si="8"/>
        <v>0</v>
      </c>
      <c r="P247" s="156">
        <f t="shared" si="5"/>
        <v>0</v>
      </c>
      <c r="Q247" s="192">
        <f t="shared" si="6"/>
        <v>0</v>
      </c>
      <c r="R247" s="175"/>
      <c r="S247" s="193"/>
      <c r="T247" s="2"/>
    </row>
    <row r="248" spans="1:20" ht="15.6" x14ac:dyDescent="0.3">
      <c r="A248" s="112"/>
      <c r="B248" s="155" t="s">
        <v>119</v>
      </c>
      <c r="C248" s="191"/>
      <c r="D248" s="191"/>
      <c r="E248" s="191"/>
      <c r="F248" s="191"/>
      <c r="G248" s="191"/>
      <c r="H248" s="191"/>
      <c r="I248" s="191"/>
      <c r="J248" s="191"/>
      <c r="K248" s="191"/>
      <c r="L248" s="191"/>
      <c r="M248" s="191"/>
      <c r="N248" s="155">
        <f t="shared" si="7"/>
        <v>0</v>
      </c>
      <c r="O248" s="192">
        <f t="shared" si="8"/>
        <v>0</v>
      </c>
      <c r="P248" s="156">
        <f t="shared" si="5"/>
        <v>0</v>
      </c>
      <c r="Q248" s="192">
        <f t="shared" si="6"/>
        <v>0</v>
      </c>
      <c r="R248" s="175"/>
      <c r="S248" s="193"/>
      <c r="T248" s="2"/>
    </row>
    <row r="249" spans="1:20" ht="15.6" x14ac:dyDescent="0.3">
      <c r="A249" s="112"/>
      <c r="B249" s="155" t="s">
        <v>120</v>
      </c>
      <c r="C249" s="191"/>
      <c r="D249" s="191"/>
      <c r="E249" s="191"/>
      <c r="F249" s="191"/>
      <c r="G249" s="191"/>
      <c r="H249" s="191"/>
      <c r="I249" s="191"/>
      <c r="J249" s="191"/>
      <c r="K249" s="191"/>
      <c r="L249" s="191"/>
      <c r="M249" s="191"/>
      <c r="N249" s="155">
        <f t="shared" si="7"/>
        <v>0</v>
      </c>
      <c r="O249" s="192">
        <f t="shared" si="8"/>
        <v>0</v>
      </c>
      <c r="P249" s="156">
        <f t="shared" si="5"/>
        <v>0</v>
      </c>
      <c r="Q249" s="192">
        <f t="shared" si="6"/>
        <v>0</v>
      </c>
      <c r="R249" s="175"/>
      <c r="S249" s="193"/>
      <c r="T249" s="2"/>
    </row>
    <row r="250" spans="1:20" ht="15.6" x14ac:dyDescent="0.3">
      <c r="A250" s="112"/>
      <c r="B250" s="155" t="s">
        <v>121</v>
      </c>
      <c r="C250" s="191"/>
      <c r="D250" s="191"/>
      <c r="E250" s="191"/>
      <c r="F250" s="191"/>
      <c r="G250" s="191"/>
      <c r="H250" s="191"/>
      <c r="I250" s="191"/>
      <c r="J250" s="191"/>
      <c r="K250" s="191"/>
      <c r="L250" s="191"/>
      <c r="M250" s="191"/>
      <c r="N250" s="155">
        <f t="shared" si="7"/>
        <v>0</v>
      </c>
      <c r="O250" s="192">
        <f t="shared" si="8"/>
        <v>0</v>
      </c>
      <c r="P250" s="156">
        <f t="shared" si="5"/>
        <v>0</v>
      </c>
      <c r="Q250" s="192">
        <f t="shared" si="6"/>
        <v>0</v>
      </c>
      <c r="R250" s="175"/>
      <c r="S250" s="193"/>
      <c r="T250" s="2"/>
    </row>
    <row r="251" spans="1:20" ht="15.6" x14ac:dyDescent="0.3">
      <c r="A251" s="112"/>
      <c r="B251" s="155" t="s">
        <v>122</v>
      </c>
      <c r="C251" s="191"/>
      <c r="D251" s="191"/>
      <c r="E251" s="191"/>
      <c r="F251" s="191"/>
      <c r="G251" s="191"/>
      <c r="H251" s="191"/>
      <c r="I251" s="191"/>
      <c r="J251" s="191"/>
      <c r="K251" s="191"/>
      <c r="L251" s="191"/>
      <c r="M251" s="191"/>
      <c r="N251" s="155">
        <f t="shared" si="7"/>
        <v>0</v>
      </c>
      <c r="O251" s="192">
        <f t="shared" si="8"/>
        <v>0</v>
      </c>
      <c r="P251" s="156">
        <f t="shared" si="5"/>
        <v>0</v>
      </c>
      <c r="Q251" s="192">
        <f t="shared" si="6"/>
        <v>0</v>
      </c>
      <c r="R251" s="175"/>
      <c r="S251" s="193"/>
      <c r="T251" s="2"/>
    </row>
    <row r="252" spans="1:20" ht="15.6" x14ac:dyDescent="0.3">
      <c r="A252" s="112"/>
      <c r="B252" s="155" t="s">
        <v>123</v>
      </c>
      <c r="C252" s="191"/>
      <c r="D252" s="191"/>
      <c r="E252" s="191"/>
      <c r="F252" s="191"/>
      <c r="G252" s="191"/>
      <c r="H252" s="191"/>
      <c r="I252" s="191"/>
      <c r="J252" s="191"/>
      <c r="K252" s="191"/>
      <c r="L252" s="191"/>
      <c r="M252" s="191"/>
      <c r="N252" s="155">
        <f t="shared" si="7"/>
        <v>0</v>
      </c>
      <c r="O252" s="192">
        <f t="shared" si="8"/>
        <v>0</v>
      </c>
      <c r="P252" s="156">
        <f t="shared" si="5"/>
        <v>0</v>
      </c>
      <c r="Q252" s="192">
        <f t="shared" si="6"/>
        <v>0</v>
      </c>
      <c r="R252" s="175"/>
      <c r="S252" s="193"/>
      <c r="T252" s="2"/>
    </row>
    <row r="253" spans="1:20" ht="15.6" x14ac:dyDescent="0.3">
      <c r="A253" s="112"/>
      <c r="B253" s="155"/>
      <c r="C253" s="191"/>
      <c r="D253" s="191"/>
      <c r="E253" s="191"/>
      <c r="F253" s="191"/>
      <c r="G253" s="191"/>
      <c r="H253" s="191"/>
      <c r="I253" s="191"/>
      <c r="J253" s="191"/>
      <c r="K253" s="191"/>
      <c r="L253" s="191"/>
      <c r="M253" s="191"/>
      <c r="N253" s="155"/>
      <c r="O253" s="192"/>
      <c r="P253" s="156"/>
      <c r="Q253" s="192"/>
      <c r="R253" s="175"/>
      <c r="S253" s="193"/>
      <c r="T253" s="2"/>
    </row>
    <row r="254" spans="1:20" ht="15.6" x14ac:dyDescent="0.3">
      <c r="A254" s="112"/>
      <c r="B254" s="113" t="s">
        <v>94</v>
      </c>
      <c r="C254" s="113"/>
      <c r="D254" s="194"/>
      <c r="E254" s="194"/>
      <c r="F254" s="194"/>
      <c r="G254" s="194"/>
      <c r="H254" s="194"/>
      <c r="I254" s="194"/>
      <c r="J254" s="194"/>
      <c r="K254" s="194"/>
      <c r="L254" s="194"/>
      <c r="M254" s="194"/>
      <c r="N254" s="155">
        <f>SUM(N245:N253)</f>
        <v>1814</v>
      </c>
      <c r="O254" s="192">
        <f>SUM(O245:O253)</f>
        <v>1</v>
      </c>
      <c r="P254" s="156">
        <f>SUM(P245:P253)</f>
        <v>288961</v>
      </c>
      <c r="Q254" s="192">
        <f>SUM(Q245:Q253)</f>
        <v>1</v>
      </c>
      <c r="R254" s="113"/>
      <c r="S254" s="116"/>
      <c r="T254" s="2"/>
    </row>
    <row r="255" spans="1:20" ht="15.6" x14ac:dyDescent="0.3">
      <c r="A255" s="12"/>
      <c r="B255" s="164"/>
      <c r="C255" s="170"/>
      <c r="D255" s="43"/>
      <c r="E255" s="43"/>
      <c r="F255" s="43"/>
      <c r="G255" s="43"/>
      <c r="H255" s="43"/>
      <c r="I255" s="43"/>
      <c r="J255" s="43"/>
      <c r="K255" s="43"/>
      <c r="L255" s="43"/>
      <c r="M255" s="43"/>
      <c r="N255" s="43"/>
      <c r="O255" s="43"/>
      <c r="P255" s="171"/>
      <c r="Q255" s="43"/>
      <c r="R255" s="43"/>
      <c r="S255" s="217"/>
      <c r="T255" s="2"/>
    </row>
    <row r="256" spans="1:20" ht="15.6" x14ac:dyDescent="0.3">
      <c r="A256" s="53"/>
      <c r="B256" s="61" t="s">
        <v>124</v>
      </c>
      <c r="C256" s="62"/>
      <c r="D256" s="62"/>
      <c r="E256" s="62"/>
      <c r="F256" s="62"/>
      <c r="G256" s="62"/>
      <c r="H256" s="62"/>
      <c r="I256" s="62"/>
      <c r="J256" s="62"/>
      <c r="K256" s="62"/>
      <c r="L256" s="62"/>
      <c r="M256" s="62"/>
      <c r="N256" s="72" t="s">
        <v>83</v>
      </c>
      <c r="O256" s="62" t="s">
        <v>84</v>
      </c>
      <c r="P256" s="72" t="s">
        <v>89</v>
      </c>
      <c r="Q256" s="62" t="s">
        <v>84</v>
      </c>
      <c r="R256" s="54"/>
      <c r="S256" s="227"/>
      <c r="T256" s="2"/>
    </row>
    <row r="257" spans="1:21" ht="15.6" x14ac:dyDescent="0.3">
      <c r="A257" s="24"/>
      <c r="B257" s="78" t="s">
        <v>72</v>
      </c>
      <c r="C257" s="93"/>
      <c r="D257" s="93"/>
      <c r="E257" s="93"/>
      <c r="F257" s="93"/>
      <c r="G257" s="93"/>
      <c r="H257" s="93"/>
      <c r="I257" s="93"/>
      <c r="J257" s="93"/>
      <c r="K257" s="93"/>
      <c r="L257" s="93"/>
      <c r="M257" s="93"/>
      <c r="N257" s="78">
        <v>1814</v>
      </c>
      <c r="O257" s="81">
        <f>N257/$N$266</f>
        <v>1</v>
      </c>
      <c r="P257" s="82">
        <v>288961</v>
      </c>
      <c r="Q257" s="81">
        <f>P257/$P$266</f>
        <v>1</v>
      </c>
      <c r="R257" s="94"/>
      <c r="S257" s="228"/>
      <c r="T257" s="2"/>
    </row>
    <row r="258" spans="1:21" ht="15.6" x14ac:dyDescent="0.3">
      <c r="A258" s="112"/>
      <c r="B258" s="155" t="s">
        <v>73</v>
      </c>
      <c r="C258" s="191"/>
      <c r="D258" s="191"/>
      <c r="E258" s="191"/>
      <c r="F258" s="191"/>
      <c r="G258" s="191"/>
      <c r="H258" s="191"/>
      <c r="I258" s="191"/>
      <c r="J258" s="191"/>
      <c r="K258" s="191"/>
      <c r="L258" s="191"/>
      <c r="M258" s="191"/>
      <c r="N258" s="155">
        <v>0</v>
      </c>
      <c r="O258" s="192">
        <f t="shared" ref="O258:O264" si="9">N258/$N$266</f>
        <v>0</v>
      </c>
      <c r="P258" s="156">
        <v>0</v>
      </c>
      <c r="Q258" s="192">
        <f t="shared" ref="Q258:Q264" si="10">P258/$P$266</f>
        <v>0</v>
      </c>
      <c r="R258" s="175"/>
      <c r="S258" s="193"/>
      <c r="T258" s="2"/>
      <c r="U258" s="4"/>
    </row>
    <row r="259" spans="1:21" ht="15.6" x14ac:dyDescent="0.3">
      <c r="A259" s="112"/>
      <c r="B259" s="155" t="s">
        <v>74</v>
      </c>
      <c r="C259" s="191"/>
      <c r="D259" s="191"/>
      <c r="E259" s="191"/>
      <c r="F259" s="191"/>
      <c r="G259" s="191"/>
      <c r="H259" s="191"/>
      <c r="I259" s="191"/>
      <c r="J259" s="191"/>
      <c r="K259" s="191"/>
      <c r="L259" s="191"/>
      <c r="M259" s="191"/>
      <c r="N259" s="155">
        <v>0</v>
      </c>
      <c r="O259" s="192">
        <f t="shared" si="9"/>
        <v>0</v>
      </c>
      <c r="P259" s="156">
        <v>0</v>
      </c>
      <c r="Q259" s="192">
        <f t="shared" si="10"/>
        <v>0</v>
      </c>
      <c r="R259" s="175"/>
      <c r="S259" s="193"/>
      <c r="T259" s="2"/>
    </row>
    <row r="260" spans="1:21" ht="15.6" x14ac:dyDescent="0.3">
      <c r="A260" s="112"/>
      <c r="B260" s="155" t="s">
        <v>119</v>
      </c>
      <c r="C260" s="191"/>
      <c r="D260" s="191"/>
      <c r="E260" s="191"/>
      <c r="F260" s="191"/>
      <c r="G260" s="191"/>
      <c r="H260" s="191"/>
      <c r="I260" s="191"/>
      <c r="J260" s="191"/>
      <c r="K260" s="191"/>
      <c r="L260" s="191"/>
      <c r="M260" s="191"/>
      <c r="N260" s="155">
        <v>0</v>
      </c>
      <c r="O260" s="192">
        <f t="shared" si="9"/>
        <v>0</v>
      </c>
      <c r="P260" s="156">
        <v>0</v>
      </c>
      <c r="Q260" s="192">
        <f t="shared" si="10"/>
        <v>0</v>
      </c>
      <c r="R260" s="175"/>
      <c r="S260" s="193"/>
      <c r="T260" s="2"/>
      <c r="U260" s="4"/>
    </row>
    <row r="261" spans="1:21" ht="15.6" x14ac:dyDescent="0.3">
      <c r="A261" s="112"/>
      <c r="B261" s="155" t="s">
        <v>120</v>
      </c>
      <c r="C261" s="191"/>
      <c r="D261" s="191"/>
      <c r="E261" s="191"/>
      <c r="F261" s="191"/>
      <c r="G261" s="191"/>
      <c r="H261" s="191"/>
      <c r="I261" s="191"/>
      <c r="J261" s="191"/>
      <c r="K261" s="191"/>
      <c r="L261" s="191"/>
      <c r="M261" s="191"/>
      <c r="N261" s="155">
        <v>0</v>
      </c>
      <c r="O261" s="192">
        <f t="shared" si="9"/>
        <v>0</v>
      </c>
      <c r="P261" s="156">
        <v>0</v>
      </c>
      <c r="Q261" s="192">
        <f t="shared" si="10"/>
        <v>0</v>
      </c>
      <c r="R261" s="175"/>
      <c r="S261" s="193"/>
      <c r="T261" s="2"/>
    </row>
    <row r="262" spans="1:21" ht="15.6" x14ac:dyDescent="0.3">
      <c r="A262" s="112"/>
      <c r="B262" s="155" t="s">
        <v>121</v>
      </c>
      <c r="C262" s="191"/>
      <c r="D262" s="191"/>
      <c r="E262" s="191"/>
      <c r="F262" s="191"/>
      <c r="G262" s="191"/>
      <c r="H262" s="191"/>
      <c r="I262" s="191"/>
      <c r="J262" s="191"/>
      <c r="K262" s="191"/>
      <c r="L262" s="191"/>
      <c r="M262" s="191"/>
      <c r="N262" s="155">
        <v>0</v>
      </c>
      <c r="O262" s="192">
        <f t="shared" si="9"/>
        <v>0</v>
      </c>
      <c r="P262" s="156">
        <v>0</v>
      </c>
      <c r="Q262" s="192">
        <f t="shared" si="10"/>
        <v>0</v>
      </c>
      <c r="R262" s="175"/>
      <c r="S262" s="193"/>
      <c r="T262" s="2"/>
      <c r="U262" s="4"/>
    </row>
    <row r="263" spans="1:21" ht="15.6" x14ac:dyDescent="0.3">
      <c r="A263" s="112"/>
      <c r="B263" s="155" t="s">
        <v>122</v>
      </c>
      <c r="C263" s="191"/>
      <c r="D263" s="191"/>
      <c r="E263" s="191"/>
      <c r="F263" s="191"/>
      <c r="G263" s="191"/>
      <c r="H263" s="191"/>
      <c r="I263" s="191"/>
      <c r="J263" s="191"/>
      <c r="K263" s="191"/>
      <c r="L263" s="191"/>
      <c r="M263" s="191"/>
      <c r="N263" s="155">
        <v>0</v>
      </c>
      <c r="O263" s="192">
        <f t="shared" si="9"/>
        <v>0</v>
      </c>
      <c r="P263" s="156">
        <v>0</v>
      </c>
      <c r="Q263" s="192">
        <f t="shared" si="10"/>
        <v>0</v>
      </c>
      <c r="R263" s="175"/>
      <c r="S263" s="193"/>
      <c r="T263" s="2"/>
    </row>
    <row r="264" spans="1:21" ht="15.6" x14ac:dyDescent="0.3">
      <c r="A264" s="112"/>
      <c r="B264" s="155" t="s">
        <v>123</v>
      </c>
      <c r="C264" s="191"/>
      <c r="D264" s="191"/>
      <c r="E264" s="191"/>
      <c r="F264" s="191"/>
      <c r="G264" s="191"/>
      <c r="H264" s="191"/>
      <c r="I264" s="191"/>
      <c r="J264" s="191"/>
      <c r="K264" s="191"/>
      <c r="L264" s="191"/>
      <c r="M264" s="191"/>
      <c r="N264" s="155">
        <v>0</v>
      </c>
      <c r="O264" s="192">
        <f t="shared" si="9"/>
        <v>0</v>
      </c>
      <c r="P264" s="156">
        <v>0</v>
      </c>
      <c r="Q264" s="192">
        <f t="shared" si="10"/>
        <v>0</v>
      </c>
      <c r="R264" s="175"/>
      <c r="S264" s="193"/>
      <c r="T264" s="2"/>
      <c r="U264" s="4"/>
    </row>
    <row r="265" spans="1:21" ht="15.6" x14ac:dyDescent="0.3">
      <c r="A265" s="112"/>
      <c r="B265" s="155"/>
      <c r="C265" s="191"/>
      <c r="D265" s="191"/>
      <c r="E265" s="191"/>
      <c r="F265" s="191"/>
      <c r="G265" s="191"/>
      <c r="H265" s="191"/>
      <c r="I265" s="191"/>
      <c r="J265" s="191"/>
      <c r="K265" s="191"/>
      <c r="L265" s="191"/>
      <c r="M265" s="191"/>
      <c r="N265" s="155"/>
      <c r="O265" s="192"/>
      <c r="P265" s="156"/>
      <c r="Q265" s="192"/>
      <c r="R265" s="175"/>
      <c r="S265" s="193"/>
      <c r="T265" s="2"/>
    </row>
    <row r="266" spans="1:21" ht="15.6" x14ac:dyDescent="0.3">
      <c r="A266" s="112"/>
      <c r="B266" s="113" t="s">
        <v>94</v>
      </c>
      <c r="C266" s="113"/>
      <c r="D266" s="194"/>
      <c r="E266" s="194"/>
      <c r="F266" s="194"/>
      <c r="G266" s="194"/>
      <c r="H266" s="194"/>
      <c r="I266" s="194"/>
      <c r="J266" s="194"/>
      <c r="K266" s="194"/>
      <c r="L266" s="194"/>
      <c r="M266" s="194"/>
      <c r="N266" s="155">
        <f>SUM(N257:N265)</f>
        <v>1814</v>
      </c>
      <c r="O266" s="192">
        <f>SUM(O257:O265)</f>
        <v>1</v>
      </c>
      <c r="P266" s="156">
        <f>SUM(P257:P265)</f>
        <v>288961</v>
      </c>
      <c r="Q266" s="192">
        <f>SUM(Q257:Q265)</f>
        <v>1</v>
      </c>
      <c r="R266" s="113"/>
      <c r="S266" s="116"/>
      <c r="T266" s="2"/>
    </row>
    <row r="267" spans="1:21" ht="15.6" x14ac:dyDescent="0.3">
      <c r="A267" s="12"/>
      <c r="B267" s="43"/>
      <c r="C267" s="43"/>
      <c r="D267" s="188"/>
      <c r="E267" s="188"/>
      <c r="F267" s="188"/>
      <c r="G267" s="188"/>
      <c r="H267" s="188"/>
      <c r="I267" s="188"/>
      <c r="J267" s="188"/>
      <c r="K267" s="188"/>
      <c r="L267" s="188"/>
      <c r="M267" s="188"/>
      <c r="N267" s="153"/>
      <c r="O267" s="189"/>
      <c r="P267" s="190"/>
      <c r="Q267" s="189"/>
      <c r="R267" s="43"/>
      <c r="S267" s="217"/>
      <c r="T267" s="2"/>
    </row>
    <row r="268" spans="1:21" ht="15.6" x14ac:dyDescent="0.3">
      <c r="A268" s="73"/>
      <c r="B268" s="61" t="s">
        <v>146</v>
      </c>
      <c r="C268" s="62"/>
      <c r="D268" s="62"/>
      <c r="E268" s="62"/>
      <c r="F268" s="62"/>
      <c r="G268" s="62"/>
      <c r="H268" s="62"/>
      <c r="I268" s="62"/>
      <c r="J268" s="62"/>
      <c r="K268" s="62"/>
      <c r="L268" s="62"/>
      <c r="M268" s="62"/>
      <c r="N268" s="72" t="s">
        <v>83</v>
      </c>
      <c r="O268" s="62" t="s">
        <v>84</v>
      </c>
      <c r="P268" s="72" t="s">
        <v>89</v>
      </c>
      <c r="Q268" s="62" t="s">
        <v>84</v>
      </c>
      <c r="R268" s="74"/>
      <c r="S268" s="75"/>
      <c r="T268" s="2"/>
    </row>
    <row r="269" spans="1:21" ht="15.6" x14ac:dyDescent="0.3">
      <c r="A269" s="24"/>
      <c r="B269" s="78" t="s">
        <v>72</v>
      </c>
      <c r="C269" s="93"/>
      <c r="D269" s="93"/>
      <c r="E269" s="93"/>
      <c r="F269" s="93"/>
      <c r="G269" s="93"/>
      <c r="H269" s="93"/>
      <c r="I269" s="93"/>
      <c r="J269" s="93"/>
      <c r="K269" s="93"/>
      <c r="L269" s="93"/>
      <c r="M269" s="93"/>
      <c r="N269" s="78">
        <v>0</v>
      </c>
      <c r="O269" s="81">
        <v>0</v>
      </c>
      <c r="P269" s="82">
        <v>0</v>
      </c>
      <c r="Q269" s="81">
        <v>0</v>
      </c>
      <c r="R269" s="79"/>
      <c r="S269" s="220"/>
      <c r="T269" s="2"/>
    </row>
    <row r="270" spans="1:21" ht="15.6" x14ac:dyDescent="0.3">
      <c r="A270" s="112"/>
      <c r="B270" s="155" t="s">
        <v>73</v>
      </c>
      <c r="C270" s="191"/>
      <c r="D270" s="191"/>
      <c r="E270" s="191"/>
      <c r="F270" s="191"/>
      <c r="G270" s="191"/>
      <c r="H270" s="191"/>
      <c r="I270" s="191"/>
      <c r="J270" s="191"/>
      <c r="K270" s="191"/>
      <c r="L270" s="191"/>
      <c r="M270" s="191"/>
      <c r="N270" s="155">
        <v>0</v>
      </c>
      <c r="O270" s="192">
        <v>0</v>
      </c>
      <c r="P270" s="156">
        <v>0</v>
      </c>
      <c r="Q270" s="192">
        <v>0</v>
      </c>
      <c r="R270" s="113"/>
      <c r="S270" s="116"/>
      <c r="T270" s="2"/>
    </row>
    <row r="271" spans="1:21" ht="15.6" x14ac:dyDescent="0.3">
      <c r="A271" s="112"/>
      <c r="B271" s="155" t="s">
        <v>74</v>
      </c>
      <c r="C271" s="191"/>
      <c r="D271" s="191"/>
      <c r="E271" s="191"/>
      <c r="F271" s="191"/>
      <c r="G271" s="191"/>
      <c r="H271" s="191"/>
      <c r="I271" s="191"/>
      <c r="J271" s="191"/>
      <c r="K271" s="191"/>
      <c r="L271" s="191"/>
      <c r="M271" s="191"/>
      <c r="N271" s="155">
        <v>0</v>
      </c>
      <c r="O271" s="192">
        <v>0</v>
      </c>
      <c r="P271" s="156">
        <v>0</v>
      </c>
      <c r="Q271" s="192">
        <v>0</v>
      </c>
      <c r="R271" s="113"/>
      <c r="S271" s="116"/>
      <c r="T271" s="2"/>
    </row>
    <row r="272" spans="1:21" ht="15.6" x14ac:dyDescent="0.3">
      <c r="A272" s="112"/>
      <c r="B272" s="155" t="s">
        <v>119</v>
      </c>
      <c r="C272" s="191"/>
      <c r="D272" s="191"/>
      <c r="E272" s="191"/>
      <c r="F272" s="191"/>
      <c r="G272" s="191"/>
      <c r="H272" s="191"/>
      <c r="I272" s="191"/>
      <c r="J272" s="191"/>
      <c r="K272" s="191"/>
      <c r="L272" s="191"/>
      <c r="M272" s="191"/>
      <c r="N272" s="155">
        <v>0</v>
      </c>
      <c r="O272" s="192">
        <v>0</v>
      </c>
      <c r="P272" s="156">
        <v>0</v>
      </c>
      <c r="Q272" s="192">
        <v>0</v>
      </c>
      <c r="R272" s="113"/>
      <c r="S272" s="116"/>
      <c r="T272" s="2"/>
    </row>
    <row r="273" spans="1:20" ht="15.6" x14ac:dyDescent="0.3">
      <c r="A273" s="112"/>
      <c r="B273" s="155" t="s">
        <v>120</v>
      </c>
      <c r="C273" s="191"/>
      <c r="D273" s="191"/>
      <c r="E273" s="191"/>
      <c r="F273" s="191"/>
      <c r="G273" s="191"/>
      <c r="H273" s="191"/>
      <c r="I273" s="191"/>
      <c r="J273" s="191"/>
      <c r="K273" s="191"/>
      <c r="L273" s="191"/>
      <c r="M273" s="191"/>
      <c r="N273" s="155">
        <v>0</v>
      </c>
      <c r="O273" s="192">
        <v>0</v>
      </c>
      <c r="P273" s="156">
        <v>0</v>
      </c>
      <c r="Q273" s="192">
        <v>0</v>
      </c>
      <c r="R273" s="113"/>
      <c r="S273" s="116"/>
      <c r="T273" s="2"/>
    </row>
    <row r="274" spans="1:20" ht="15.6" x14ac:dyDescent="0.3">
      <c r="A274" s="112"/>
      <c r="B274" s="155" t="s">
        <v>121</v>
      </c>
      <c r="C274" s="191"/>
      <c r="D274" s="191"/>
      <c r="E274" s="191"/>
      <c r="F274" s="191"/>
      <c r="G274" s="191"/>
      <c r="H274" s="191"/>
      <c r="I274" s="191"/>
      <c r="J274" s="191"/>
      <c r="K274" s="191"/>
      <c r="L274" s="191"/>
      <c r="M274" s="191"/>
      <c r="N274" s="155">
        <v>0</v>
      </c>
      <c r="O274" s="192">
        <v>0</v>
      </c>
      <c r="P274" s="156">
        <v>0</v>
      </c>
      <c r="Q274" s="192">
        <v>0</v>
      </c>
      <c r="R274" s="113"/>
      <c r="S274" s="116"/>
      <c r="T274" s="2"/>
    </row>
    <row r="275" spans="1:20" ht="15.6" x14ac:dyDescent="0.3">
      <c r="A275" s="112"/>
      <c r="B275" s="155" t="s">
        <v>122</v>
      </c>
      <c r="C275" s="191"/>
      <c r="D275" s="191"/>
      <c r="E275" s="191"/>
      <c r="F275" s="191"/>
      <c r="G275" s="191"/>
      <c r="H275" s="191"/>
      <c r="I275" s="191"/>
      <c r="J275" s="191"/>
      <c r="K275" s="191"/>
      <c r="L275" s="191"/>
      <c r="M275" s="191"/>
      <c r="N275" s="155">
        <v>0</v>
      </c>
      <c r="O275" s="192">
        <v>0</v>
      </c>
      <c r="P275" s="156">
        <v>0</v>
      </c>
      <c r="Q275" s="192">
        <v>0</v>
      </c>
      <c r="R275" s="113"/>
      <c r="S275" s="116"/>
      <c r="T275" s="2"/>
    </row>
    <row r="276" spans="1:20" ht="15.6" x14ac:dyDescent="0.3">
      <c r="A276" s="112"/>
      <c r="B276" s="155" t="s">
        <v>123</v>
      </c>
      <c r="C276" s="191"/>
      <c r="D276" s="191"/>
      <c r="E276" s="191"/>
      <c r="F276" s="191"/>
      <c r="G276" s="191"/>
      <c r="H276" s="191"/>
      <c r="I276" s="191"/>
      <c r="J276" s="191"/>
      <c r="K276" s="191"/>
      <c r="L276" s="191"/>
      <c r="M276" s="191"/>
      <c r="N276" s="155">
        <v>0</v>
      </c>
      <c r="O276" s="192">
        <v>0</v>
      </c>
      <c r="P276" s="156">
        <v>0</v>
      </c>
      <c r="Q276" s="192">
        <v>0</v>
      </c>
      <c r="R276" s="113"/>
      <c r="S276" s="116"/>
      <c r="T276" s="2"/>
    </row>
    <row r="277" spans="1:20" ht="15.6" x14ac:dyDescent="0.3">
      <c r="A277" s="112"/>
      <c r="B277" s="155"/>
      <c r="C277" s="191"/>
      <c r="D277" s="191"/>
      <c r="E277" s="191"/>
      <c r="F277" s="191"/>
      <c r="G277" s="191"/>
      <c r="H277" s="191"/>
      <c r="I277" s="191"/>
      <c r="J277" s="191"/>
      <c r="K277" s="191"/>
      <c r="L277" s="191"/>
      <c r="M277" s="191"/>
      <c r="N277" s="155"/>
      <c r="O277" s="192"/>
      <c r="P277" s="156"/>
      <c r="Q277" s="192"/>
      <c r="R277" s="113"/>
      <c r="S277" s="116"/>
      <c r="T277" s="2"/>
    </row>
    <row r="278" spans="1:20" ht="15.6" x14ac:dyDescent="0.3">
      <c r="A278" s="112"/>
      <c r="B278" s="113" t="s">
        <v>94</v>
      </c>
      <c r="C278" s="113"/>
      <c r="D278" s="194"/>
      <c r="E278" s="194"/>
      <c r="F278" s="194"/>
      <c r="G278" s="194"/>
      <c r="H278" s="194"/>
      <c r="I278" s="194"/>
      <c r="J278" s="194"/>
      <c r="K278" s="194"/>
      <c r="L278" s="194"/>
      <c r="M278" s="194"/>
      <c r="N278" s="155">
        <f>SUM(N269:N277)</f>
        <v>0</v>
      </c>
      <c r="O278" s="192">
        <f>SUM(O269:O277)</f>
        <v>0</v>
      </c>
      <c r="P278" s="156">
        <f>SUM(P269:P277)</f>
        <v>0</v>
      </c>
      <c r="Q278" s="192">
        <f>SUM(Q269:Q277)</f>
        <v>0</v>
      </c>
      <c r="R278" s="113"/>
      <c r="S278" s="116"/>
      <c r="T278" s="2"/>
    </row>
    <row r="279" spans="1:20" ht="15.6" x14ac:dyDescent="0.3">
      <c r="A279" s="12"/>
      <c r="B279" s="43"/>
      <c r="C279" s="43"/>
      <c r="D279" s="188"/>
      <c r="E279" s="188"/>
      <c r="F279" s="188"/>
      <c r="G279" s="188"/>
      <c r="H279" s="188"/>
      <c r="I279" s="188"/>
      <c r="J279" s="188"/>
      <c r="K279" s="188"/>
      <c r="L279" s="188"/>
      <c r="M279" s="188"/>
      <c r="N279" s="153"/>
      <c r="O279" s="189"/>
      <c r="P279" s="190"/>
      <c r="Q279" s="189"/>
      <c r="R279" s="43"/>
      <c r="S279" s="217"/>
      <c r="T279" s="2"/>
    </row>
    <row r="280" spans="1:20" ht="15.6" x14ac:dyDescent="0.3">
      <c r="A280" s="73"/>
      <c r="B280" s="61" t="s">
        <v>125</v>
      </c>
      <c r="C280" s="74"/>
      <c r="D280" s="76"/>
      <c r="E280" s="76"/>
      <c r="F280" s="76"/>
      <c r="G280" s="76"/>
      <c r="H280" s="76"/>
      <c r="I280" s="76"/>
      <c r="J280" s="76"/>
      <c r="K280" s="76"/>
      <c r="L280" s="76"/>
      <c r="M280" s="76"/>
      <c r="N280" s="72" t="s">
        <v>83</v>
      </c>
      <c r="O280" s="62" t="s">
        <v>84</v>
      </c>
      <c r="P280" s="72" t="s">
        <v>89</v>
      </c>
      <c r="Q280" s="62" t="s">
        <v>84</v>
      </c>
      <c r="R280" s="74"/>
      <c r="S280" s="75"/>
      <c r="T280" s="2"/>
    </row>
    <row r="281" spans="1:20" ht="15.6" x14ac:dyDescent="0.3">
      <c r="A281" s="77"/>
      <c r="B281" s="78" t="s">
        <v>72</v>
      </c>
      <c r="C281" s="79"/>
      <c r="D281" s="80"/>
      <c r="E281" s="80"/>
      <c r="F281" s="80"/>
      <c r="G281" s="80"/>
      <c r="H281" s="80"/>
      <c r="I281" s="80"/>
      <c r="J281" s="80"/>
      <c r="K281" s="80"/>
      <c r="L281" s="80"/>
      <c r="M281" s="80"/>
      <c r="N281" s="78">
        <v>0</v>
      </c>
      <c r="O281" s="81">
        <v>0</v>
      </c>
      <c r="P281" s="82">
        <v>0</v>
      </c>
      <c r="Q281" s="81">
        <v>0</v>
      </c>
      <c r="R281" s="79"/>
      <c r="S281" s="220"/>
      <c r="T281" s="2"/>
    </row>
    <row r="282" spans="1:20" ht="15.6" x14ac:dyDescent="0.3">
      <c r="A282" s="122"/>
      <c r="B282" s="155" t="s">
        <v>73</v>
      </c>
      <c r="C282" s="113"/>
      <c r="D282" s="194"/>
      <c r="E282" s="194"/>
      <c r="F282" s="194"/>
      <c r="G282" s="194"/>
      <c r="H282" s="194"/>
      <c r="I282" s="194"/>
      <c r="J282" s="194"/>
      <c r="K282" s="194"/>
      <c r="L282" s="194"/>
      <c r="M282" s="194"/>
      <c r="N282" s="155">
        <v>0</v>
      </c>
      <c r="O282" s="192">
        <v>0</v>
      </c>
      <c r="P282" s="156">
        <v>0</v>
      </c>
      <c r="Q282" s="192">
        <v>0</v>
      </c>
      <c r="R282" s="113"/>
      <c r="S282" s="116"/>
      <c r="T282" s="2"/>
    </row>
    <row r="283" spans="1:20" ht="15.6" x14ac:dyDescent="0.3">
      <c r="A283" s="122"/>
      <c r="B283" s="155" t="s">
        <v>74</v>
      </c>
      <c r="C283" s="113"/>
      <c r="D283" s="194"/>
      <c r="E283" s="194"/>
      <c r="F283" s="194"/>
      <c r="G283" s="194"/>
      <c r="H283" s="194"/>
      <c r="I283" s="194"/>
      <c r="J283" s="194"/>
      <c r="K283" s="194"/>
      <c r="L283" s="194"/>
      <c r="M283" s="194"/>
      <c r="N283" s="155">
        <v>0</v>
      </c>
      <c r="O283" s="192">
        <v>0</v>
      </c>
      <c r="P283" s="156">
        <v>0</v>
      </c>
      <c r="Q283" s="192">
        <v>0</v>
      </c>
      <c r="R283" s="113"/>
      <c r="S283" s="116"/>
      <c r="T283" s="2"/>
    </row>
    <row r="284" spans="1:20" ht="15.6" x14ac:dyDescent="0.3">
      <c r="A284" s="122"/>
      <c r="B284" s="155" t="s">
        <v>119</v>
      </c>
      <c r="C284" s="113"/>
      <c r="D284" s="194"/>
      <c r="E284" s="194"/>
      <c r="F284" s="194"/>
      <c r="G284" s="194"/>
      <c r="H284" s="194"/>
      <c r="I284" s="194"/>
      <c r="J284" s="194"/>
      <c r="K284" s="194"/>
      <c r="L284" s="194"/>
      <c r="M284" s="194"/>
      <c r="N284" s="155">
        <v>0</v>
      </c>
      <c r="O284" s="192">
        <v>0</v>
      </c>
      <c r="P284" s="156">
        <v>0</v>
      </c>
      <c r="Q284" s="192">
        <v>0</v>
      </c>
      <c r="R284" s="113"/>
      <c r="S284" s="116"/>
      <c r="T284" s="2"/>
    </row>
    <row r="285" spans="1:20" ht="15.6" x14ac:dyDescent="0.3">
      <c r="A285" s="122"/>
      <c r="B285" s="155" t="s">
        <v>120</v>
      </c>
      <c r="C285" s="113"/>
      <c r="D285" s="194"/>
      <c r="E285" s="194"/>
      <c r="F285" s="194"/>
      <c r="G285" s="194"/>
      <c r="H285" s="194"/>
      <c r="I285" s="194"/>
      <c r="J285" s="194"/>
      <c r="K285" s="194"/>
      <c r="L285" s="194"/>
      <c r="M285" s="194"/>
      <c r="N285" s="155">
        <v>0</v>
      </c>
      <c r="O285" s="192">
        <v>0</v>
      </c>
      <c r="P285" s="156">
        <v>0</v>
      </c>
      <c r="Q285" s="192">
        <v>0</v>
      </c>
      <c r="R285" s="113"/>
      <c r="S285" s="116"/>
      <c r="T285" s="2"/>
    </row>
    <row r="286" spans="1:20" ht="15.6" x14ac:dyDescent="0.3">
      <c r="A286" s="122"/>
      <c r="B286" s="155" t="s">
        <v>121</v>
      </c>
      <c r="C286" s="113"/>
      <c r="D286" s="194"/>
      <c r="E286" s="194"/>
      <c r="F286" s="194"/>
      <c r="G286" s="194"/>
      <c r="H286" s="194"/>
      <c r="I286" s="194"/>
      <c r="J286" s="194"/>
      <c r="K286" s="194"/>
      <c r="L286" s="194"/>
      <c r="M286" s="194"/>
      <c r="N286" s="155">
        <v>0</v>
      </c>
      <c r="O286" s="192">
        <v>0</v>
      </c>
      <c r="P286" s="156">
        <v>0</v>
      </c>
      <c r="Q286" s="192">
        <v>0</v>
      </c>
      <c r="R286" s="113"/>
      <c r="S286" s="116"/>
      <c r="T286" s="2"/>
    </row>
    <row r="287" spans="1:20" ht="15.6" x14ac:dyDescent="0.3">
      <c r="A287" s="122"/>
      <c r="B287" s="155" t="s">
        <v>122</v>
      </c>
      <c r="C287" s="113"/>
      <c r="D287" s="194"/>
      <c r="E287" s="194"/>
      <c r="F287" s="194"/>
      <c r="G287" s="194"/>
      <c r="H287" s="194"/>
      <c r="I287" s="194"/>
      <c r="J287" s="194"/>
      <c r="K287" s="194"/>
      <c r="L287" s="194"/>
      <c r="M287" s="194"/>
      <c r="N287" s="155">
        <v>0</v>
      </c>
      <c r="O287" s="192">
        <v>0</v>
      </c>
      <c r="P287" s="156">
        <v>0</v>
      </c>
      <c r="Q287" s="192">
        <v>0</v>
      </c>
      <c r="R287" s="113"/>
      <c r="S287" s="116"/>
      <c r="T287" s="2"/>
    </row>
    <row r="288" spans="1:20" ht="15.6" x14ac:dyDescent="0.3">
      <c r="A288" s="122"/>
      <c r="B288" s="155" t="s">
        <v>123</v>
      </c>
      <c r="C288" s="113"/>
      <c r="D288" s="194"/>
      <c r="E288" s="194"/>
      <c r="F288" s="194"/>
      <c r="G288" s="194"/>
      <c r="H288" s="194"/>
      <c r="I288" s="194"/>
      <c r="J288" s="194"/>
      <c r="K288" s="194"/>
      <c r="L288" s="194"/>
      <c r="M288" s="194"/>
      <c r="N288" s="155">
        <v>0</v>
      </c>
      <c r="O288" s="192">
        <v>0</v>
      </c>
      <c r="P288" s="156">
        <v>0</v>
      </c>
      <c r="Q288" s="192">
        <v>0</v>
      </c>
      <c r="R288" s="113"/>
      <c r="S288" s="116"/>
      <c r="T288" s="2"/>
    </row>
    <row r="289" spans="1:20" ht="15.6" x14ac:dyDescent="0.3">
      <c r="A289" s="122"/>
      <c r="B289" s="155"/>
      <c r="C289" s="113"/>
      <c r="D289" s="194"/>
      <c r="E289" s="194"/>
      <c r="F289" s="194"/>
      <c r="G289" s="194"/>
      <c r="H289" s="194"/>
      <c r="I289" s="194"/>
      <c r="J289" s="194"/>
      <c r="K289" s="194"/>
      <c r="L289" s="194"/>
      <c r="M289" s="194"/>
      <c r="N289" s="155"/>
      <c r="O289" s="192"/>
      <c r="P289" s="156"/>
      <c r="Q289" s="192"/>
      <c r="R289" s="113"/>
      <c r="S289" s="116"/>
      <c r="T289" s="2"/>
    </row>
    <row r="290" spans="1:20" ht="15.6" x14ac:dyDescent="0.3">
      <c r="A290" s="122"/>
      <c r="B290" s="113" t="s">
        <v>94</v>
      </c>
      <c r="C290" s="113"/>
      <c r="D290" s="194"/>
      <c r="E290" s="194"/>
      <c r="F290" s="194"/>
      <c r="G290" s="194"/>
      <c r="H290" s="194"/>
      <c r="I290" s="194"/>
      <c r="J290" s="194"/>
      <c r="K290" s="194"/>
      <c r="L290" s="194"/>
      <c r="M290" s="194"/>
      <c r="N290" s="155">
        <f>SUM(N281:N288)</f>
        <v>0</v>
      </c>
      <c r="O290" s="192">
        <f>SUM(O281:O288)</f>
        <v>0</v>
      </c>
      <c r="P290" s="156">
        <f>SUM(P281:P288)</f>
        <v>0</v>
      </c>
      <c r="Q290" s="192">
        <f>SUM(Q281:Q288)</f>
        <v>0</v>
      </c>
      <c r="R290" s="113"/>
      <c r="S290" s="116"/>
      <c r="T290" s="2"/>
    </row>
    <row r="291" spans="1:20" ht="15.6" x14ac:dyDescent="0.3">
      <c r="A291" s="122"/>
      <c r="B291" s="113"/>
      <c r="C291" s="113"/>
      <c r="D291" s="194"/>
      <c r="E291" s="194"/>
      <c r="F291" s="194"/>
      <c r="G291" s="194"/>
      <c r="H291" s="194"/>
      <c r="I291" s="194"/>
      <c r="J291" s="194"/>
      <c r="K291" s="194"/>
      <c r="L291" s="194"/>
      <c r="M291" s="194"/>
      <c r="N291" s="155"/>
      <c r="O291" s="192"/>
      <c r="P291" s="156"/>
      <c r="Q291" s="192"/>
      <c r="R291" s="113"/>
      <c r="S291" s="116"/>
      <c r="T291" s="2"/>
    </row>
    <row r="292" spans="1:20" ht="15.6" x14ac:dyDescent="0.3">
      <c r="A292" s="122"/>
      <c r="B292" s="124" t="s">
        <v>177</v>
      </c>
      <c r="C292" s="113"/>
      <c r="D292" s="194"/>
      <c r="E292" s="194"/>
      <c r="F292" s="194"/>
      <c r="G292" s="194"/>
      <c r="H292" s="194"/>
      <c r="I292" s="194"/>
      <c r="J292" s="194"/>
      <c r="K292" s="194"/>
      <c r="L292" s="194"/>
      <c r="M292" s="194"/>
      <c r="N292" s="196">
        <f>N290+N278+N266</f>
        <v>1814</v>
      </c>
      <c r="O292" s="192"/>
      <c r="P292" s="197">
        <f>+P290+P278+P266</f>
        <v>288961</v>
      </c>
      <c r="Q292" s="192"/>
      <c r="R292" s="113"/>
      <c r="S292" s="116"/>
      <c r="T292" s="2"/>
    </row>
    <row r="293" spans="1:20" ht="15.6" x14ac:dyDescent="0.3">
      <c r="A293" s="122"/>
      <c r="B293" s="124" t="s">
        <v>217</v>
      </c>
      <c r="C293" s="124"/>
      <c r="D293" s="205"/>
      <c r="E293" s="205"/>
      <c r="F293" s="205"/>
      <c r="G293" s="205"/>
      <c r="H293" s="205"/>
      <c r="I293" s="205"/>
      <c r="J293" s="205"/>
      <c r="K293" s="205"/>
      <c r="L293" s="205"/>
      <c r="M293" s="205"/>
      <c r="N293" s="196"/>
      <c r="O293" s="206"/>
      <c r="P293" s="207">
        <f>+R179</f>
        <v>1478</v>
      </c>
      <c r="Q293" s="192"/>
      <c r="R293" s="113"/>
      <c r="S293" s="116"/>
      <c r="T293" s="2"/>
    </row>
    <row r="294" spans="1:20" ht="15.6" x14ac:dyDescent="0.3">
      <c r="A294" s="122"/>
      <c r="B294" s="124" t="s">
        <v>126</v>
      </c>
      <c r="C294" s="124"/>
      <c r="D294" s="205"/>
      <c r="E294" s="205"/>
      <c r="F294" s="205"/>
      <c r="G294" s="205"/>
      <c r="H294" s="205"/>
      <c r="I294" s="205"/>
      <c r="J294" s="205"/>
      <c r="K294" s="205"/>
      <c r="L294" s="205"/>
      <c r="M294" s="205"/>
      <c r="N294" s="196"/>
      <c r="O294" s="206"/>
      <c r="P294" s="207">
        <f>+P292+P293</f>
        <v>290439</v>
      </c>
      <c r="Q294" s="192"/>
      <c r="R294" s="113"/>
      <c r="S294" s="116"/>
      <c r="T294" s="2"/>
    </row>
    <row r="295" spans="1:20" ht="15.6" x14ac:dyDescent="0.3">
      <c r="A295" s="122"/>
      <c r="B295" s="124" t="s">
        <v>176</v>
      </c>
      <c r="C295" s="113"/>
      <c r="D295" s="194"/>
      <c r="E295" s="194"/>
      <c r="F295" s="194"/>
      <c r="G295" s="194"/>
      <c r="H295" s="194"/>
      <c r="I295" s="194"/>
      <c r="J295" s="194"/>
      <c r="K295" s="194"/>
      <c r="L295" s="194"/>
      <c r="M295" s="194"/>
      <c r="N295" s="196"/>
      <c r="O295" s="192"/>
      <c r="P295" s="197">
        <f>+R80</f>
        <v>290439</v>
      </c>
      <c r="Q295" s="192"/>
      <c r="R295" s="113"/>
      <c r="S295" s="116"/>
      <c r="T295" s="2"/>
    </row>
    <row r="296" spans="1:20" ht="15.6" x14ac:dyDescent="0.3">
      <c r="A296" s="122"/>
      <c r="B296" s="124"/>
      <c r="C296" s="113"/>
      <c r="D296" s="194"/>
      <c r="E296" s="194"/>
      <c r="F296" s="194"/>
      <c r="G296" s="194"/>
      <c r="H296" s="194"/>
      <c r="I296" s="194"/>
      <c r="J296" s="194"/>
      <c r="K296" s="194"/>
      <c r="L296" s="194"/>
      <c r="M296" s="194"/>
      <c r="N296" s="196"/>
      <c r="O296" s="192"/>
      <c r="P296" s="197"/>
      <c r="Q296" s="192"/>
      <c r="R296" s="113"/>
      <c r="S296" s="116"/>
      <c r="T296" s="2"/>
    </row>
    <row r="297" spans="1:20" ht="15.6" x14ac:dyDescent="0.3">
      <c r="A297" s="122"/>
      <c r="B297" s="124" t="s">
        <v>202</v>
      </c>
      <c r="C297" s="113"/>
      <c r="D297" s="194"/>
      <c r="E297" s="194"/>
      <c r="F297" s="194"/>
      <c r="G297" s="194"/>
      <c r="H297" s="194"/>
      <c r="I297" s="194"/>
      <c r="J297" s="194"/>
      <c r="K297" s="194"/>
      <c r="L297" s="194"/>
      <c r="M297" s="194"/>
      <c r="N297" s="196"/>
      <c r="O297" s="192"/>
      <c r="P297" s="214">
        <f>(L33+R147)/R33</f>
        <v>5.1652916141526228E-2</v>
      </c>
      <c r="Q297" s="192"/>
      <c r="R297" s="113"/>
      <c r="S297" s="116"/>
      <c r="T297" s="2"/>
    </row>
    <row r="298" spans="1:20" ht="15.6" x14ac:dyDescent="0.3">
      <c r="A298" s="83"/>
      <c r="B298" s="84"/>
      <c r="C298" s="84"/>
      <c r="D298" s="85"/>
      <c r="E298" s="85"/>
      <c r="F298" s="85"/>
      <c r="G298" s="85"/>
      <c r="H298" s="85"/>
      <c r="I298" s="85"/>
      <c r="J298" s="85"/>
      <c r="K298" s="85"/>
      <c r="L298" s="85"/>
      <c r="M298" s="85"/>
      <c r="N298" s="85"/>
      <c r="O298" s="85"/>
      <c r="P298" s="86"/>
      <c r="Q298" s="85"/>
      <c r="R298" s="84"/>
      <c r="S298" s="218"/>
      <c r="T298" s="2"/>
    </row>
    <row r="299" spans="1:20" ht="15.6" x14ac:dyDescent="0.3">
      <c r="A299" s="87"/>
      <c r="B299" s="88" t="s">
        <v>75</v>
      </c>
      <c r="C299" s="84"/>
      <c r="D299" s="89" t="s">
        <v>79</v>
      </c>
      <c r="E299" s="88"/>
      <c r="F299" s="88" t="s">
        <v>80</v>
      </c>
      <c r="G299" s="84"/>
      <c r="H299" s="88"/>
      <c r="I299" s="90"/>
      <c r="J299" s="90"/>
      <c r="K299" s="90"/>
      <c r="L299" s="90"/>
      <c r="M299" s="90"/>
      <c r="N299" s="90"/>
      <c r="O299" s="90"/>
      <c r="P299" s="90"/>
      <c r="Q299" s="90"/>
      <c r="R299" s="90"/>
      <c r="S299" s="229"/>
      <c r="T299" s="2"/>
    </row>
    <row r="300" spans="1:20" ht="15.6" x14ac:dyDescent="0.3">
      <c r="A300" s="87"/>
      <c r="B300" s="90"/>
      <c r="C300" s="84"/>
      <c r="D300" s="84"/>
      <c r="E300" s="84"/>
      <c r="F300" s="84"/>
      <c r="G300" s="84"/>
      <c r="H300" s="84"/>
      <c r="I300" s="90"/>
      <c r="J300" s="90"/>
      <c r="K300" s="90"/>
      <c r="L300" s="90"/>
      <c r="M300" s="90"/>
      <c r="N300" s="90"/>
      <c r="O300" s="90"/>
      <c r="P300" s="90"/>
      <c r="Q300" s="90"/>
      <c r="R300" s="90"/>
      <c r="S300" s="229"/>
      <c r="T300" s="2"/>
    </row>
    <row r="301" spans="1:20" ht="15.6" x14ac:dyDescent="0.3">
      <c r="A301" s="87"/>
      <c r="B301" s="213" t="s">
        <v>192</v>
      </c>
      <c r="C301" s="88"/>
      <c r="D301" s="91" t="s">
        <v>115</v>
      </c>
      <c r="E301" s="88"/>
      <c r="F301" s="88" t="s">
        <v>116</v>
      </c>
      <c r="G301" s="88"/>
      <c r="H301" s="88"/>
      <c r="I301" s="90"/>
      <c r="J301" s="90"/>
      <c r="K301" s="90"/>
      <c r="L301" s="90"/>
      <c r="M301" s="90"/>
      <c r="N301" s="90"/>
      <c r="O301" s="90"/>
      <c r="P301" s="90"/>
      <c r="Q301" s="90"/>
      <c r="R301" s="90"/>
      <c r="S301" s="229"/>
      <c r="T301" s="2"/>
    </row>
    <row r="302" spans="1:20" ht="15.6" x14ac:dyDescent="0.3">
      <c r="A302" s="87"/>
      <c r="B302" s="213" t="s">
        <v>193</v>
      </c>
      <c r="C302" s="88"/>
      <c r="D302" s="91" t="s">
        <v>147</v>
      </c>
      <c r="E302" s="88"/>
      <c r="F302" s="88" t="s">
        <v>148</v>
      </c>
      <c r="G302" s="88"/>
      <c r="H302" s="88"/>
      <c r="I302" s="90"/>
      <c r="J302" s="90"/>
      <c r="K302" s="90"/>
      <c r="L302" s="90"/>
      <c r="M302" s="90"/>
      <c r="N302" s="90"/>
      <c r="O302" s="90"/>
      <c r="P302" s="90"/>
      <c r="Q302" s="90"/>
      <c r="R302" s="90"/>
      <c r="S302" s="229"/>
      <c r="T302" s="2"/>
    </row>
    <row r="303" spans="1:20" ht="15.6" x14ac:dyDescent="0.3">
      <c r="A303" s="87"/>
      <c r="B303" s="213" t="s">
        <v>194</v>
      </c>
      <c r="C303" s="88"/>
      <c r="D303" s="91" t="s">
        <v>114</v>
      </c>
      <c r="E303" s="88"/>
      <c r="F303" s="88" t="s">
        <v>117</v>
      </c>
      <c r="G303" s="88"/>
      <c r="H303" s="88"/>
      <c r="I303" s="90"/>
      <c r="J303" s="90"/>
      <c r="K303" s="90"/>
      <c r="L303" s="90"/>
      <c r="M303" s="90"/>
      <c r="N303" s="90"/>
      <c r="O303" s="90"/>
      <c r="P303" s="90"/>
      <c r="Q303" s="90"/>
      <c r="R303" s="90"/>
      <c r="S303" s="229"/>
      <c r="T303" s="2"/>
    </row>
    <row r="304" spans="1:20" ht="15.6" x14ac:dyDescent="0.3">
      <c r="A304" s="87"/>
      <c r="B304" s="88"/>
      <c r="C304" s="88"/>
      <c r="D304" s="90"/>
      <c r="E304" s="90"/>
      <c r="F304" s="90"/>
      <c r="G304" s="90"/>
      <c r="H304" s="90"/>
      <c r="I304" s="90"/>
      <c r="J304" s="90"/>
      <c r="K304" s="90"/>
      <c r="L304" s="90"/>
      <c r="M304" s="90"/>
      <c r="N304" s="90"/>
      <c r="O304" s="90"/>
      <c r="P304" s="90"/>
      <c r="Q304" s="90"/>
      <c r="R304" s="90"/>
      <c r="S304" s="229"/>
      <c r="T304" s="2"/>
    </row>
    <row r="305" spans="1:20" ht="15.6" x14ac:dyDescent="0.3">
      <c r="A305" s="87"/>
      <c r="B305" s="88"/>
      <c r="C305" s="88"/>
      <c r="D305" s="90"/>
      <c r="E305" s="90"/>
      <c r="F305" s="90"/>
      <c r="G305" s="90"/>
      <c r="H305" s="90"/>
      <c r="I305" s="90"/>
      <c r="J305" s="90"/>
      <c r="K305" s="90"/>
      <c r="L305" s="90"/>
      <c r="M305" s="90"/>
      <c r="N305" s="90"/>
      <c r="O305" s="90"/>
      <c r="P305" s="90"/>
      <c r="Q305" s="90"/>
      <c r="R305" s="90"/>
      <c r="S305" s="229"/>
      <c r="T305" s="2"/>
    </row>
    <row r="306" spans="1:20" ht="18" thickBot="1" x14ac:dyDescent="0.35">
      <c r="A306" s="87"/>
      <c r="B306" s="92" t="str">
        <f>B204</f>
        <v>PM22 INVESTOR REPORT QUARTER ENDING NOVEMBER 2015</v>
      </c>
      <c r="C306" s="88"/>
      <c r="D306" s="90"/>
      <c r="E306" s="90"/>
      <c r="F306" s="90"/>
      <c r="G306" s="90"/>
      <c r="H306" s="90"/>
      <c r="I306" s="90"/>
      <c r="J306" s="90"/>
      <c r="K306" s="90"/>
      <c r="L306" s="90"/>
      <c r="M306" s="90"/>
      <c r="N306" s="90"/>
      <c r="O306" s="90"/>
      <c r="P306" s="90"/>
      <c r="Q306" s="90"/>
      <c r="R306" s="90"/>
      <c r="S306" s="99"/>
      <c r="T306" s="2"/>
    </row>
    <row r="307" spans="1:20" x14ac:dyDescent="0.25">
      <c r="A307" s="3"/>
      <c r="B307" s="3"/>
      <c r="C307" s="3"/>
      <c r="D307" s="3"/>
      <c r="E307" s="3"/>
      <c r="F307" s="3"/>
      <c r="G307" s="3"/>
      <c r="H307" s="3"/>
      <c r="I307" s="3"/>
      <c r="J307" s="3"/>
      <c r="K307" s="3"/>
      <c r="L307" s="3"/>
      <c r="M307" s="3"/>
      <c r="N307" s="3"/>
      <c r="O307" s="3"/>
      <c r="P307" s="3"/>
      <c r="Q307" s="3"/>
      <c r="R307" s="3"/>
      <c r="S307" s="3"/>
    </row>
  </sheetData>
  <hyperlinks>
    <hyperlink ref="N242"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4" max="18" man="1"/>
  </rowBreaks>
  <colBreaks count="1" manualBreakCount="1">
    <brk id="19" max="299"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R307"/>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221</v>
      </c>
      <c r="C1" s="11"/>
      <c r="D1" s="11"/>
      <c r="E1" s="11"/>
      <c r="F1" s="11"/>
      <c r="G1" s="11"/>
      <c r="H1" s="11"/>
      <c r="I1" s="11"/>
      <c r="J1" s="11"/>
      <c r="K1" s="11"/>
      <c r="L1" s="11"/>
      <c r="M1" s="11"/>
      <c r="N1" s="11"/>
      <c r="O1" s="11"/>
      <c r="P1" s="11"/>
      <c r="Q1" s="11"/>
      <c r="R1" s="11"/>
      <c r="S1" s="216"/>
      <c r="T1" s="2"/>
    </row>
    <row r="2" spans="1:20" ht="15.6" x14ac:dyDescent="0.3">
      <c r="A2" s="12"/>
      <c r="B2" s="13"/>
      <c r="C2" s="14"/>
      <c r="D2" s="14"/>
      <c r="E2" s="14"/>
      <c r="F2" s="14"/>
      <c r="G2" s="14"/>
      <c r="H2" s="14"/>
      <c r="I2" s="14"/>
      <c r="J2" s="14"/>
      <c r="K2" s="14"/>
      <c r="L2" s="14"/>
      <c r="M2" s="14"/>
      <c r="N2" s="14"/>
      <c r="O2" s="14"/>
      <c r="P2" s="14"/>
      <c r="Q2" s="14"/>
      <c r="R2" s="14"/>
      <c r="S2" s="217"/>
      <c r="T2" s="2"/>
    </row>
    <row r="3" spans="1:20" ht="15.6" x14ac:dyDescent="0.3">
      <c r="A3" s="15"/>
      <c r="B3" s="16" t="s">
        <v>222</v>
      </c>
      <c r="C3" s="14"/>
      <c r="D3" s="14"/>
      <c r="E3" s="14"/>
      <c r="F3" s="14"/>
      <c r="G3" s="14"/>
      <c r="H3" s="14"/>
      <c r="I3" s="14"/>
      <c r="J3" s="14"/>
      <c r="K3" s="14"/>
      <c r="L3" s="14"/>
      <c r="M3" s="14"/>
      <c r="N3" s="14"/>
      <c r="O3" s="14"/>
      <c r="P3" s="14"/>
      <c r="Q3" s="14"/>
      <c r="R3" s="14"/>
      <c r="S3" s="217"/>
      <c r="T3" s="2"/>
    </row>
    <row r="4" spans="1:20" ht="15.6" x14ac:dyDescent="0.3">
      <c r="A4" s="12"/>
      <c r="B4" s="13"/>
      <c r="C4" s="14"/>
      <c r="D4" s="14"/>
      <c r="E4" s="14"/>
      <c r="F4" s="14"/>
      <c r="G4" s="14"/>
      <c r="H4" s="14"/>
      <c r="I4" s="14"/>
      <c r="J4" s="14"/>
      <c r="K4" s="14"/>
      <c r="L4" s="14"/>
      <c r="M4" s="14"/>
      <c r="N4" s="14"/>
      <c r="O4" s="14"/>
      <c r="P4" s="14"/>
      <c r="Q4" s="14"/>
      <c r="R4" s="14"/>
      <c r="S4" s="217"/>
      <c r="T4" s="2"/>
    </row>
    <row r="5" spans="1:20" ht="15.6" x14ac:dyDescent="0.3">
      <c r="A5" s="12"/>
      <c r="B5" s="102" t="s">
        <v>109</v>
      </c>
      <c r="C5" s="14"/>
      <c r="D5" s="14"/>
      <c r="E5" s="14"/>
      <c r="F5" s="14"/>
      <c r="G5" s="14"/>
      <c r="H5" s="14"/>
      <c r="I5" s="14"/>
      <c r="J5" s="14"/>
      <c r="K5" s="14"/>
      <c r="L5" s="14"/>
      <c r="M5" s="14"/>
      <c r="N5" s="14"/>
      <c r="O5" s="14"/>
      <c r="P5" s="14"/>
      <c r="Q5" s="14"/>
      <c r="R5" s="14"/>
      <c r="S5" s="217"/>
      <c r="T5" s="2"/>
    </row>
    <row r="6" spans="1:20" ht="15.6" x14ac:dyDescent="0.3">
      <c r="A6" s="12"/>
      <c r="B6" s="102" t="s">
        <v>111</v>
      </c>
      <c r="C6" s="14"/>
      <c r="D6" s="14"/>
      <c r="E6" s="14"/>
      <c r="F6" s="14"/>
      <c r="G6" s="14"/>
      <c r="H6" s="14"/>
      <c r="I6" s="14"/>
      <c r="J6" s="14"/>
      <c r="K6" s="14"/>
      <c r="L6" s="14"/>
      <c r="M6" s="14"/>
      <c r="N6" s="14"/>
      <c r="O6" s="14"/>
      <c r="P6" s="14"/>
      <c r="Q6" s="14"/>
      <c r="R6" s="14"/>
      <c r="S6" s="217"/>
      <c r="T6" s="2"/>
    </row>
    <row r="7" spans="1:20" ht="15.6" x14ac:dyDescent="0.3">
      <c r="A7" s="12"/>
      <c r="B7" s="102" t="s">
        <v>110</v>
      </c>
      <c r="C7" s="14"/>
      <c r="D7" s="14"/>
      <c r="E7" s="14"/>
      <c r="F7" s="14"/>
      <c r="G7" s="14"/>
      <c r="H7" s="14"/>
      <c r="I7" s="14"/>
      <c r="J7" s="14"/>
      <c r="K7" s="14"/>
      <c r="L7" s="14"/>
      <c r="M7" s="14"/>
      <c r="N7" s="14"/>
      <c r="O7" s="14"/>
      <c r="P7" s="14"/>
      <c r="Q7" s="14"/>
      <c r="R7" s="14"/>
      <c r="S7" s="217"/>
      <c r="T7" s="2"/>
    </row>
    <row r="8" spans="1:20" ht="15.6" x14ac:dyDescent="0.3">
      <c r="A8" s="12"/>
      <c r="B8" s="17"/>
      <c r="C8" s="14"/>
      <c r="D8" s="14"/>
      <c r="E8" s="14"/>
      <c r="F8" s="14"/>
      <c r="G8" s="14"/>
      <c r="H8" s="14"/>
      <c r="I8" s="14"/>
      <c r="J8" s="14"/>
      <c r="K8" s="14"/>
      <c r="L8" s="14"/>
      <c r="M8" s="14"/>
      <c r="N8" s="14"/>
      <c r="O8" s="14"/>
      <c r="P8" s="14"/>
      <c r="Q8" s="14"/>
      <c r="R8" s="14"/>
      <c r="S8" s="217"/>
      <c r="T8" s="2"/>
    </row>
    <row r="9" spans="1:20" ht="17.399999999999999" x14ac:dyDescent="0.3">
      <c r="A9" s="12"/>
      <c r="B9" s="18" t="s">
        <v>127</v>
      </c>
      <c r="C9" s="14"/>
      <c r="D9" s="14"/>
      <c r="E9" s="19"/>
      <c r="F9" s="14"/>
      <c r="G9" s="14"/>
      <c r="H9" s="19"/>
      <c r="I9" s="14"/>
      <c r="J9" s="19"/>
      <c r="K9" s="19" t="s">
        <v>128</v>
      </c>
      <c r="L9" s="19"/>
      <c r="M9" s="14"/>
      <c r="N9" s="14"/>
      <c r="O9" s="14"/>
      <c r="P9" s="14"/>
      <c r="Q9" s="14"/>
      <c r="R9" s="14"/>
      <c r="S9" s="217"/>
      <c r="T9" s="2"/>
    </row>
    <row r="10" spans="1:20" ht="15.6" x14ac:dyDescent="0.3">
      <c r="A10" s="12"/>
      <c r="B10" s="17"/>
      <c r="C10" s="20"/>
      <c r="D10" s="14"/>
      <c r="E10" s="14"/>
      <c r="F10" s="14"/>
      <c r="G10" s="14"/>
      <c r="H10" s="14"/>
      <c r="I10" s="14"/>
      <c r="J10" s="14"/>
      <c r="K10" s="14"/>
      <c r="L10" s="14"/>
      <c r="M10" s="14"/>
      <c r="N10" s="14"/>
      <c r="O10" s="14"/>
      <c r="P10" s="14"/>
      <c r="Q10" s="14"/>
      <c r="R10" s="14"/>
      <c r="S10" s="217"/>
      <c r="T10" s="2"/>
    </row>
    <row r="11" spans="1:20" ht="15.6" x14ac:dyDescent="0.3">
      <c r="A11" s="12"/>
      <c r="B11" s="88" t="s">
        <v>0</v>
      </c>
      <c r="C11" s="14"/>
      <c r="D11" s="14"/>
      <c r="E11" s="14"/>
      <c r="F11" s="14"/>
      <c r="G11" s="14"/>
      <c r="H11" s="14"/>
      <c r="I11" s="14"/>
      <c r="J11" s="14"/>
      <c r="K11" s="14"/>
      <c r="L11" s="14"/>
      <c r="M11" s="14"/>
      <c r="N11" s="14"/>
      <c r="O11" s="14"/>
      <c r="P11" s="14"/>
      <c r="Q11" s="14"/>
      <c r="R11" s="14"/>
      <c r="S11" s="217"/>
      <c r="T11" s="2"/>
    </row>
    <row r="12" spans="1:20" ht="16.2" thickBot="1" x14ac:dyDescent="0.35">
      <c r="A12" s="12"/>
      <c r="B12" s="20"/>
      <c r="C12" s="14"/>
      <c r="D12" s="14"/>
      <c r="E12" s="14"/>
      <c r="F12" s="14"/>
      <c r="G12" s="14"/>
      <c r="H12" s="14"/>
      <c r="I12" s="14"/>
      <c r="J12" s="14"/>
      <c r="K12" s="14"/>
      <c r="L12" s="14"/>
      <c r="M12" s="14"/>
      <c r="N12" s="14"/>
      <c r="O12" s="14"/>
      <c r="P12" s="14"/>
      <c r="Q12" s="14"/>
      <c r="R12" s="14"/>
      <c r="S12" s="217"/>
      <c r="T12" s="2"/>
    </row>
    <row r="13" spans="1:20" ht="15.6" x14ac:dyDescent="0.3">
      <c r="A13" s="10"/>
      <c r="B13" s="11"/>
      <c r="C13" s="11"/>
      <c r="D13" s="11"/>
      <c r="E13" s="11"/>
      <c r="F13" s="11"/>
      <c r="G13" s="11"/>
      <c r="H13" s="11"/>
      <c r="I13" s="11"/>
      <c r="J13" s="11"/>
      <c r="K13" s="11"/>
      <c r="L13" s="11"/>
      <c r="M13" s="11"/>
      <c r="N13" s="11"/>
      <c r="O13" s="11"/>
      <c r="P13" s="11"/>
      <c r="Q13" s="11"/>
      <c r="R13" s="11"/>
      <c r="S13" s="216"/>
      <c r="T13" s="2"/>
    </row>
    <row r="14" spans="1:20" ht="15.6" x14ac:dyDescent="0.3">
      <c r="A14" s="12"/>
      <c r="B14" s="88" t="s">
        <v>1</v>
      </c>
      <c r="C14" s="84"/>
      <c r="D14" s="84"/>
      <c r="E14" s="84"/>
      <c r="F14" s="84"/>
      <c r="G14" s="84"/>
      <c r="H14" s="84"/>
      <c r="I14" s="84"/>
      <c r="J14" s="84"/>
      <c r="K14" s="84"/>
      <c r="L14" s="84"/>
      <c r="M14" s="84"/>
      <c r="N14" s="84"/>
      <c r="O14" s="84"/>
      <c r="P14" s="84"/>
      <c r="Q14" s="84"/>
      <c r="R14" s="103" t="s">
        <v>223</v>
      </c>
      <c r="S14" s="218"/>
      <c r="T14" s="2"/>
    </row>
    <row r="15" spans="1:20" ht="15.6" x14ac:dyDescent="0.3">
      <c r="A15" s="12"/>
      <c r="B15" s="88" t="s">
        <v>2</v>
      </c>
      <c r="C15" s="84"/>
      <c r="D15" s="104"/>
      <c r="E15" s="104"/>
      <c r="F15" s="104"/>
      <c r="G15" s="104"/>
      <c r="H15" s="104"/>
      <c r="I15" s="104"/>
      <c r="J15" s="104"/>
      <c r="K15" s="104"/>
      <c r="L15" s="104"/>
      <c r="M15" s="104"/>
      <c r="N15" s="105"/>
      <c r="O15" s="105"/>
      <c r="P15" s="105" t="s">
        <v>154</v>
      </c>
      <c r="Q15" s="105">
        <v>1</v>
      </c>
      <c r="R15" s="103"/>
      <c r="S15" s="218"/>
      <c r="T15" s="2"/>
    </row>
    <row r="16" spans="1:20" ht="15.6" x14ac:dyDescent="0.3">
      <c r="A16" s="12"/>
      <c r="B16" s="88" t="s">
        <v>3</v>
      </c>
      <c r="C16" s="84"/>
      <c r="D16" s="104"/>
      <c r="E16" s="104"/>
      <c r="F16" s="104"/>
      <c r="G16" s="104"/>
      <c r="H16" s="104"/>
      <c r="I16" s="104"/>
      <c r="J16" s="104"/>
      <c r="K16" s="104"/>
      <c r="L16" s="104"/>
      <c r="M16" s="104"/>
      <c r="N16" s="105"/>
      <c r="O16" s="230"/>
      <c r="P16" s="105" t="s">
        <v>154</v>
      </c>
      <c r="Q16" s="230">
        <v>1</v>
      </c>
      <c r="R16" s="103"/>
      <c r="S16" s="218"/>
      <c r="T16" s="2"/>
    </row>
    <row r="17" spans="1:23" ht="15.6" x14ac:dyDescent="0.3">
      <c r="A17" s="12"/>
      <c r="B17" s="88" t="s">
        <v>4</v>
      </c>
      <c r="C17" s="84"/>
      <c r="D17" s="84"/>
      <c r="E17" s="84"/>
      <c r="F17" s="84"/>
      <c r="G17" s="84"/>
      <c r="H17" s="84"/>
      <c r="I17" s="84"/>
      <c r="J17" s="84"/>
      <c r="K17" s="84"/>
      <c r="L17" s="84"/>
      <c r="M17" s="84"/>
      <c r="N17" s="84"/>
      <c r="O17" s="84"/>
      <c r="P17" s="84"/>
      <c r="Q17" s="84"/>
      <c r="R17" s="106">
        <v>42088</v>
      </c>
      <c r="S17" s="218"/>
      <c r="T17" s="2"/>
    </row>
    <row r="18" spans="1:23" ht="15.6" x14ac:dyDescent="0.3">
      <c r="A18" s="12"/>
      <c r="B18" s="88" t="s">
        <v>5</v>
      </c>
      <c r="C18" s="84"/>
      <c r="D18" s="84"/>
      <c r="E18" s="84"/>
      <c r="F18" s="84"/>
      <c r="G18" s="84"/>
      <c r="H18" s="84"/>
      <c r="I18" s="84"/>
      <c r="J18" s="84"/>
      <c r="K18" s="84"/>
      <c r="L18" s="84"/>
      <c r="M18" s="84"/>
      <c r="N18" s="84"/>
      <c r="O18" s="84"/>
      <c r="P18" s="84"/>
      <c r="Q18" s="84"/>
      <c r="R18" s="215">
        <v>42450</v>
      </c>
      <c r="S18" s="218"/>
      <c r="T18" s="2"/>
    </row>
    <row r="19" spans="1:23" ht="15.6" x14ac:dyDescent="0.3">
      <c r="A19" s="12"/>
      <c r="B19" s="14"/>
      <c r="C19" s="14"/>
      <c r="D19" s="14"/>
      <c r="E19" s="14"/>
      <c r="F19" s="14"/>
      <c r="G19" s="14"/>
      <c r="H19" s="14"/>
      <c r="I19" s="14"/>
      <c r="J19" s="14"/>
      <c r="K19" s="14"/>
      <c r="L19" s="14"/>
      <c r="M19" s="14"/>
      <c r="N19" s="14"/>
      <c r="O19" s="14"/>
      <c r="P19" s="14"/>
      <c r="Q19" s="14"/>
      <c r="R19" s="21"/>
      <c r="S19" s="217"/>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7"/>
      <c r="T20" s="2"/>
    </row>
    <row r="21" spans="1:23" ht="15.6" x14ac:dyDescent="0.3">
      <c r="A21" s="12"/>
      <c r="B21" s="14"/>
      <c r="C21" s="14"/>
      <c r="D21" s="14"/>
      <c r="E21" s="14"/>
      <c r="F21" s="14"/>
      <c r="G21" s="14"/>
      <c r="H21" s="14"/>
      <c r="I21" s="14"/>
      <c r="J21" s="14"/>
      <c r="K21" s="14"/>
      <c r="L21" s="14"/>
      <c r="M21" s="14"/>
      <c r="N21" s="14"/>
      <c r="O21" s="14"/>
      <c r="P21" s="14"/>
      <c r="Q21" s="14"/>
      <c r="R21" s="23"/>
      <c r="S21" s="217"/>
      <c r="T21" s="2"/>
    </row>
    <row r="22" spans="1:23" ht="15.6" x14ac:dyDescent="0.3">
      <c r="A22" s="53"/>
      <c r="B22" s="54"/>
      <c r="C22" s="55"/>
      <c r="D22" s="55" t="s">
        <v>232</v>
      </c>
      <c r="E22" s="55"/>
      <c r="F22" s="55" t="s">
        <v>233</v>
      </c>
      <c r="G22" s="55"/>
      <c r="H22" s="55" t="s">
        <v>179</v>
      </c>
      <c r="I22" s="55"/>
      <c r="J22" s="55" t="s">
        <v>180</v>
      </c>
      <c r="K22" s="55"/>
      <c r="L22" s="55" t="s">
        <v>234</v>
      </c>
      <c r="M22" s="55"/>
      <c r="N22" s="55"/>
      <c r="O22" s="56"/>
      <c r="P22" s="57"/>
      <c r="Q22" s="58"/>
      <c r="R22" s="58"/>
      <c r="S22" s="219"/>
      <c r="T22" s="2"/>
    </row>
    <row r="23" spans="1:23" ht="15.6" x14ac:dyDescent="0.3">
      <c r="A23" s="24"/>
      <c r="B23" s="79" t="s">
        <v>226</v>
      </c>
      <c r="C23" s="109"/>
      <c r="D23" s="109" t="s">
        <v>112</v>
      </c>
      <c r="E23" s="109"/>
      <c r="F23" s="109" t="s">
        <v>112</v>
      </c>
      <c r="G23" s="109"/>
      <c r="H23" s="109" t="s">
        <v>178</v>
      </c>
      <c r="I23" s="109"/>
      <c r="J23" s="109" t="s">
        <v>249</v>
      </c>
      <c r="K23" s="109"/>
      <c r="L23" s="109" t="s">
        <v>153</v>
      </c>
      <c r="M23" s="109"/>
      <c r="N23" s="109"/>
      <c r="O23" s="109"/>
      <c r="P23" s="109"/>
      <c r="Q23" s="100"/>
      <c r="R23" s="100"/>
      <c r="S23" s="220"/>
      <c r="T23" s="2"/>
    </row>
    <row r="24" spans="1:23" ht="15.6" x14ac:dyDescent="0.3">
      <c r="A24" s="117"/>
      <c r="B24" s="113" t="s">
        <v>197</v>
      </c>
      <c r="C24" s="119"/>
      <c r="D24" s="114" t="s">
        <v>199</v>
      </c>
      <c r="E24" s="114"/>
      <c r="F24" s="114" t="s">
        <v>199</v>
      </c>
      <c r="G24" s="114"/>
      <c r="H24" s="114" t="s">
        <v>200</v>
      </c>
      <c r="I24" s="114"/>
      <c r="J24" s="114" t="s">
        <v>201</v>
      </c>
      <c r="K24" s="114"/>
      <c r="L24" s="114" t="s">
        <v>153</v>
      </c>
      <c r="M24" s="114"/>
      <c r="N24" s="114"/>
      <c r="O24" s="119"/>
      <c r="P24" s="114"/>
      <c r="Q24" s="115"/>
      <c r="R24" s="115"/>
      <c r="S24" s="116"/>
      <c r="T24" s="2"/>
    </row>
    <row r="25" spans="1:23" ht="15.6" x14ac:dyDescent="0.3">
      <c r="A25" s="120"/>
      <c r="B25" s="124" t="s">
        <v>227</v>
      </c>
      <c r="C25" s="119"/>
      <c r="D25" s="119" t="s">
        <v>112</v>
      </c>
      <c r="E25" s="119"/>
      <c r="F25" s="119" t="s">
        <v>112</v>
      </c>
      <c r="G25" s="119"/>
      <c r="H25" s="119" t="s">
        <v>178</v>
      </c>
      <c r="I25" s="119"/>
      <c r="J25" s="119" t="s">
        <v>249</v>
      </c>
      <c r="K25" s="119"/>
      <c r="L25" s="119" t="s">
        <v>153</v>
      </c>
      <c r="M25" s="119"/>
      <c r="N25" s="119"/>
      <c r="O25" s="119"/>
      <c r="P25" s="114"/>
      <c r="Q25" s="115"/>
      <c r="R25" s="115"/>
      <c r="S25" s="116"/>
      <c r="T25" s="2"/>
      <c r="U25" s="211"/>
      <c r="W25" s="212"/>
    </row>
    <row r="26" spans="1:23" ht="15.6" x14ac:dyDescent="0.3">
      <c r="A26" s="122"/>
      <c r="B26" s="124" t="s">
        <v>198</v>
      </c>
      <c r="C26" s="114"/>
      <c r="D26" s="119" t="s">
        <v>199</v>
      </c>
      <c r="E26" s="119"/>
      <c r="F26" s="119" t="s">
        <v>199</v>
      </c>
      <c r="G26" s="119"/>
      <c r="H26" s="119" t="s">
        <v>200</v>
      </c>
      <c r="I26" s="119"/>
      <c r="J26" s="119" t="s">
        <v>201</v>
      </c>
      <c r="K26" s="119"/>
      <c r="L26" s="119" t="s">
        <v>153</v>
      </c>
      <c r="M26" s="119"/>
      <c r="N26" s="119"/>
      <c r="O26" s="114"/>
      <c r="P26" s="123"/>
      <c r="Q26" s="115"/>
      <c r="R26" s="115"/>
      <c r="S26" s="116"/>
      <c r="T26" s="2"/>
      <c r="U26" s="211"/>
      <c r="W26" s="212"/>
    </row>
    <row r="27" spans="1:23" ht="15.6" x14ac:dyDescent="0.3">
      <c r="A27" s="122"/>
      <c r="B27" s="113" t="s">
        <v>7</v>
      </c>
      <c r="C27" s="125"/>
      <c r="D27" s="114" t="s">
        <v>228</v>
      </c>
      <c r="E27" s="114"/>
      <c r="F27" s="114" t="s">
        <v>242</v>
      </c>
      <c r="G27" s="114"/>
      <c r="H27" s="114" t="s">
        <v>243</v>
      </c>
      <c r="I27" s="114"/>
      <c r="J27" s="114" t="s">
        <v>244</v>
      </c>
      <c r="K27" s="114"/>
      <c r="L27" s="114" t="s">
        <v>245</v>
      </c>
      <c r="M27" s="114"/>
      <c r="N27" s="114"/>
      <c r="O27" s="126"/>
      <c r="P27" s="126"/>
      <c r="Q27" s="127"/>
      <c r="R27" s="126"/>
      <c r="S27" s="128"/>
      <c r="T27" s="2"/>
      <c r="U27" s="211"/>
      <c r="W27" s="212"/>
    </row>
    <row r="28" spans="1:23" ht="15.6" x14ac:dyDescent="0.3">
      <c r="A28" s="120"/>
      <c r="B28" s="113" t="s">
        <v>106</v>
      </c>
      <c r="C28" s="129"/>
      <c r="D28" s="235">
        <v>164000</v>
      </c>
      <c r="E28" s="130"/>
      <c r="F28" s="201">
        <v>151700</v>
      </c>
      <c r="G28" s="198"/>
      <c r="H28" s="201">
        <v>12000</v>
      </c>
      <c r="I28" s="198"/>
      <c r="J28" s="201">
        <v>12000</v>
      </c>
      <c r="K28" s="126"/>
      <c r="L28" s="201">
        <v>7500</v>
      </c>
      <c r="M28" s="126"/>
      <c r="N28" s="130"/>
      <c r="O28" s="131"/>
      <c r="P28" s="131"/>
      <c r="Q28" s="132"/>
      <c r="R28" s="126"/>
      <c r="S28" s="128"/>
      <c r="T28" s="2"/>
    </row>
    <row r="29" spans="1:23" ht="15.6" x14ac:dyDescent="0.3">
      <c r="A29" s="122"/>
      <c r="B29" s="113" t="s">
        <v>105</v>
      </c>
      <c r="C29" s="125"/>
      <c r="D29" s="235">
        <f>D28*D35</f>
        <v>158154.5808</v>
      </c>
      <c r="E29" s="130"/>
      <c r="F29" s="201">
        <f>F28*F35</f>
        <v>146292.98724000002</v>
      </c>
      <c r="G29" s="201"/>
      <c r="H29" s="201">
        <f>H28</f>
        <v>12000</v>
      </c>
      <c r="I29" s="201"/>
      <c r="J29" s="201">
        <f>J28</f>
        <v>12000</v>
      </c>
      <c r="K29" s="126"/>
      <c r="L29" s="201">
        <f>L28</f>
        <v>7500</v>
      </c>
      <c r="M29" s="126"/>
      <c r="N29" s="130"/>
      <c r="O29" s="126"/>
      <c r="P29" s="126"/>
      <c r="Q29" s="127"/>
      <c r="R29" s="126"/>
      <c r="S29" s="128"/>
      <c r="T29" s="2"/>
    </row>
    <row r="30" spans="1:23" ht="15.6" x14ac:dyDescent="0.3">
      <c r="A30" s="122"/>
      <c r="B30" s="121" t="s">
        <v>107</v>
      </c>
      <c r="C30" s="125"/>
      <c r="D30" s="236">
        <f>D28*D34</f>
        <v>156004.70480000001</v>
      </c>
      <c r="E30" s="202"/>
      <c r="F30" s="202">
        <f t="shared" ref="F30" si="0">F28*F34</f>
        <v>144304.35193999999</v>
      </c>
      <c r="G30" s="202"/>
      <c r="H30" s="202">
        <f t="shared" ref="H30" si="1">H28*H34</f>
        <v>12000</v>
      </c>
      <c r="I30" s="202"/>
      <c r="J30" s="202">
        <f t="shared" ref="J30" si="2">J28*J34</f>
        <v>12000</v>
      </c>
      <c r="K30" s="202"/>
      <c r="L30" s="202">
        <f t="shared" ref="L30" si="3">L28*L34</f>
        <v>7500</v>
      </c>
      <c r="M30" s="131"/>
      <c r="N30" s="133"/>
      <c r="O30" s="126"/>
      <c r="P30" s="126"/>
      <c r="Q30" s="127"/>
      <c r="R30" s="203"/>
      <c r="S30" s="128"/>
      <c r="T30" s="2"/>
    </row>
    <row r="31" spans="1:23" ht="15.6" x14ac:dyDescent="0.3">
      <c r="A31" s="122"/>
      <c r="B31" s="113" t="s">
        <v>229</v>
      </c>
      <c r="C31" s="125"/>
      <c r="D31" s="201">
        <v>116809</v>
      </c>
      <c r="E31" s="201"/>
      <c r="F31" s="201">
        <v>151700</v>
      </c>
      <c r="G31" s="201"/>
      <c r="H31" s="201">
        <v>12000</v>
      </c>
      <c r="I31" s="201"/>
      <c r="J31" s="201">
        <v>12000</v>
      </c>
      <c r="K31" s="201"/>
      <c r="L31" s="201">
        <v>7500</v>
      </c>
      <c r="M31" s="126"/>
      <c r="N31" s="133"/>
      <c r="O31" s="126"/>
      <c r="P31" s="126"/>
      <c r="Q31" s="127"/>
      <c r="R31" s="126">
        <f>SUM(D31:L31)</f>
        <v>300009</v>
      </c>
      <c r="S31" s="128"/>
      <c r="T31" s="2"/>
    </row>
    <row r="32" spans="1:23" ht="15.6" x14ac:dyDescent="0.3">
      <c r="A32" s="122"/>
      <c r="B32" s="113" t="s">
        <v>230</v>
      </c>
      <c r="C32" s="125"/>
      <c r="D32" s="201">
        <f>D31*D35</f>
        <v>112645.6001748</v>
      </c>
      <c r="E32" s="201"/>
      <c r="F32" s="201">
        <f>F31*F35</f>
        <v>146292.98724000002</v>
      </c>
      <c r="G32" s="201"/>
      <c r="H32" s="201">
        <f>H31</f>
        <v>12000</v>
      </c>
      <c r="I32" s="201"/>
      <c r="J32" s="201">
        <f>+J31</f>
        <v>12000</v>
      </c>
      <c r="K32" s="201"/>
      <c r="L32" s="201">
        <f>L31</f>
        <v>7500</v>
      </c>
      <c r="M32" s="126"/>
      <c r="N32" s="133"/>
      <c r="O32" s="126"/>
      <c r="P32" s="126"/>
      <c r="Q32" s="127"/>
      <c r="R32" s="126">
        <f>SUM(D32:L32)</f>
        <v>290438.58741480001</v>
      </c>
      <c r="S32" s="128"/>
      <c r="T32" s="2"/>
    </row>
    <row r="33" spans="1:20" ht="15.6" x14ac:dyDescent="0.3">
      <c r="A33" s="122"/>
      <c r="B33" s="124" t="s">
        <v>231</v>
      </c>
      <c r="C33" s="125"/>
      <c r="D33" s="237">
        <f>D31*D34</f>
        <v>111114.35099379999</v>
      </c>
      <c r="E33" s="237"/>
      <c r="F33" s="237">
        <f>F31*F34</f>
        <v>144304.35193999999</v>
      </c>
      <c r="G33" s="237"/>
      <c r="H33" s="237">
        <f t="shared" ref="H33:L33" si="4">H31*H34</f>
        <v>12000</v>
      </c>
      <c r="I33" s="237"/>
      <c r="J33" s="237">
        <f t="shared" si="4"/>
        <v>12000</v>
      </c>
      <c r="K33" s="237"/>
      <c r="L33" s="237">
        <f t="shared" si="4"/>
        <v>7500</v>
      </c>
      <c r="M33" s="131"/>
      <c r="N33" s="133"/>
      <c r="O33" s="126"/>
      <c r="P33" s="126"/>
      <c r="Q33" s="127"/>
      <c r="R33" s="203">
        <f>SUM(D33:L33)</f>
        <v>286918.7029338</v>
      </c>
      <c r="S33" s="128"/>
      <c r="T33" s="2"/>
    </row>
    <row r="34" spans="1:20" ht="15.6" x14ac:dyDescent="0.3">
      <c r="A34" s="112"/>
      <c r="B34" s="134" t="s">
        <v>103</v>
      </c>
      <c r="C34" s="135"/>
      <c r="D34" s="136">
        <v>0.95124819999999999</v>
      </c>
      <c r="E34" s="136"/>
      <c r="F34" s="136">
        <v>0.95124819999999999</v>
      </c>
      <c r="G34" s="136"/>
      <c r="H34" s="136">
        <v>1</v>
      </c>
      <c r="I34" s="136"/>
      <c r="J34" s="136">
        <v>1</v>
      </c>
      <c r="K34" s="136"/>
      <c r="L34" s="136">
        <v>1</v>
      </c>
      <c r="M34" s="136"/>
      <c r="N34" s="136"/>
      <c r="O34" s="137"/>
      <c r="P34" s="137"/>
      <c r="Q34" s="138"/>
      <c r="R34" s="204"/>
      <c r="S34" s="139"/>
      <c r="T34" s="2"/>
    </row>
    <row r="35" spans="1:20" ht="15.6" x14ac:dyDescent="0.3">
      <c r="A35" s="112"/>
      <c r="B35" s="134" t="s">
        <v>104</v>
      </c>
      <c r="C35" s="135"/>
      <c r="D35" s="136">
        <v>0.96435720000000003</v>
      </c>
      <c r="E35" s="136"/>
      <c r="F35" s="136">
        <v>0.96435720000000003</v>
      </c>
      <c r="G35" s="136"/>
      <c r="H35" s="136">
        <v>1</v>
      </c>
      <c r="I35" s="136"/>
      <c r="J35" s="136">
        <v>1</v>
      </c>
      <c r="K35" s="136"/>
      <c r="L35" s="136">
        <v>1</v>
      </c>
      <c r="M35" s="136"/>
      <c r="N35" s="136"/>
      <c r="O35" s="140"/>
      <c r="P35" s="141"/>
      <c r="Q35" s="138"/>
      <c r="R35" s="140"/>
      <c r="S35" s="139"/>
      <c r="T35" s="2"/>
    </row>
    <row r="36" spans="1:20" ht="15.6" x14ac:dyDescent="0.3">
      <c r="A36" s="112"/>
      <c r="B36" s="113" t="s">
        <v>8</v>
      </c>
      <c r="C36" s="113"/>
      <c r="D36" s="123" t="s">
        <v>240</v>
      </c>
      <c r="E36" s="123"/>
      <c r="F36" s="123" t="s">
        <v>220</v>
      </c>
      <c r="G36" s="123"/>
      <c r="H36" s="123" t="s">
        <v>247</v>
      </c>
      <c r="I36" s="123"/>
      <c r="J36" s="123" t="s">
        <v>250</v>
      </c>
      <c r="K36" s="123"/>
      <c r="L36" s="123" t="s">
        <v>252</v>
      </c>
      <c r="M36" s="123"/>
      <c r="N36" s="123"/>
      <c r="O36" s="142"/>
      <c r="P36" s="143"/>
      <c r="Q36" s="115"/>
      <c r="R36" s="115"/>
      <c r="S36" s="116"/>
      <c r="T36" s="2"/>
    </row>
    <row r="37" spans="1:20" ht="15.6" x14ac:dyDescent="0.3">
      <c r="A37" s="112"/>
      <c r="B37" s="113" t="s">
        <v>9</v>
      </c>
      <c r="C37" s="144"/>
      <c r="D37" s="143">
        <v>3.7200000000000002E-3</v>
      </c>
      <c r="E37" s="143"/>
      <c r="F37" s="143">
        <v>1.38338E-2</v>
      </c>
      <c r="G37" s="143"/>
      <c r="H37" s="143">
        <v>1.9333800000000002E-2</v>
      </c>
      <c r="I37" s="143"/>
      <c r="J37" s="143">
        <v>2.2333800000000001E-2</v>
      </c>
      <c r="K37" s="143"/>
      <c r="L37" s="143">
        <v>2.5833800000000001E-2</v>
      </c>
      <c r="M37" s="142"/>
      <c r="N37" s="143"/>
      <c r="O37" s="123"/>
      <c r="P37" s="123"/>
      <c r="Q37" s="115"/>
      <c r="R37" s="142"/>
      <c r="S37" s="116"/>
      <c r="T37" s="2"/>
    </row>
    <row r="38" spans="1:20" ht="15.6" x14ac:dyDescent="0.3">
      <c r="A38" s="112"/>
      <c r="B38" s="113" t="s">
        <v>10</v>
      </c>
      <c r="C38" s="144"/>
      <c r="D38" s="143">
        <v>4.62E-3</v>
      </c>
      <c r="E38" s="143"/>
      <c r="F38" s="143">
        <v>1.3875E-2</v>
      </c>
      <c r="G38" s="143"/>
      <c r="H38" s="143">
        <v>1.9375E-2</v>
      </c>
      <c r="I38" s="143"/>
      <c r="J38" s="143">
        <v>2.2374999999999999E-2</v>
      </c>
      <c r="K38" s="143"/>
      <c r="L38" s="143">
        <v>2.5874999999999999E-2</v>
      </c>
      <c r="M38" s="142"/>
      <c r="N38" s="143"/>
      <c r="O38" s="123"/>
      <c r="P38" s="123"/>
      <c r="Q38" s="115"/>
      <c r="R38" s="115"/>
      <c r="S38" s="116"/>
      <c r="T38" s="2"/>
    </row>
    <row r="39" spans="1:20" ht="15.6" x14ac:dyDescent="0.3">
      <c r="A39" s="112"/>
      <c r="B39" s="113" t="s">
        <v>235</v>
      </c>
      <c r="C39" s="144"/>
      <c r="D39" s="240" t="s">
        <v>260</v>
      </c>
      <c r="E39" s="143"/>
      <c r="F39" s="143" t="s">
        <v>220</v>
      </c>
      <c r="G39" s="143"/>
      <c r="H39" s="143" t="s">
        <v>247</v>
      </c>
      <c r="I39" s="143"/>
      <c r="J39" s="123" t="s">
        <v>250</v>
      </c>
      <c r="K39" s="143"/>
      <c r="L39" s="143" t="s">
        <v>252</v>
      </c>
      <c r="M39" s="142"/>
      <c r="N39" s="143"/>
      <c r="O39" s="123"/>
      <c r="P39" s="123"/>
      <c r="Q39" s="115"/>
      <c r="R39" s="115"/>
      <c r="S39" s="116"/>
      <c r="T39" s="2"/>
    </row>
    <row r="40" spans="1:20" ht="15.6" x14ac:dyDescent="0.3">
      <c r="A40" s="112"/>
      <c r="B40" s="113" t="s">
        <v>236</v>
      </c>
      <c r="C40" s="144"/>
      <c r="D40" s="143">
        <v>1.62338E-2</v>
      </c>
      <c r="E40" s="143"/>
      <c r="F40" s="143">
        <f>+F37</f>
        <v>1.38338E-2</v>
      </c>
      <c r="G40" s="143"/>
      <c r="H40" s="143">
        <f>+H37</f>
        <v>1.9333800000000002E-2</v>
      </c>
      <c r="I40" s="143"/>
      <c r="J40" s="143">
        <f>+J37</f>
        <v>2.2333800000000001E-2</v>
      </c>
      <c r="K40" s="143"/>
      <c r="L40" s="143">
        <f>+L37</f>
        <v>2.5833800000000001E-2</v>
      </c>
      <c r="M40" s="142"/>
      <c r="N40" s="143"/>
      <c r="O40" s="123"/>
      <c r="P40" s="123"/>
      <c r="Q40" s="115"/>
      <c r="R40" s="142">
        <f>SUMPRODUCT(D40:L40,D32:L32)/R32</f>
        <v>1.5652943403506984E-2</v>
      </c>
      <c r="S40" s="116"/>
      <c r="T40" s="2"/>
    </row>
    <row r="41" spans="1:20" ht="15.6" x14ac:dyDescent="0.3">
      <c r="A41" s="112"/>
      <c r="B41" s="113" t="s">
        <v>237</v>
      </c>
      <c r="C41" s="144"/>
      <c r="D41" s="143">
        <v>1.6275000000000001E-2</v>
      </c>
      <c r="E41" s="143"/>
      <c r="F41" s="143">
        <f>+F38</f>
        <v>1.3875E-2</v>
      </c>
      <c r="G41" s="143"/>
      <c r="H41" s="143">
        <f>+H38</f>
        <v>1.9375E-2</v>
      </c>
      <c r="I41" s="143"/>
      <c r="J41" s="143">
        <f>+J38</f>
        <v>2.2374999999999999E-2</v>
      </c>
      <c r="K41" s="143"/>
      <c r="L41" s="143">
        <f>+L38</f>
        <v>2.5874999999999999E-2</v>
      </c>
      <c r="M41" s="142"/>
      <c r="N41" s="143"/>
      <c r="O41" s="123"/>
      <c r="P41" s="123"/>
      <c r="Q41" s="115"/>
      <c r="R41" s="115"/>
      <c r="S41" s="116"/>
      <c r="T41" s="2"/>
    </row>
    <row r="42" spans="1:20" ht="15.6" x14ac:dyDescent="0.3">
      <c r="A42" s="112"/>
      <c r="B42" s="113" t="s">
        <v>238</v>
      </c>
      <c r="C42" s="113"/>
      <c r="D42" s="144">
        <v>43631</v>
      </c>
      <c r="E42" s="144"/>
      <c r="F42" s="144">
        <v>43631</v>
      </c>
      <c r="G42" s="144"/>
      <c r="H42" s="144">
        <v>43631</v>
      </c>
      <c r="I42" s="144"/>
      <c r="J42" s="144">
        <v>43631</v>
      </c>
      <c r="K42" s="144"/>
      <c r="L42" s="144">
        <v>43631</v>
      </c>
      <c r="M42" s="144"/>
      <c r="N42" s="144"/>
      <c r="O42" s="123"/>
      <c r="P42" s="123"/>
      <c r="Q42" s="115"/>
      <c r="R42" s="115"/>
      <c r="S42" s="116"/>
      <c r="T42" s="2"/>
    </row>
    <row r="43" spans="1:20" ht="15.6" x14ac:dyDescent="0.3">
      <c r="A43" s="112"/>
      <c r="B43" s="113" t="s">
        <v>11</v>
      </c>
      <c r="C43" s="113"/>
      <c r="D43" s="144">
        <v>43631</v>
      </c>
      <c r="E43" s="144"/>
      <c r="F43" s="144">
        <v>43631</v>
      </c>
      <c r="G43" s="123"/>
      <c r="H43" s="144">
        <v>43631</v>
      </c>
      <c r="I43" s="123"/>
      <c r="J43" s="144">
        <v>43631</v>
      </c>
      <c r="K43" s="123"/>
      <c r="L43" s="144" t="s">
        <v>97</v>
      </c>
      <c r="M43" s="123"/>
      <c r="N43" s="144"/>
      <c r="O43" s="123"/>
      <c r="P43" s="123"/>
      <c r="Q43" s="115"/>
      <c r="R43" s="115"/>
      <c r="S43" s="116"/>
      <c r="T43" s="2"/>
    </row>
    <row r="44" spans="1:20" ht="15.6" x14ac:dyDescent="0.3">
      <c r="A44" s="112"/>
      <c r="B44" s="113" t="s">
        <v>98</v>
      </c>
      <c r="C44" s="113"/>
      <c r="D44" s="123" t="s">
        <v>241</v>
      </c>
      <c r="E44" s="123"/>
      <c r="F44" s="123" t="s">
        <v>246</v>
      </c>
      <c r="G44" s="123"/>
      <c r="H44" s="123" t="s">
        <v>248</v>
      </c>
      <c r="I44" s="123"/>
      <c r="J44" s="123" t="s">
        <v>251</v>
      </c>
      <c r="K44" s="123"/>
      <c r="L44" s="123" t="s">
        <v>97</v>
      </c>
      <c r="M44" s="123"/>
      <c r="N44" s="123"/>
      <c r="O44" s="145"/>
      <c r="P44" s="145"/>
      <c r="Q44" s="145"/>
      <c r="R44" s="145"/>
      <c r="S44" s="116"/>
      <c r="T44" s="2"/>
    </row>
    <row r="45" spans="1:20" ht="15.6" x14ac:dyDescent="0.3">
      <c r="A45" s="112"/>
      <c r="B45" s="113" t="s">
        <v>239</v>
      </c>
      <c r="C45" s="113"/>
      <c r="D45" s="123" t="s">
        <v>273</v>
      </c>
      <c r="E45" s="123"/>
      <c r="F45" s="123" t="s">
        <v>246</v>
      </c>
      <c r="G45" s="123"/>
      <c r="H45" s="123" t="s">
        <v>248</v>
      </c>
      <c r="I45" s="123"/>
      <c r="J45" s="123" t="s">
        <v>251</v>
      </c>
      <c r="K45" s="123"/>
      <c r="L45" s="123" t="s">
        <v>97</v>
      </c>
      <c r="M45" s="123"/>
      <c r="N45" s="123"/>
      <c r="O45" s="145"/>
      <c r="P45" s="145"/>
      <c r="Q45" s="145"/>
      <c r="R45" s="145"/>
      <c r="S45" s="116"/>
      <c r="T45" s="2"/>
    </row>
    <row r="46" spans="1:20" ht="15.6" x14ac:dyDescent="0.3">
      <c r="A46" s="112"/>
      <c r="B46" s="113"/>
      <c r="C46" s="113"/>
      <c r="D46" s="123"/>
      <c r="E46" s="123"/>
      <c r="F46" s="123"/>
      <c r="G46" s="123"/>
      <c r="H46" s="123"/>
      <c r="I46" s="123"/>
      <c r="J46" s="123"/>
      <c r="K46" s="123"/>
      <c r="L46" s="123"/>
      <c r="M46" s="123"/>
      <c r="N46" s="123"/>
      <c r="O46" s="113"/>
      <c r="P46" s="113"/>
      <c r="Q46" s="113"/>
      <c r="R46" s="142" t="s">
        <v>130</v>
      </c>
      <c r="S46" s="116"/>
      <c r="T46" s="2"/>
    </row>
    <row r="47" spans="1:20" ht="15.6" x14ac:dyDescent="0.3">
      <c r="A47" s="112"/>
      <c r="B47" s="113" t="s">
        <v>253</v>
      </c>
      <c r="C47" s="113"/>
      <c r="D47" s="123"/>
      <c r="E47" s="123"/>
      <c r="F47" s="123"/>
      <c r="G47" s="123"/>
      <c r="H47" s="123"/>
      <c r="I47" s="123"/>
      <c r="J47" s="123"/>
      <c r="K47" s="123"/>
      <c r="L47" s="123"/>
      <c r="M47" s="123"/>
      <c r="N47" s="123"/>
      <c r="O47" s="113"/>
      <c r="P47" s="113"/>
      <c r="Q47" s="113"/>
      <c r="R47" s="238">
        <f>SUM(H31:L31)/(D31+F31)</f>
        <v>0.11731450342446621</v>
      </c>
      <c r="S47" s="116"/>
      <c r="T47" s="2"/>
    </row>
    <row r="48" spans="1:20" ht="15.6" x14ac:dyDescent="0.3">
      <c r="A48" s="112"/>
      <c r="B48" s="113" t="s">
        <v>254</v>
      </c>
      <c r="C48" s="113"/>
      <c r="D48" s="113"/>
      <c r="E48" s="113"/>
      <c r="F48" s="113"/>
      <c r="G48" s="113"/>
      <c r="H48" s="113"/>
      <c r="I48" s="113"/>
      <c r="J48" s="113"/>
      <c r="K48" s="113"/>
      <c r="L48" s="113"/>
      <c r="M48" s="113"/>
      <c r="N48" s="113"/>
      <c r="O48" s="113"/>
      <c r="P48" s="113"/>
      <c r="Q48" s="113"/>
      <c r="R48" s="238">
        <f>SUM(H33:L33)/(D33+F33)</f>
        <v>0.12332691239201947</v>
      </c>
      <c r="S48" s="116"/>
      <c r="T48" s="2"/>
    </row>
    <row r="49" spans="1:21" ht="15.6" x14ac:dyDescent="0.3">
      <c r="A49" s="112"/>
      <c r="B49" s="113" t="s">
        <v>255</v>
      </c>
      <c r="C49" s="113"/>
      <c r="D49" s="113"/>
      <c r="E49" s="113"/>
      <c r="F49" s="113"/>
      <c r="G49" s="113"/>
      <c r="H49" s="113"/>
      <c r="I49" s="113"/>
      <c r="J49" s="113"/>
      <c r="K49" s="113"/>
      <c r="L49" s="113"/>
      <c r="M49" s="113"/>
      <c r="N49" s="113"/>
      <c r="O49" s="113"/>
      <c r="P49" s="123"/>
      <c r="Q49" s="123"/>
      <c r="R49" s="126" t="s">
        <v>149</v>
      </c>
      <c r="S49" s="116"/>
      <c r="T49" s="2"/>
    </row>
    <row r="50" spans="1:21" ht="15.6" x14ac:dyDescent="0.3">
      <c r="A50" s="112"/>
      <c r="B50" s="113"/>
      <c r="C50" s="113"/>
      <c r="D50" s="113"/>
      <c r="E50" s="113"/>
      <c r="F50" s="113"/>
      <c r="G50" s="113"/>
      <c r="H50" s="113"/>
      <c r="I50" s="113"/>
      <c r="J50" s="113"/>
      <c r="K50" s="113"/>
      <c r="L50" s="113"/>
      <c r="M50" s="113"/>
      <c r="N50" s="113"/>
      <c r="O50" s="113"/>
      <c r="P50" s="113"/>
      <c r="Q50" s="113"/>
      <c r="R50" s="146"/>
      <c r="S50" s="116"/>
      <c r="T50" s="2"/>
    </row>
    <row r="51" spans="1:21" ht="15.6" x14ac:dyDescent="0.3">
      <c r="A51" s="112"/>
      <c r="B51" s="113" t="s">
        <v>225</v>
      </c>
      <c r="C51" s="113"/>
      <c r="D51" s="113"/>
      <c r="E51" s="113"/>
      <c r="F51" s="113"/>
      <c r="G51" s="113"/>
      <c r="H51" s="113"/>
      <c r="I51" s="113"/>
      <c r="J51" s="113"/>
      <c r="K51" s="113"/>
      <c r="L51" s="113"/>
      <c r="M51" s="113"/>
      <c r="N51" s="113"/>
      <c r="O51" s="113"/>
      <c r="P51" s="113"/>
      <c r="Q51" s="113"/>
      <c r="R51" s="147" t="s">
        <v>91</v>
      </c>
      <c r="S51" s="116"/>
      <c r="T51" s="2"/>
    </row>
    <row r="52" spans="1:21" ht="15.6" x14ac:dyDescent="0.3">
      <c r="A52" s="112"/>
      <c r="B52" s="121" t="s">
        <v>131</v>
      </c>
      <c r="C52" s="121"/>
      <c r="D52" s="121"/>
      <c r="E52" s="121"/>
      <c r="F52" s="121"/>
      <c r="G52" s="121"/>
      <c r="H52" s="121"/>
      <c r="I52" s="121"/>
      <c r="J52" s="121"/>
      <c r="K52" s="121"/>
      <c r="L52" s="121"/>
      <c r="M52" s="121"/>
      <c r="N52" s="121"/>
      <c r="O52" s="121"/>
      <c r="P52" s="148"/>
      <c r="Q52" s="148"/>
      <c r="R52" s="149">
        <v>42444</v>
      </c>
      <c r="S52" s="116"/>
      <c r="T52" s="2"/>
    </row>
    <row r="53" spans="1:21" ht="15.6" x14ac:dyDescent="0.3">
      <c r="A53" s="112"/>
      <c r="B53" s="113" t="s">
        <v>99</v>
      </c>
      <c r="C53" s="113"/>
      <c r="D53" s="150"/>
      <c r="E53" s="150"/>
      <c r="F53" s="150"/>
      <c r="G53" s="150"/>
      <c r="H53" s="150"/>
      <c r="I53" s="150"/>
      <c r="J53" s="150"/>
      <c r="K53" s="150"/>
      <c r="L53" s="150"/>
      <c r="M53" s="150"/>
      <c r="N53" s="113">
        <f>+R53-P53+1</f>
        <v>91</v>
      </c>
      <c r="O53" s="113"/>
      <c r="P53" s="151">
        <v>42262</v>
      </c>
      <c r="Q53" s="152"/>
      <c r="R53" s="151">
        <v>42352</v>
      </c>
      <c r="S53" s="116"/>
      <c r="T53" s="2"/>
    </row>
    <row r="54" spans="1:21" ht="15.6" x14ac:dyDescent="0.3">
      <c r="A54" s="112"/>
      <c r="B54" s="113" t="s">
        <v>100</v>
      </c>
      <c r="C54" s="113"/>
      <c r="D54" s="113"/>
      <c r="E54" s="113"/>
      <c r="F54" s="113"/>
      <c r="G54" s="113"/>
      <c r="H54" s="113"/>
      <c r="I54" s="113"/>
      <c r="J54" s="113"/>
      <c r="K54" s="113"/>
      <c r="L54" s="113"/>
      <c r="M54" s="113"/>
      <c r="N54" s="113">
        <f>+R54-P54+1</f>
        <v>91</v>
      </c>
      <c r="O54" s="113"/>
      <c r="P54" s="151">
        <v>42353</v>
      </c>
      <c r="Q54" s="152"/>
      <c r="R54" s="151">
        <v>42443</v>
      </c>
      <c r="S54" s="116"/>
      <c r="T54" s="2"/>
    </row>
    <row r="55" spans="1:21" ht="15.6" x14ac:dyDescent="0.3">
      <c r="A55" s="112"/>
      <c r="B55" s="113" t="s">
        <v>261</v>
      </c>
      <c r="C55" s="113"/>
      <c r="D55" s="113"/>
      <c r="E55" s="113"/>
      <c r="F55" s="113"/>
      <c r="G55" s="113"/>
      <c r="H55" s="113"/>
      <c r="I55" s="113"/>
      <c r="J55" s="113"/>
      <c r="K55" s="113"/>
      <c r="L55" s="113"/>
      <c r="M55" s="113"/>
      <c r="N55" s="113"/>
      <c r="O55" s="113"/>
      <c r="P55" s="151"/>
      <c r="Q55" s="152"/>
      <c r="R55" s="151" t="s">
        <v>263</v>
      </c>
      <c r="S55" s="116"/>
      <c r="T55" s="2"/>
    </row>
    <row r="56" spans="1:21" ht="15.6" x14ac:dyDescent="0.3">
      <c r="A56" s="112"/>
      <c r="B56" s="113" t="s">
        <v>262</v>
      </c>
      <c r="C56" s="113"/>
      <c r="D56" s="113"/>
      <c r="E56" s="113"/>
      <c r="F56" s="113"/>
      <c r="G56" s="113"/>
      <c r="H56" s="113"/>
      <c r="I56" s="113"/>
      <c r="J56" s="113"/>
      <c r="K56" s="113"/>
      <c r="L56" s="113"/>
      <c r="M56" s="113"/>
      <c r="N56" s="113"/>
      <c r="O56" s="113"/>
      <c r="P56" s="151"/>
      <c r="Q56" s="152"/>
      <c r="R56" s="151" t="s">
        <v>118</v>
      </c>
      <c r="S56" s="116"/>
      <c r="T56" s="2"/>
      <c r="U56" s="5"/>
    </row>
    <row r="57" spans="1:21" ht="15.6" x14ac:dyDescent="0.3">
      <c r="A57" s="112"/>
      <c r="B57" s="113" t="s">
        <v>12</v>
      </c>
      <c r="C57" s="113"/>
      <c r="D57" s="113"/>
      <c r="E57" s="113"/>
      <c r="F57" s="113"/>
      <c r="G57" s="113"/>
      <c r="H57" s="113"/>
      <c r="I57" s="113"/>
      <c r="J57" s="113"/>
      <c r="K57" s="113"/>
      <c r="L57" s="113"/>
      <c r="M57" s="113"/>
      <c r="N57" s="113"/>
      <c r="O57" s="113"/>
      <c r="P57" s="151"/>
      <c r="Q57" s="152"/>
      <c r="R57" s="239">
        <v>42430</v>
      </c>
      <c r="S57" s="116"/>
      <c r="T57" s="2"/>
    </row>
    <row r="58" spans="1:21" ht="15.6" x14ac:dyDescent="0.3">
      <c r="A58" s="12"/>
      <c r="B58" s="43"/>
      <c r="C58" s="43"/>
      <c r="D58" s="43"/>
      <c r="E58" s="43"/>
      <c r="F58" s="43"/>
      <c r="G58" s="43"/>
      <c r="H58" s="43"/>
      <c r="I58" s="43"/>
      <c r="J58" s="43"/>
      <c r="K58" s="43"/>
      <c r="L58" s="43"/>
      <c r="M58" s="43"/>
      <c r="N58" s="43"/>
      <c r="O58" s="43"/>
      <c r="P58" s="110"/>
      <c r="Q58" s="111"/>
      <c r="R58" s="110"/>
      <c r="S58" s="217"/>
      <c r="T58" s="2"/>
    </row>
    <row r="59" spans="1:21" ht="15.6" x14ac:dyDescent="0.3">
      <c r="A59" s="12"/>
      <c r="B59" s="14"/>
      <c r="C59" s="14"/>
      <c r="D59" s="14"/>
      <c r="E59" s="14"/>
      <c r="F59" s="14"/>
      <c r="G59" s="14"/>
      <c r="H59" s="14"/>
      <c r="I59" s="14"/>
      <c r="J59" s="14"/>
      <c r="K59" s="14"/>
      <c r="L59" s="14"/>
      <c r="M59" s="14"/>
      <c r="N59" s="14"/>
      <c r="O59" s="14"/>
      <c r="P59" s="26"/>
      <c r="Q59" s="27"/>
      <c r="R59" s="26"/>
      <c r="S59" s="217"/>
      <c r="T59" s="2"/>
    </row>
    <row r="60" spans="1:21" ht="18" thickBot="1" x14ac:dyDescent="0.35">
      <c r="A60" s="28"/>
      <c r="B60" s="97" t="s">
        <v>280</v>
      </c>
      <c r="C60" s="29"/>
      <c r="D60" s="29"/>
      <c r="E60" s="29"/>
      <c r="F60" s="29"/>
      <c r="G60" s="29"/>
      <c r="H60" s="29"/>
      <c r="I60" s="29"/>
      <c r="J60" s="29"/>
      <c r="K60" s="29"/>
      <c r="L60" s="29"/>
      <c r="M60" s="29"/>
      <c r="N60" s="29"/>
      <c r="O60" s="29"/>
      <c r="P60" s="29"/>
      <c r="Q60" s="29"/>
      <c r="R60" s="30"/>
      <c r="S60" s="31"/>
      <c r="T60" s="2"/>
    </row>
    <row r="61" spans="1:21" ht="15.6" x14ac:dyDescent="0.3">
      <c r="A61" s="53"/>
      <c r="B61" s="59" t="s">
        <v>13</v>
      </c>
      <c r="C61" s="54"/>
      <c r="D61" s="54"/>
      <c r="E61" s="54"/>
      <c r="F61" s="54"/>
      <c r="G61" s="54"/>
      <c r="H61" s="54"/>
      <c r="I61" s="54"/>
      <c r="J61" s="54"/>
      <c r="K61" s="54"/>
      <c r="L61" s="54"/>
      <c r="M61" s="54"/>
      <c r="N61" s="54"/>
      <c r="O61" s="54"/>
      <c r="P61" s="54"/>
      <c r="Q61" s="54"/>
      <c r="R61" s="60"/>
      <c r="S61" s="54"/>
      <c r="T61" s="2"/>
    </row>
    <row r="62" spans="1:21" ht="15.6" x14ac:dyDescent="0.3">
      <c r="A62" s="12"/>
      <c r="B62" s="20"/>
      <c r="C62" s="14"/>
      <c r="D62" s="14"/>
      <c r="E62" s="14"/>
      <c r="F62" s="14"/>
      <c r="G62" s="14"/>
      <c r="H62" s="14"/>
      <c r="I62" s="14"/>
      <c r="J62" s="14"/>
      <c r="K62" s="14"/>
      <c r="L62" s="14"/>
      <c r="M62" s="14"/>
      <c r="N62" s="14"/>
      <c r="O62" s="14"/>
      <c r="P62" s="14"/>
      <c r="Q62" s="14"/>
      <c r="R62" s="33"/>
      <c r="S62" s="217"/>
      <c r="T62" s="2"/>
    </row>
    <row r="63" spans="1:21" ht="46.8" x14ac:dyDescent="0.3">
      <c r="A63" s="12"/>
      <c r="B63" s="34" t="s">
        <v>14</v>
      </c>
      <c r="C63" s="35"/>
      <c r="D63" s="35"/>
      <c r="E63" s="35"/>
      <c r="F63" s="35" t="s">
        <v>76</v>
      </c>
      <c r="G63" s="35"/>
      <c r="H63" s="35" t="s">
        <v>78</v>
      </c>
      <c r="I63" s="35"/>
      <c r="J63" s="35" t="s">
        <v>162</v>
      </c>
      <c r="K63" s="35"/>
      <c r="L63" s="35" t="s">
        <v>163</v>
      </c>
      <c r="M63" s="35"/>
      <c r="N63" s="35" t="s">
        <v>81</v>
      </c>
      <c r="O63" s="35"/>
      <c r="P63" s="35" t="s">
        <v>86</v>
      </c>
      <c r="Q63" s="35"/>
      <c r="R63" s="36" t="s">
        <v>92</v>
      </c>
      <c r="S63" s="221"/>
      <c r="T63" s="2"/>
    </row>
    <row r="64" spans="1:21" ht="15.6" x14ac:dyDescent="0.3">
      <c r="A64" s="112"/>
      <c r="B64" s="113" t="s">
        <v>15</v>
      </c>
      <c r="C64" s="155"/>
      <c r="D64" s="155"/>
      <c r="E64" s="155"/>
      <c r="F64" s="155">
        <v>244234</v>
      </c>
      <c r="G64" s="155"/>
      <c r="H64" s="156">
        <v>288961</v>
      </c>
      <c r="I64" s="155"/>
      <c r="J64" s="156">
        <v>204</v>
      </c>
      <c r="K64" s="155"/>
      <c r="L64" s="155">
        <f>3381+209-204</f>
        <v>3386</v>
      </c>
      <c r="M64" s="155"/>
      <c r="N64" s="155">
        <v>70</v>
      </c>
      <c r="O64" s="155"/>
      <c r="P64" s="155">
        <v>0</v>
      </c>
      <c r="Q64" s="155"/>
      <c r="R64" s="156">
        <f>H64-J64-L64+N64-P64</f>
        <v>285441</v>
      </c>
      <c r="S64" s="116"/>
      <c r="T64" s="2"/>
    </row>
    <row r="65" spans="1:20" ht="15.6" x14ac:dyDescent="0.3">
      <c r="A65" s="112"/>
      <c r="B65" s="113" t="s">
        <v>16</v>
      </c>
      <c r="C65" s="155"/>
      <c r="D65" s="155"/>
      <c r="E65" s="155"/>
      <c r="F65" s="155">
        <v>0</v>
      </c>
      <c r="G65" s="155"/>
      <c r="H65" s="156">
        <v>0</v>
      </c>
      <c r="I65" s="155"/>
      <c r="J65" s="156">
        <v>0</v>
      </c>
      <c r="K65" s="155"/>
      <c r="L65" s="155">
        <v>0</v>
      </c>
      <c r="M65" s="155"/>
      <c r="N65" s="155">
        <v>0</v>
      </c>
      <c r="O65" s="155"/>
      <c r="P65" s="155">
        <v>0</v>
      </c>
      <c r="Q65" s="155"/>
      <c r="R65" s="156">
        <f>F65-J65-L65</f>
        <v>0</v>
      </c>
      <c r="S65" s="116"/>
      <c r="T65" s="2"/>
    </row>
    <row r="66" spans="1:20" ht="15.6" x14ac:dyDescent="0.3">
      <c r="A66" s="112"/>
      <c r="B66" s="113"/>
      <c r="C66" s="155"/>
      <c r="D66" s="155"/>
      <c r="E66" s="155"/>
      <c r="F66" s="155"/>
      <c r="G66" s="155"/>
      <c r="H66" s="156"/>
      <c r="I66" s="155"/>
      <c r="J66" s="156"/>
      <c r="K66" s="155"/>
      <c r="L66" s="155"/>
      <c r="M66" s="155"/>
      <c r="N66" s="155"/>
      <c r="O66" s="155"/>
      <c r="P66" s="155"/>
      <c r="Q66" s="155"/>
      <c r="R66" s="156"/>
      <c r="S66" s="116"/>
      <c r="T66" s="2"/>
    </row>
    <row r="67" spans="1:20" ht="15.6" x14ac:dyDescent="0.3">
      <c r="A67" s="112"/>
      <c r="B67" s="113" t="s">
        <v>17</v>
      </c>
      <c r="C67" s="155"/>
      <c r="D67" s="155"/>
      <c r="E67" s="155"/>
      <c r="F67" s="155">
        <f>SUM(F64:F66)</f>
        <v>244234</v>
      </c>
      <c r="G67" s="155"/>
      <c r="H67" s="155">
        <f>H64+H65</f>
        <v>288961</v>
      </c>
      <c r="I67" s="155"/>
      <c r="J67" s="155">
        <f>J64+J65</f>
        <v>204</v>
      </c>
      <c r="K67" s="155"/>
      <c r="L67" s="155">
        <f>SUM(L64:L66)</f>
        <v>3386</v>
      </c>
      <c r="M67" s="155"/>
      <c r="N67" s="155">
        <f>SUM(N64:N66)</f>
        <v>70</v>
      </c>
      <c r="O67" s="155"/>
      <c r="P67" s="155">
        <f>SUM(P64:P66)</f>
        <v>0</v>
      </c>
      <c r="Q67" s="155"/>
      <c r="R67" s="155">
        <f>SUM(R64:R66)</f>
        <v>285441</v>
      </c>
      <c r="S67" s="116"/>
      <c r="T67" s="2"/>
    </row>
    <row r="68" spans="1:20" ht="15.6" x14ac:dyDescent="0.3">
      <c r="A68" s="12"/>
      <c r="B68" s="43"/>
      <c r="C68" s="153"/>
      <c r="D68" s="153"/>
      <c r="E68" s="153"/>
      <c r="F68" s="153"/>
      <c r="G68" s="153"/>
      <c r="H68" s="153"/>
      <c r="I68" s="153"/>
      <c r="J68" s="153"/>
      <c r="K68" s="153"/>
      <c r="L68" s="153"/>
      <c r="M68" s="153"/>
      <c r="N68" s="153"/>
      <c r="O68" s="153"/>
      <c r="P68" s="153"/>
      <c r="Q68" s="153"/>
      <c r="R68" s="154"/>
      <c r="S68" s="217"/>
      <c r="T68" s="2"/>
    </row>
    <row r="69" spans="1:20" ht="15.6" x14ac:dyDescent="0.3">
      <c r="A69" s="12"/>
      <c r="B69" s="16" t="s">
        <v>18</v>
      </c>
      <c r="C69" s="38"/>
      <c r="D69" s="38"/>
      <c r="E69" s="38"/>
      <c r="F69" s="38"/>
      <c r="G69" s="38"/>
      <c r="H69" s="38"/>
      <c r="I69" s="38"/>
      <c r="J69" s="38"/>
      <c r="K69" s="38"/>
      <c r="L69" s="38"/>
      <c r="M69" s="38"/>
      <c r="N69" s="38"/>
      <c r="O69" s="38"/>
      <c r="P69" s="38"/>
      <c r="Q69" s="38"/>
      <c r="R69" s="39"/>
      <c r="S69" s="217"/>
      <c r="T69" s="2"/>
    </row>
    <row r="70" spans="1:20" ht="15.6" x14ac:dyDescent="0.3">
      <c r="A70" s="12"/>
      <c r="B70" s="14"/>
      <c r="C70" s="38"/>
      <c r="D70" s="38"/>
      <c r="E70" s="38"/>
      <c r="F70" s="38"/>
      <c r="G70" s="38"/>
      <c r="H70" s="38"/>
      <c r="I70" s="38"/>
      <c r="J70" s="38"/>
      <c r="K70" s="38"/>
      <c r="L70" s="38"/>
      <c r="M70" s="38"/>
      <c r="N70" s="38"/>
      <c r="O70" s="38"/>
      <c r="P70" s="38"/>
      <c r="Q70" s="38"/>
      <c r="R70" s="39"/>
      <c r="S70" s="217"/>
      <c r="T70" s="2"/>
    </row>
    <row r="71" spans="1:20" ht="15.6" x14ac:dyDescent="0.3">
      <c r="A71" s="112"/>
      <c r="B71" s="113" t="s">
        <v>15</v>
      </c>
      <c r="C71" s="155"/>
      <c r="D71" s="155"/>
      <c r="E71" s="155"/>
      <c r="F71" s="155"/>
      <c r="G71" s="155"/>
      <c r="H71" s="155"/>
      <c r="I71" s="155"/>
      <c r="J71" s="155"/>
      <c r="K71" s="155"/>
      <c r="L71" s="155"/>
      <c r="M71" s="155"/>
      <c r="N71" s="155"/>
      <c r="O71" s="155"/>
      <c r="P71" s="155"/>
      <c r="Q71" s="155"/>
      <c r="R71" s="155"/>
      <c r="S71" s="116"/>
      <c r="T71" s="2"/>
    </row>
    <row r="72" spans="1:20" ht="15.6" x14ac:dyDescent="0.3">
      <c r="A72" s="112"/>
      <c r="B72" s="113" t="s">
        <v>16</v>
      </c>
      <c r="C72" s="155"/>
      <c r="D72" s="155"/>
      <c r="E72" s="155"/>
      <c r="F72" s="155"/>
      <c r="G72" s="155"/>
      <c r="H72" s="155"/>
      <c r="I72" s="155"/>
      <c r="J72" s="155"/>
      <c r="K72" s="155"/>
      <c r="L72" s="155"/>
      <c r="M72" s="155"/>
      <c r="N72" s="155"/>
      <c r="O72" s="155"/>
      <c r="P72" s="155"/>
      <c r="Q72" s="155"/>
      <c r="R72" s="155"/>
      <c r="S72" s="116"/>
      <c r="T72" s="2"/>
    </row>
    <row r="73" spans="1:20" ht="15.6" x14ac:dyDescent="0.3">
      <c r="A73" s="112"/>
      <c r="B73" s="113"/>
      <c r="C73" s="155"/>
      <c r="D73" s="155"/>
      <c r="E73" s="155"/>
      <c r="F73" s="155"/>
      <c r="G73" s="155"/>
      <c r="H73" s="155"/>
      <c r="I73" s="155"/>
      <c r="J73" s="155"/>
      <c r="K73" s="155"/>
      <c r="L73" s="155"/>
      <c r="M73" s="155"/>
      <c r="N73" s="155"/>
      <c r="O73" s="155"/>
      <c r="P73" s="155"/>
      <c r="Q73" s="155"/>
      <c r="R73" s="155"/>
      <c r="S73" s="116"/>
      <c r="T73" s="2"/>
    </row>
    <row r="74" spans="1:20" ht="15.6" x14ac:dyDescent="0.3">
      <c r="A74" s="112"/>
      <c r="B74" s="113" t="s">
        <v>17</v>
      </c>
      <c r="C74" s="155"/>
      <c r="D74" s="155"/>
      <c r="E74" s="155"/>
      <c r="F74" s="155"/>
      <c r="G74" s="155"/>
      <c r="H74" s="155"/>
      <c r="I74" s="155"/>
      <c r="J74" s="155"/>
      <c r="K74" s="155"/>
      <c r="L74" s="155"/>
      <c r="M74" s="155"/>
      <c r="N74" s="155"/>
      <c r="O74" s="155"/>
      <c r="P74" s="155"/>
      <c r="Q74" s="155"/>
      <c r="R74" s="155"/>
      <c r="S74" s="116"/>
      <c r="T74" s="2"/>
    </row>
    <row r="75" spans="1:20" ht="15.6" x14ac:dyDescent="0.3">
      <c r="A75" s="112"/>
      <c r="B75" s="113"/>
      <c r="C75" s="155"/>
      <c r="D75" s="155"/>
      <c r="E75" s="155"/>
      <c r="F75" s="155"/>
      <c r="G75" s="155"/>
      <c r="H75" s="155"/>
      <c r="I75" s="155"/>
      <c r="J75" s="155"/>
      <c r="K75" s="155"/>
      <c r="L75" s="155"/>
      <c r="M75" s="155"/>
      <c r="N75" s="155"/>
      <c r="O75" s="155"/>
      <c r="P75" s="155"/>
      <c r="Q75" s="155"/>
      <c r="R75" s="155"/>
      <c r="S75" s="116"/>
      <c r="T75" s="2"/>
    </row>
    <row r="76" spans="1:20" ht="15.6" x14ac:dyDescent="0.3">
      <c r="A76" s="112"/>
      <c r="B76" s="113" t="s">
        <v>19</v>
      </c>
      <c r="C76" s="155"/>
      <c r="D76" s="155"/>
      <c r="E76" s="155"/>
      <c r="F76" s="155">
        <v>0</v>
      </c>
      <c r="G76" s="155"/>
      <c r="H76" s="155">
        <v>0</v>
      </c>
      <c r="I76" s="155"/>
      <c r="J76" s="155"/>
      <c r="K76" s="155"/>
      <c r="L76" s="155"/>
      <c r="M76" s="155"/>
      <c r="N76" s="155"/>
      <c r="O76" s="155"/>
      <c r="P76" s="155"/>
      <c r="Q76" s="155"/>
      <c r="R76" s="156">
        <v>0</v>
      </c>
      <c r="S76" s="116"/>
      <c r="T76" s="2"/>
    </row>
    <row r="77" spans="1:20" ht="15.6" x14ac:dyDescent="0.3">
      <c r="A77" s="112"/>
      <c r="B77" s="113" t="s">
        <v>196</v>
      </c>
      <c r="C77" s="155"/>
      <c r="D77" s="155"/>
      <c r="E77" s="155"/>
      <c r="F77" s="155">
        <v>53165</v>
      </c>
      <c r="G77" s="155"/>
      <c r="H77" s="155">
        <v>0</v>
      </c>
      <c r="I77" s="155"/>
      <c r="J77" s="155">
        <v>0</v>
      </c>
      <c r="K77" s="155"/>
      <c r="L77" s="155">
        <v>0</v>
      </c>
      <c r="M77" s="155"/>
      <c r="N77" s="155"/>
      <c r="O77" s="155"/>
      <c r="P77" s="155"/>
      <c r="Q77" s="155"/>
      <c r="R77" s="155">
        <v>0</v>
      </c>
      <c r="S77" s="116"/>
      <c r="T77" s="2"/>
    </row>
    <row r="78" spans="1:20" ht="15.6" x14ac:dyDescent="0.3">
      <c r="A78" s="112"/>
      <c r="B78" s="113" t="s">
        <v>206</v>
      </c>
      <c r="C78" s="155"/>
      <c r="D78" s="155"/>
      <c r="E78" s="155"/>
      <c r="F78" s="155">
        <v>2610</v>
      </c>
      <c r="G78" s="155"/>
      <c r="H78" s="155">
        <v>1478</v>
      </c>
      <c r="I78" s="155"/>
      <c r="J78" s="155"/>
      <c r="K78" s="155"/>
      <c r="L78" s="155"/>
      <c r="M78" s="155"/>
      <c r="N78" s="155">
        <v>0</v>
      </c>
      <c r="O78" s="155"/>
      <c r="P78" s="155"/>
      <c r="Q78" s="155"/>
      <c r="R78" s="155">
        <f>H78+N78</f>
        <v>1478</v>
      </c>
      <c r="S78" s="116"/>
      <c r="T78" s="2"/>
    </row>
    <row r="79" spans="1:20" ht="15.6" x14ac:dyDescent="0.3">
      <c r="A79" s="112"/>
      <c r="B79" s="113" t="s">
        <v>20</v>
      </c>
      <c r="C79" s="155"/>
      <c r="D79" s="155"/>
      <c r="E79" s="155"/>
      <c r="F79" s="155">
        <v>0</v>
      </c>
      <c r="G79" s="155"/>
      <c r="H79" s="155">
        <v>0</v>
      </c>
      <c r="I79" s="155"/>
      <c r="J79" s="155"/>
      <c r="K79" s="155"/>
      <c r="L79" s="155"/>
      <c r="M79" s="155"/>
      <c r="N79" s="155"/>
      <c r="O79" s="155"/>
      <c r="P79" s="155"/>
      <c r="Q79" s="155"/>
      <c r="R79" s="155">
        <v>0</v>
      </c>
      <c r="S79" s="116"/>
      <c r="T79" s="2"/>
    </row>
    <row r="80" spans="1:20" ht="15.6" x14ac:dyDescent="0.3">
      <c r="A80" s="112"/>
      <c r="B80" s="113" t="s">
        <v>21</v>
      </c>
      <c r="C80" s="155"/>
      <c r="D80" s="155"/>
      <c r="E80" s="155"/>
      <c r="F80" s="155">
        <f>SUM(F67:F79)</f>
        <v>300009</v>
      </c>
      <c r="G80" s="155"/>
      <c r="H80" s="155">
        <f>SUM(H67:H79)</f>
        <v>290439</v>
      </c>
      <c r="I80" s="155"/>
      <c r="J80" s="155"/>
      <c r="K80" s="155"/>
      <c r="L80" s="155"/>
      <c r="M80" s="155"/>
      <c r="N80" s="155"/>
      <c r="O80" s="155"/>
      <c r="P80" s="155"/>
      <c r="Q80" s="155"/>
      <c r="R80" s="155">
        <f>SUM(R67:R79)</f>
        <v>286919</v>
      </c>
      <c r="S80" s="116"/>
      <c r="T80" s="2"/>
    </row>
    <row r="81" spans="1:20" ht="15.6" x14ac:dyDescent="0.3">
      <c r="A81" s="12"/>
      <c r="B81" s="43"/>
      <c r="C81" s="153"/>
      <c r="D81" s="153"/>
      <c r="E81" s="153"/>
      <c r="F81" s="153"/>
      <c r="G81" s="153"/>
      <c r="H81" s="153"/>
      <c r="I81" s="153"/>
      <c r="J81" s="153"/>
      <c r="K81" s="153"/>
      <c r="L81" s="153"/>
      <c r="M81" s="153"/>
      <c r="N81" s="153"/>
      <c r="O81" s="153"/>
      <c r="P81" s="153"/>
      <c r="Q81" s="153"/>
      <c r="R81" s="154"/>
      <c r="S81" s="217"/>
      <c r="T81" s="2"/>
    </row>
    <row r="82" spans="1:20" ht="15.6" x14ac:dyDescent="0.3">
      <c r="A82" s="12"/>
      <c r="B82" s="14"/>
      <c r="C82" s="14"/>
      <c r="D82" s="14"/>
      <c r="E82" s="14"/>
      <c r="F82" s="14"/>
      <c r="G82" s="14"/>
      <c r="H82" s="14"/>
      <c r="I82" s="14"/>
      <c r="J82" s="14"/>
      <c r="K82" s="14"/>
      <c r="L82" s="14"/>
      <c r="M82" s="14"/>
      <c r="N82" s="14"/>
      <c r="O82" s="14"/>
      <c r="P82" s="14"/>
      <c r="Q82" s="14"/>
      <c r="R82" s="14"/>
      <c r="S82" s="217"/>
      <c r="T82" s="2"/>
    </row>
    <row r="83" spans="1:20" ht="15.6" x14ac:dyDescent="0.3">
      <c r="A83" s="53"/>
      <c r="B83" s="61" t="s">
        <v>22</v>
      </c>
      <c r="C83" s="61"/>
      <c r="D83" s="62"/>
      <c r="E83" s="62"/>
      <c r="F83" s="62"/>
      <c r="G83" s="62"/>
      <c r="H83" s="63" t="s">
        <v>77</v>
      </c>
      <c r="I83" s="62"/>
      <c r="J83" s="64">
        <f>+P205</f>
        <v>42429</v>
      </c>
      <c r="K83" s="62"/>
      <c r="L83" s="62"/>
      <c r="M83" s="62"/>
      <c r="N83" s="62"/>
      <c r="O83" s="62"/>
      <c r="P83" s="62" t="s">
        <v>87</v>
      </c>
      <c r="Q83" s="62"/>
      <c r="R83" s="62" t="s">
        <v>93</v>
      </c>
      <c r="S83" s="219"/>
      <c r="T83" s="2"/>
    </row>
    <row r="84" spans="1:20" ht="15.6" x14ac:dyDescent="0.3">
      <c r="A84" s="77"/>
      <c r="B84" s="79" t="s">
        <v>23</v>
      </c>
      <c r="C84" s="25"/>
      <c r="D84" s="25"/>
      <c r="E84" s="25"/>
      <c r="F84" s="25"/>
      <c r="G84" s="25"/>
      <c r="H84" s="25"/>
      <c r="I84" s="25"/>
      <c r="J84" s="25"/>
      <c r="K84" s="25"/>
      <c r="L84" s="25"/>
      <c r="M84" s="25"/>
      <c r="N84" s="25"/>
      <c r="O84" s="25"/>
      <c r="P84" s="78">
        <v>0</v>
      </c>
      <c r="Q84" s="79"/>
      <c r="R84" s="82">
        <v>0</v>
      </c>
      <c r="S84" s="222"/>
      <c r="T84" s="2"/>
    </row>
    <row r="85" spans="1:20" ht="15.6" x14ac:dyDescent="0.3">
      <c r="A85" s="122"/>
      <c r="B85" s="113" t="s">
        <v>218</v>
      </c>
      <c r="C85" s="135"/>
      <c r="D85" s="157"/>
      <c r="E85" s="157"/>
      <c r="F85" s="157"/>
      <c r="G85" s="158"/>
      <c r="H85" s="157"/>
      <c r="I85" s="135"/>
      <c r="J85" s="159"/>
      <c r="K85" s="135"/>
      <c r="L85" s="135"/>
      <c r="M85" s="135"/>
      <c r="N85" s="135"/>
      <c r="O85" s="135"/>
      <c r="P85" s="155">
        <f>-N78</f>
        <v>0</v>
      </c>
      <c r="Q85" s="113"/>
      <c r="R85" s="156"/>
      <c r="S85" s="139"/>
      <c r="T85" s="2"/>
    </row>
    <row r="86" spans="1:20" ht="15.6" x14ac:dyDescent="0.3">
      <c r="A86" s="122"/>
      <c r="B86" s="113" t="s">
        <v>219</v>
      </c>
      <c r="C86" s="135"/>
      <c r="D86" s="157"/>
      <c r="E86" s="157"/>
      <c r="F86" s="157"/>
      <c r="G86" s="158"/>
      <c r="H86" s="157"/>
      <c r="I86" s="135"/>
      <c r="J86" s="159"/>
      <c r="K86" s="135"/>
      <c r="L86" s="135"/>
      <c r="M86" s="135"/>
      <c r="N86" s="135"/>
      <c r="O86" s="135"/>
      <c r="P86" s="155">
        <f>-P85</f>
        <v>0</v>
      </c>
      <c r="Q86" s="113"/>
      <c r="R86" s="156"/>
      <c r="S86" s="139"/>
      <c r="T86" s="2"/>
    </row>
    <row r="87" spans="1:20" ht="15.6" x14ac:dyDescent="0.3">
      <c r="A87" s="122"/>
      <c r="B87" s="113" t="s">
        <v>24</v>
      </c>
      <c r="C87" s="135"/>
      <c r="D87" s="157"/>
      <c r="E87" s="157"/>
      <c r="F87" s="157"/>
      <c r="G87" s="158"/>
      <c r="H87" s="157"/>
      <c r="I87" s="135"/>
      <c r="J87" s="159"/>
      <c r="K87" s="135"/>
      <c r="L87" s="135"/>
      <c r="M87" s="135"/>
      <c r="N87" s="135"/>
      <c r="O87" s="135"/>
      <c r="P87" s="155">
        <f>+J64+L64</f>
        <v>3590</v>
      </c>
      <c r="Q87" s="113"/>
      <c r="R87" s="156"/>
      <c r="S87" s="139"/>
      <c r="T87" s="2"/>
    </row>
    <row r="88" spans="1:20" ht="15.6" x14ac:dyDescent="0.3">
      <c r="A88" s="122"/>
      <c r="B88" s="113" t="s">
        <v>135</v>
      </c>
      <c r="C88" s="135"/>
      <c r="D88" s="157"/>
      <c r="E88" s="157"/>
      <c r="F88" s="157"/>
      <c r="G88" s="158"/>
      <c r="H88" s="157"/>
      <c r="I88" s="135"/>
      <c r="J88" s="159"/>
      <c r="K88" s="135"/>
      <c r="L88" s="135"/>
      <c r="M88" s="135"/>
      <c r="N88" s="135"/>
      <c r="O88" s="135"/>
      <c r="P88" s="155"/>
      <c r="Q88" s="113"/>
      <c r="R88" s="156">
        <f>3108-209</f>
        <v>2899</v>
      </c>
      <c r="S88" s="139"/>
      <c r="T88" s="2"/>
    </row>
    <row r="89" spans="1:20" ht="15.6" x14ac:dyDescent="0.3">
      <c r="A89" s="122"/>
      <c r="B89" s="113" t="s">
        <v>133</v>
      </c>
      <c r="C89" s="135"/>
      <c r="D89" s="157"/>
      <c r="E89" s="157"/>
      <c r="F89" s="157"/>
      <c r="G89" s="158"/>
      <c r="H89" s="157"/>
      <c r="I89" s="135"/>
      <c r="J89" s="159"/>
      <c r="K89" s="135"/>
      <c r="L89" s="135"/>
      <c r="M89" s="135"/>
      <c r="N89" s="135"/>
      <c r="O89" s="135"/>
      <c r="P89" s="155"/>
      <c r="Q89" s="113"/>
      <c r="R89" s="156">
        <v>93</v>
      </c>
      <c r="S89" s="139"/>
      <c r="T89" s="2"/>
    </row>
    <row r="90" spans="1:20" ht="15.6" x14ac:dyDescent="0.3">
      <c r="A90" s="122"/>
      <c r="B90" s="113" t="s">
        <v>134</v>
      </c>
      <c r="C90" s="135"/>
      <c r="D90" s="157"/>
      <c r="E90" s="157"/>
      <c r="F90" s="157"/>
      <c r="G90" s="158"/>
      <c r="H90" s="157"/>
      <c r="I90" s="135"/>
      <c r="J90" s="159"/>
      <c r="K90" s="135"/>
      <c r="L90" s="135"/>
      <c r="M90" s="135"/>
      <c r="N90" s="135"/>
      <c r="O90" s="135"/>
      <c r="P90" s="155"/>
      <c r="Q90" s="113"/>
      <c r="R90" s="156">
        <v>16</v>
      </c>
      <c r="S90" s="139"/>
      <c r="T90" s="2"/>
    </row>
    <row r="91" spans="1:20" ht="15.6" x14ac:dyDescent="0.3">
      <c r="A91" s="122"/>
      <c r="B91" s="113" t="s">
        <v>143</v>
      </c>
      <c r="C91" s="135"/>
      <c r="D91" s="157"/>
      <c r="E91" s="157"/>
      <c r="F91" s="157"/>
      <c r="G91" s="158"/>
      <c r="H91" s="157"/>
      <c r="I91" s="135"/>
      <c r="J91" s="159"/>
      <c r="K91" s="135"/>
      <c r="L91" s="135"/>
      <c r="M91" s="135"/>
      <c r="N91" s="135"/>
      <c r="O91" s="135"/>
      <c r="P91" s="155"/>
      <c r="Q91" s="113"/>
      <c r="R91" s="156">
        <v>0</v>
      </c>
      <c r="S91" s="139"/>
      <c r="T91" s="2"/>
    </row>
    <row r="92" spans="1:20" ht="15.6" x14ac:dyDescent="0.3">
      <c r="A92" s="122"/>
      <c r="B92" s="113" t="s">
        <v>145</v>
      </c>
      <c r="C92" s="135"/>
      <c r="D92" s="157"/>
      <c r="E92" s="157"/>
      <c r="F92" s="157"/>
      <c r="G92" s="158"/>
      <c r="H92" s="157"/>
      <c r="I92" s="135"/>
      <c r="J92" s="159"/>
      <c r="K92" s="135"/>
      <c r="L92" s="135"/>
      <c r="M92" s="135"/>
      <c r="N92" s="135"/>
      <c r="O92" s="135"/>
      <c r="P92" s="155"/>
      <c r="Q92" s="113"/>
      <c r="R92" s="156">
        <v>23</v>
      </c>
      <c r="S92" s="139"/>
      <c r="T92" s="2"/>
    </row>
    <row r="93" spans="1:20" ht="15.6" x14ac:dyDescent="0.3">
      <c r="A93" s="122"/>
      <c r="B93" s="113" t="s">
        <v>164</v>
      </c>
      <c r="C93" s="135"/>
      <c r="D93" s="157"/>
      <c r="E93" s="157"/>
      <c r="F93" s="157"/>
      <c r="G93" s="158"/>
      <c r="H93" s="157"/>
      <c r="I93" s="135"/>
      <c r="J93" s="159"/>
      <c r="K93" s="135"/>
      <c r="L93" s="135"/>
      <c r="M93" s="135"/>
      <c r="N93" s="135"/>
      <c r="O93" s="135"/>
      <c r="P93" s="155"/>
      <c r="Q93" s="113"/>
      <c r="R93" s="156">
        <v>0</v>
      </c>
      <c r="S93" s="139"/>
      <c r="T93" s="2"/>
    </row>
    <row r="94" spans="1:20" ht="15.6" x14ac:dyDescent="0.3">
      <c r="A94" s="122"/>
      <c r="B94" s="113" t="s">
        <v>165</v>
      </c>
      <c r="C94" s="135"/>
      <c r="D94" s="157"/>
      <c r="E94" s="157"/>
      <c r="F94" s="157"/>
      <c r="G94" s="158"/>
      <c r="H94" s="157"/>
      <c r="I94" s="135"/>
      <c r="J94" s="159"/>
      <c r="K94" s="135"/>
      <c r="L94" s="135"/>
      <c r="M94" s="135"/>
      <c r="N94" s="135"/>
      <c r="O94" s="135"/>
      <c r="P94" s="155"/>
      <c r="Q94" s="113"/>
      <c r="R94" s="156">
        <v>0</v>
      </c>
      <c r="S94" s="139"/>
      <c r="T94" s="2"/>
    </row>
    <row r="95" spans="1:20" ht="15.6" x14ac:dyDescent="0.3">
      <c r="A95" s="122"/>
      <c r="B95" s="113" t="s">
        <v>166</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c r="B96" s="113" t="s">
        <v>264</v>
      </c>
      <c r="C96" s="135"/>
      <c r="D96" s="135"/>
      <c r="E96" s="135"/>
      <c r="F96" s="135"/>
      <c r="G96" s="135"/>
      <c r="H96" s="135"/>
      <c r="I96" s="135"/>
      <c r="J96" s="135"/>
      <c r="K96" s="135"/>
      <c r="L96" s="135"/>
      <c r="M96" s="135"/>
      <c r="N96" s="135"/>
      <c r="O96" s="135"/>
      <c r="P96" s="155"/>
      <c r="Q96" s="113"/>
      <c r="R96" s="156">
        <v>545</v>
      </c>
      <c r="S96" s="139"/>
      <c r="T96" s="2"/>
    </row>
    <row r="97" spans="1:21" ht="15.6" x14ac:dyDescent="0.3">
      <c r="A97" s="122"/>
      <c r="B97" s="113" t="s">
        <v>25</v>
      </c>
      <c r="C97" s="135"/>
      <c r="D97" s="135"/>
      <c r="E97" s="135"/>
      <c r="F97" s="135"/>
      <c r="G97" s="135"/>
      <c r="H97" s="135"/>
      <c r="I97" s="135"/>
      <c r="J97" s="135"/>
      <c r="K97" s="135"/>
      <c r="L97" s="135"/>
      <c r="M97" s="135"/>
      <c r="N97" s="135"/>
      <c r="O97" s="135"/>
      <c r="P97" s="155">
        <f>SUM(P84:P96)</f>
        <v>3590</v>
      </c>
      <c r="Q97" s="113"/>
      <c r="R97" s="155">
        <f>SUM(R84:R96)</f>
        <v>3576</v>
      </c>
      <c r="S97" s="139"/>
      <c r="T97" s="2"/>
    </row>
    <row r="98" spans="1:21" ht="15.6" x14ac:dyDescent="0.3">
      <c r="A98" s="122"/>
      <c r="B98" s="113" t="s">
        <v>26</v>
      </c>
      <c r="C98" s="135"/>
      <c r="D98" s="135"/>
      <c r="E98" s="135"/>
      <c r="F98" s="135"/>
      <c r="G98" s="135"/>
      <c r="H98" s="135"/>
      <c r="I98" s="135"/>
      <c r="J98" s="135"/>
      <c r="K98" s="135"/>
      <c r="L98" s="135"/>
      <c r="M98" s="135"/>
      <c r="N98" s="135"/>
      <c r="O98" s="135"/>
      <c r="P98" s="155">
        <f>-R98</f>
        <v>0</v>
      </c>
      <c r="Q98" s="113"/>
      <c r="R98" s="156">
        <v>0</v>
      </c>
      <c r="S98" s="139"/>
      <c r="T98" s="2"/>
    </row>
    <row r="99" spans="1:21" ht="15.6" x14ac:dyDescent="0.3">
      <c r="A99" s="122"/>
      <c r="B99" s="113" t="s">
        <v>150</v>
      </c>
      <c r="C99" s="135"/>
      <c r="D99" s="135"/>
      <c r="E99" s="135"/>
      <c r="F99" s="135"/>
      <c r="G99" s="135"/>
      <c r="H99" s="135"/>
      <c r="I99" s="135"/>
      <c r="J99" s="135"/>
      <c r="K99" s="135"/>
      <c r="L99" s="135"/>
      <c r="M99" s="135"/>
      <c r="N99" s="135"/>
      <c r="O99" s="135"/>
      <c r="P99" s="155"/>
      <c r="Q99" s="113"/>
      <c r="R99" s="156">
        <v>0</v>
      </c>
      <c r="S99" s="139"/>
      <c r="T99" s="2"/>
    </row>
    <row r="100" spans="1:21" ht="15.6" x14ac:dyDescent="0.3">
      <c r="A100" s="122"/>
      <c r="B100" s="113" t="s">
        <v>27</v>
      </c>
      <c r="C100" s="135"/>
      <c r="D100" s="135"/>
      <c r="E100" s="135"/>
      <c r="F100" s="135"/>
      <c r="G100" s="135"/>
      <c r="H100" s="135"/>
      <c r="I100" s="135"/>
      <c r="J100" s="135"/>
      <c r="K100" s="135"/>
      <c r="L100" s="135"/>
      <c r="M100" s="135"/>
      <c r="N100" s="135"/>
      <c r="O100" s="135"/>
      <c r="P100" s="155">
        <f>P97+P98</f>
        <v>3590</v>
      </c>
      <c r="Q100" s="113"/>
      <c r="R100" s="155">
        <f>R97+R98+R99</f>
        <v>3576</v>
      </c>
      <c r="S100" s="139"/>
      <c r="T100" s="2"/>
    </row>
    <row r="101" spans="1:21" ht="15.6" x14ac:dyDescent="0.3">
      <c r="A101" s="112"/>
      <c r="B101" s="160" t="s">
        <v>28</v>
      </c>
      <c r="C101" s="135"/>
      <c r="D101" s="135"/>
      <c r="E101" s="135"/>
      <c r="F101" s="135"/>
      <c r="G101" s="135"/>
      <c r="H101" s="135"/>
      <c r="I101" s="135"/>
      <c r="J101" s="135"/>
      <c r="K101" s="135"/>
      <c r="L101" s="135"/>
      <c r="M101" s="135"/>
      <c r="N101" s="135"/>
      <c r="O101" s="135"/>
      <c r="P101" s="155"/>
      <c r="Q101" s="113"/>
      <c r="R101" s="156"/>
      <c r="S101" s="139"/>
      <c r="T101" s="2"/>
    </row>
    <row r="102" spans="1:21" ht="15.6" x14ac:dyDescent="0.3">
      <c r="A102" s="122">
        <v>1</v>
      </c>
      <c r="B102" s="113" t="s">
        <v>175</v>
      </c>
      <c r="C102" s="135"/>
      <c r="D102" s="135"/>
      <c r="E102" s="135"/>
      <c r="F102" s="135"/>
      <c r="G102" s="135"/>
      <c r="H102" s="135"/>
      <c r="I102" s="135"/>
      <c r="J102" s="135"/>
      <c r="K102" s="135"/>
      <c r="L102" s="135"/>
      <c r="M102" s="135"/>
      <c r="N102" s="135"/>
      <c r="O102" s="135"/>
      <c r="P102" s="155"/>
      <c r="Q102" s="113"/>
      <c r="R102" s="156">
        <v>0</v>
      </c>
      <c r="S102" s="139"/>
      <c r="T102" s="2"/>
    </row>
    <row r="103" spans="1:21" ht="15.6" x14ac:dyDescent="0.3">
      <c r="A103" s="122">
        <v>2</v>
      </c>
      <c r="B103" s="113" t="s">
        <v>195</v>
      </c>
      <c r="C103" s="113"/>
      <c r="D103" s="135"/>
      <c r="E103" s="135"/>
      <c r="F103" s="135"/>
      <c r="G103" s="135"/>
      <c r="H103" s="135"/>
      <c r="I103" s="135"/>
      <c r="J103" s="135"/>
      <c r="K103" s="135"/>
      <c r="L103" s="135"/>
      <c r="M103" s="135"/>
      <c r="N103" s="135"/>
      <c r="O103" s="135"/>
      <c r="P103" s="113"/>
      <c r="Q103" s="113"/>
      <c r="R103" s="156">
        <v>-3</v>
      </c>
      <c r="S103" s="139"/>
      <c r="T103" s="2"/>
    </row>
    <row r="104" spans="1:21" ht="15.6" x14ac:dyDescent="0.3">
      <c r="A104" s="122">
        <v>3</v>
      </c>
      <c r="B104" s="113" t="s">
        <v>265</v>
      </c>
      <c r="C104" s="113"/>
      <c r="D104" s="135"/>
      <c r="E104" s="135"/>
      <c r="F104" s="135"/>
      <c r="G104" s="135"/>
      <c r="H104" s="135"/>
      <c r="I104" s="135"/>
      <c r="J104" s="135"/>
      <c r="K104" s="135"/>
      <c r="L104" s="135"/>
      <c r="M104" s="135"/>
      <c r="N104" s="135"/>
      <c r="O104" s="135"/>
      <c r="P104" s="113"/>
      <c r="Q104" s="113"/>
      <c r="R104" s="156">
        <f>-108-2-3</f>
        <v>-113</v>
      </c>
      <c r="S104" s="139"/>
      <c r="T104" s="2"/>
    </row>
    <row r="105" spans="1:21" ht="15.6" x14ac:dyDescent="0.3">
      <c r="A105" s="122">
        <v>4</v>
      </c>
      <c r="B105" s="113" t="s">
        <v>96</v>
      </c>
      <c r="C105" s="113"/>
      <c r="D105" s="135"/>
      <c r="E105" s="135"/>
      <c r="F105" s="135"/>
      <c r="G105" s="135"/>
      <c r="H105" s="135"/>
      <c r="I105" s="135"/>
      <c r="J105" s="135"/>
      <c r="K105" s="135"/>
      <c r="L105" s="135"/>
      <c r="M105" s="135"/>
      <c r="N105" s="135"/>
      <c r="O105" s="135"/>
      <c r="P105" s="113"/>
      <c r="Q105" s="113"/>
      <c r="R105" s="156">
        <v>-289</v>
      </c>
      <c r="S105" s="139"/>
      <c r="T105" s="2"/>
    </row>
    <row r="106" spans="1:21" ht="15.6" x14ac:dyDescent="0.3">
      <c r="A106" s="122" t="s">
        <v>274</v>
      </c>
      <c r="B106" s="113" t="s">
        <v>272</v>
      </c>
      <c r="C106" s="113"/>
      <c r="D106" s="135"/>
      <c r="E106" s="135"/>
      <c r="F106" s="135"/>
      <c r="G106" s="135"/>
      <c r="H106" s="135"/>
      <c r="I106" s="135"/>
      <c r="J106" s="135"/>
      <c r="K106" s="135"/>
      <c r="L106" s="135"/>
      <c r="M106" s="135"/>
      <c r="N106" s="135"/>
      <c r="O106" s="135"/>
      <c r="P106" s="113"/>
      <c r="Q106" s="113"/>
      <c r="R106" s="156">
        <v>-456</v>
      </c>
      <c r="S106" s="139"/>
      <c r="T106" s="2"/>
      <c r="U106" s="4"/>
    </row>
    <row r="107" spans="1:21" ht="15.6" x14ac:dyDescent="0.3">
      <c r="A107" s="122" t="s">
        <v>275</v>
      </c>
      <c r="B107" s="113" t="s">
        <v>266</v>
      </c>
      <c r="C107" s="113"/>
      <c r="D107" s="135"/>
      <c r="E107" s="135"/>
      <c r="F107" s="135"/>
      <c r="G107" s="135"/>
      <c r="H107" s="135"/>
      <c r="I107" s="135"/>
      <c r="J107" s="135"/>
      <c r="K107" s="135"/>
      <c r="L107" s="135"/>
      <c r="M107" s="135"/>
      <c r="N107" s="135"/>
      <c r="O107" s="135"/>
      <c r="P107" s="113"/>
      <c r="Q107" s="113"/>
      <c r="R107" s="156">
        <v>-504</v>
      </c>
      <c r="S107" s="139"/>
      <c r="T107" s="2"/>
      <c r="U107" s="4"/>
    </row>
    <row r="108" spans="1:21" ht="15.6" x14ac:dyDescent="0.3">
      <c r="A108" s="122">
        <v>6</v>
      </c>
      <c r="B108" s="113" t="s">
        <v>189</v>
      </c>
      <c r="C108" s="113"/>
      <c r="D108" s="135"/>
      <c r="E108" s="135"/>
      <c r="F108" s="135"/>
      <c r="G108" s="135"/>
      <c r="H108" s="135"/>
      <c r="I108" s="135"/>
      <c r="J108" s="135"/>
      <c r="K108" s="135"/>
      <c r="L108" s="135"/>
      <c r="M108" s="135"/>
      <c r="N108" s="135"/>
      <c r="O108" s="135"/>
      <c r="P108" s="113"/>
      <c r="Q108" s="113"/>
      <c r="R108" s="156">
        <v>-58</v>
      </c>
      <c r="S108" s="139"/>
      <c r="T108" s="2"/>
      <c r="U108" s="4"/>
    </row>
    <row r="109" spans="1:21" ht="15.6" x14ac:dyDescent="0.3">
      <c r="A109" s="122">
        <v>7</v>
      </c>
      <c r="B109" s="113" t="s">
        <v>190</v>
      </c>
      <c r="C109" s="113"/>
      <c r="D109" s="135"/>
      <c r="E109" s="135"/>
      <c r="F109" s="135"/>
      <c r="G109" s="135"/>
      <c r="H109" s="135"/>
      <c r="I109" s="135"/>
      <c r="J109" s="135"/>
      <c r="K109" s="135"/>
      <c r="L109" s="135"/>
      <c r="M109" s="135"/>
      <c r="N109" s="135"/>
      <c r="O109" s="135"/>
      <c r="P109" s="113"/>
      <c r="Q109" s="113"/>
      <c r="R109" s="156">
        <v>-67</v>
      </c>
      <c r="S109" s="139"/>
      <c r="T109" s="2"/>
      <c r="U109" s="4"/>
    </row>
    <row r="110" spans="1:21" ht="15.6" x14ac:dyDescent="0.3">
      <c r="A110" s="122">
        <v>8</v>
      </c>
      <c r="B110" s="113" t="s">
        <v>156</v>
      </c>
      <c r="C110" s="113"/>
      <c r="D110" s="135"/>
      <c r="E110" s="135"/>
      <c r="F110" s="135"/>
      <c r="G110" s="135"/>
      <c r="H110" s="135"/>
      <c r="I110" s="135"/>
      <c r="J110" s="135"/>
      <c r="K110" s="135"/>
      <c r="L110" s="135"/>
      <c r="M110" s="135"/>
      <c r="N110" s="135"/>
      <c r="O110" s="135"/>
      <c r="P110" s="113"/>
      <c r="Q110" s="113"/>
      <c r="R110" s="156">
        <v>-1</v>
      </c>
      <c r="S110" s="139"/>
      <c r="T110" s="2"/>
      <c r="U110" s="4"/>
    </row>
    <row r="111" spans="1:21" ht="15.6" x14ac:dyDescent="0.3">
      <c r="A111" s="122">
        <v>9</v>
      </c>
      <c r="B111" s="113" t="s">
        <v>37</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22">
        <v>10</v>
      </c>
      <c r="B112" s="113" t="s">
        <v>101</v>
      </c>
      <c r="C112" s="113"/>
      <c r="D112" s="135"/>
      <c r="E112" s="135"/>
      <c r="F112" s="135"/>
      <c r="G112" s="135"/>
      <c r="H112" s="135"/>
      <c r="I112" s="135"/>
      <c r="J112" s="135"/>
      <c r="K112" s="135"/>
      <c r="L112" s="135"/>
      <c r="M112" s="135"/>
      <c r="N112" s="135"/>
      <c r="O112" s="135"/>
      <c r="P112" s="113"/>
      <c r="Q112" s="113"/>
      <c r="R112" s="156">
        <v>0</v>
      </c>
      <c r="S112" s="139"/>
      <c r="T112" s="2"/>
    </row>
    <row r="113" spans="1:20" ht="15.6" x14ac:dyDescent="0.3">
      <c r="A113" s="122">
        <v>11</v>
      </c>
      <c r="B113" s="113" t="s">
        <v>29</v>
      </c>
      <c r="C113" s="113"/>
      <c r="D113" s="135"/>
      <c r="E113" s="135"/>
      <c r="F113" s="135"/>
      <c r="G113" s="135"/>
      <c r="H113" s="135"/>
      <c r="I113" s="135"/>
      <c r="J113" s="135"/>
      <c r="K113" s="135"/>
      <c r="L113" s="135"/>
      <c r="M113" s="135"/>
      <c r="N113" s="135"/>
      <c r="O113" s="135"/>
      <c r="P113" s="113"/>
      <c r="Q113" s="113"/>
      <c r="R113" s="156">
        <v>-20</v>
      </c>
      <c r="S113" s="139"/>
      <c r="T113" s="2"/>
    </row>
    <row r="114" spans="1:20" ht="15.6" x14ac:dyDescent="0.3">
      <c r="A114" s="122">
        <v>12</v>
      </c>
      <c r="B114" s="113" t="s">
        <v>138</v>
      </c>
      <c r="C114" s="113"/>
      <c r="D114" s="135"/>
      <c r="E114" s="135"/>
      <c r="F114" s="135"/>
      <c r="G114" s="135"/>
      <c r="H114" s="135"/>
      <c r="I114" s="135"/>
      <c r="J114" s="135"/>
      <c r="K114" s="135"/>
      <c r="L114" s="135"/>
      <c r="M114" s="135"/>
      <c r="N114" s="135"/>
      <c r="O114" s="135"/>
      <c r="P114" s="113"/>
      <c r="Q114" s="113"/>
      <c r="R114" s="156">
        <v>0</v>
      </c>
      <c r="S114" s="139"/>
      <c r="T114" s="2"/>
    </row>
    <row r="115" spans="1:20" ht="15.6" x14ac:dyDescent="0.3">
      <c r="A115" s="122">
        <v>13</v>
      </c>
      <c r="B115" s="113" t="s">
        <v>267</v>
      </c>
      <c r="C115" s="113"/>
      <c r="D115" s="135"/>
      <c r="E115" s="135"/>
      <c r="F115" s="135"/>
      <c r="G115" s="135"/>
      <c r="H115" s="135"/>
      <c r="I115" s="135"/>
      <c r="J115" s="135"/>
      <c r="K115" s="135"/>
      <c r="L115" s="135"/>
      <c r="M115" s="135"/>
      <c r="N115" s="135"/>
      <c r="O115" s="135"/>
      <c r="P115" s="113"/>
      <c r="Q115" s="113"/>
      <c r="R115" s="156">
        <v>-48</v>
      </c>
      <c r="S115" s="139"/>
      <c r="T115" s="2"/>
    </row>
    <row r="116" spans="1:20" ht="15.6" x14ac:dyDescent="0.3">
      <c r="A116" s="122">
        <v>14</v>
      </c>
      <c r="B116" s="113" t="s">
        <v>157</v>
      </c>
      <c r="C116" s="113"/>
      <c r="D116" s="135"/>
      <c r="E116" s="135"/>
      <c r="F116" s="135"/>
      <c r="G116" s="135"/>
      <c r="H116" s="135"/>
      <c r="I116" s="135"/>
      <c r="J116" s="135"/>
      <c r="K116" s="135"/>
      <c r="L116" s="135"/>
      <c r="M116" s="135"/>
      <c r="N116" s="135"/>
      <c r="O116" s="135"/>
      <c r="P116" s="113"/>
      <c r="Q116" s="113"/>
      <c r="R116" s="156">
        <v>0</v>
      </c>
      <c r="S116" s="139"/>
      <c r="T116" s="2"/>
    </row>
    <row r="117" spans="1:20" ht="15.6" x14ac:dyDescent="0.3">
      <c r="A117" s="122">
        <v>15</v>
      </c>
      <c r="B117" s="113" t="s">
        <v>207</v>
      </c>
      <c r="C117" s="113"/>
      <c r="D117" s="135"/>
      <c r="E117" s="135"/>
      <c r="F117" s="135"/>
      <c r="G117" s="135"/>
      <c r="H117" s="135"/>
      <c r="I117" s="135"/>
      <c r="J117" s="135"/>
      <c r="K117" s="135"/>
      <c r="L117" s="135"/>
      <c r="M117" s="135"/>
      <c r="N117" s="135"/>
      <c r="O117" s="135"/>
      <c r="P117" s="113"/>
      <c r="Q117" s="113"/>
      <c r="R117" s="156">
        <v>-108</v>
      </c>
      <c r="S117" s="139"/>
      <c r="T117" s="2"/>
    </row>
    <row r="118" spans="1:20" ht="15.6" x14ac:dyDescent="0.3">
      <c r="A118" s="122">
        <v>16</v>
      </c>
      <c r="B118" s="113" t="s">
        <v>167</v>
      </c>
      <c r="C118" s="113"/>
      <c r="D118" s="135"/>
      <c r="E118" s="135"/>
      <c r="F118" s="135"/>
      <c r="G118" s="135"/>
      <c r="H118" s="135"/>
      <c r="I118" s="135"/>
      <c r="J118" s="135"/>
      <c r="K118" s="135"/>
      <c r="L118" s="135"/>
      <c r="M118" s="135"/>
      <c r="N118" s="135"/>
      <c r="O118" s="135"/>
      <c r="P118" s="113"/>
      <c r="Q118" s="113"/>
      <c r="R118" s="156">
        <f>-29-177</f>
        <v>-206</v>
      </c>
      <c r="S118" s="139"/>
      <c r="T118" s="2"/>
    </row>
    <row r="119" spans="1:20" ht="15.6" x14ac:dyDescent="0.3">
      <c r="A119" s="122">
        <v>17</v>
      </c>
      <c r="B119" s="113" t="s">
        <v>268</v>
      </c>
      <c r="C119" s="113"/>
      <c r="D119" s="135"/>
      <c r="E119" s="135"/>
      <c r="F119" s="135"/>
      <c r="G119" s="135"/>
      <c r="H119" s="135"/>
      <c r="I119" s="135"/>
      <c r="J119" s="135"/>
      <c r="K119" s="135"/>
      <c r="L119" s="135"/>
      <c r="M119" s="135"/>
      <c r="N119" s="135"/>
      <c r="O119" s="135"/>
      <c r="P119" s="113"/>
      <c r="Q119" s="113"/>
      <c r="R119" s="156">
        <f>-R100-SUM(R102:R118)</f>
        <v>-1703</v>
      </c>
      <c r="S119" s="139"/>
      <c r="T119" s="2"/>
    </row>
    <row r="120" spans="1:20" ht="15.6" x14ac:dyDescent="0.3">
      <c r="A120" s="112"/>
      <c r="B120" s="160" t="s">
        <v>30</v>
      </c>
      <c r="C120" s="135"/>
      <c r="D120" s="135"/>
      <c r="E120" s="135"/>
      <c r="F120" s="135"/>
      <c r="G120" s="135"/>
      <c r="H120" s="135"/>
      <c r="I120" s="135"/>
      <c r="J120" s="135"/>
      <c r="K120" s="135"/>
      <c r="L120" s="135"/>
      <c r="M120" s="135"/>
      <c r="N120" s="135"/>
      <c r="O120" s="135"/>
      <c r="P120" s="113"/>
      <c r="Q120" s="113"/>
      <c r="R120" s="161"/>
      <c r="S120" s="139"/>
      <c r="T120" s="2"/>
    </row>
    <row r="121" spans="1:20" ht="15.6" x14ac:dyDescent="0.3">
      <c r="A121" s="112"/>
      <c r="B121" s="113" t="s">
        <v>208</v>
      </c>
      <c r="C121" s="135"/>
      <c r="D121" s="135"/>
      <c r="E121" s="135"/>
      <c r="F121" s="135"/>
      <c r="G121" s="135"/>
      <c r="H121" s="135"/>
      <c r="I121" s="135"/>
      <c r="J121" s="135"/>
      <c r="K121" s="135"/>
      <c r="L121" s="135"/>
      <c r="M121" s="135"/>
      <c r="N121" s="135"/>
      <c r="O121" s="135"/>
      <c r="P121" s="155">
        <f>-P187</f>
        <v>-70</v>
      </c>
      <c r="Q121" s="155"/>
      <c r="R121" s="156"/>
      <c r="S121" s="139"/>
      <c r="T121" s="2"/>
    </row>
    <row r="122" spans="1:20" ht="15.6" x14ac:dyDescent="0.3">
      <c r="A122" s="112"/>
      <c r="B122" s="113" t="s">
        <v>209</v>
      </c>
      <c r="C122" s="135"/>
      <c r="D122" s="135"/>
      <c r="E122" s="135"/>
      <c r="F122" s="135"/>
      <c r="G122" s="135"/>
      <c r="H122" s="135"/>
      <c r="I122" s="135"/>
      <c r="J122" s="135"/>
      <c r="K122" s="135"/>
      <c r="L122" s="135"/>
      <c r="M122" s="135"/>
      <c r="N122" s="135"/>
      <c r="O122" s="135"/>
      <c r="P122" s="155">
        <v>0</v>
      </c>
      <c r="Q122" s="155"/>
      <c r="R122" s="156"/>
      <c r="S122" s="139"/>
      <c r="T122" s="2"/>
    </row>
    <row r="123" spans="1:20" ht="15.6" x14ac:dyDescent="0.3">
      <c r="A123" s="112"/>
      <c r="B123" s="113" t="s">
        <v>270</v>
      </c>
      <c r="C123" s="135"/>
      <c r="D123" s="135"/>
      <c r="E123" s="135"/>
      <c r="F123" s="135"/>
      <c r="G123" s="135"/>
      <c r="H123" s="135"/>
      <c r="I123" s="135"/>
      <c r="J123" s="135"/>
      <c r="K123" s="135"/>
      <c r="L123" s="135"/>
      <c r="M123" s="135"/>
      <c r="N123" s="135"/>
      <c r="O123" s="135"/>
      <c r="P123" s="155">
        <v>-1531</v>
      </c>
      <c r="Q123" s="155"/>
      <c r="R123" s="156"/>
      <c r="S123" s="139"/>
      <c r="T123" s="2"/>
    </row>
    <row r="124" spans="1:20" ht="15.6" x14ac:dyDescent="0.3">
      <c r="A124" s="112"/>
      <c r="B124" s="113" t="s">
        <v>269</v>
      </c>
      <c r="C124" s="135"/>
      <c r="D124" s="135"/>
      <c r="E124" s="135"/>
      <c r="F124" s="135"/>
      <c r="G124" s="135"/>
      <c r="H124" s="135"/>
      <c r="I124" s="135"/>
      <c r="J124" s="135"/>
      <c r="K124" s="135"/>
      <c r="L124" s="135"/>
      <c r="M124" s="135"/>
      <c r="N124" s="135"/>
      <c r="O124" s="135"/>
      <c r="P124" s="155">
        <v>-1989</v>
      </c>
      <c r="Q124" s="155"/>
      <c r="R124" s="156"/>
      <c r="S124" s="139"/>
      <c r="T124" s="2"/>
    </row>
    <row r="125" spans="1:20" ht="15.6" x14ac:dyDescent="0.3">
      <c r="A125" s="112"/>
      <c r="B125" s="113" t="s">
        <v>181</v>
      </c>
      <c r="C125" s="135"/>
      <c r="D125" s="135"/>
      <c r="E125" s="135"/>
      <c r="F125" s="135"/>
      <c r="G125" s="135"/>
      <c r="H125" s="135"/>
      <c r="I125" s="135"/>
      <c r="J125" s="135"/>
      <c r="K125" s="135"/>
      <c r="L125" s="135"/>
      <c r="M125" s="135"/>
      <c r="N125" s="135"/>
      <c r="O125" s="135"/>
      <c r="P125" s="155">
        <v>0</v>
      </c>
      <c r="Q125" s="155"/>
      <c r="R125" s="156"/>
      <c r="S125" s="139"/>
      <c r="T125" s="2"/>
    </row>
    <row r="126" spans="1:20" ht="15.6" x14ac:dyDescent="0.3">
      <c r="A126" s="112"/>
      <c r="B126" s="113" t="s">
        <v>182</v>
      </c>
      <c r="C126" s="135"/>
      <c r="D126" s="135"/>
      <c r="E126" s="135"/>
      <c r="F126" s="135"/>
      <c r="G126" s="135"/>
      <c r="H126" s="135"/>
      <c r="I126" s="135"/>
      <c r="J126" s="135"/>
      <c r="K126" s="135"/>
      <c r="L126" s="135"/>
      <c r="M126" s="135"/>
      <c r="N126" s="135"/>
      <c r="O126" s="135"/>
      <c r="P126" s="155">
        <v>0</v>
      </c>
      <c r="Q126" s="155"/>
      <c r="R126" s="156"/>
      <c r="S126" s="139"/>
      <c r="T126" s="2"/>
    </row>
    <row r="127" spans="1:20" ht="15.6" x14ac:dyDescent="0.3">
      <c r="A127" s="112"/>
      <c r="B127" s="113" t="s">
        <v>271</v>
      </c>
      <c r="C127" s="135"/>
      <c r="D127" s="135"/>
      <c r="E127" s="135"/>
      <c r="F127" s="135"/>
      <c r="G127" s="135"/>
      <c r="H127" s="135"/>
      <c r="I127" s="135"/>
      <c r="J127" s="135"/>
      <c r="K127" s="135"/>
      <c r="L127" s="135"/>
      <c r="M127" s="135"/>
      <c r="N127" s="135"/>
      <c r="O127" s="135"/>
      <c r="P127" s="155">
        <v>0</v>
      </c>
      <c r="Q127" s="155"/>
      <c r="R127" s="156"/>
      <c r="S127" s="139"/>
      <c r="T127" s="2"/>
    </row>
    <row r="128" spans="1:20" ht="15.6" x14ac:dyDescent="0.3">
      <c r="A128" s="112"/>
      <c r="B128" s="113" t="s">
        <v>31</v>
      </c>
      <c r="C128" s="135"/>
      <c r="D128" s="135"/>
      <c r="E128" s="135"/>
      <c r="F128" s="135"/>
      <c r="G128" s="135"/>
      <c r="H128" s="135"/>
      <c r="I128" s="135"/>
      <c r="J128" s="135"/>
      <c r="K128" s="135"/>
      <c r="L128" s="135"/>
      <c r="M128" s="135"/>
      <c r="N128" s="135"/>
      <c r="O128" s="135"/>
      <c r="P128" s="155">
        <f>SUM(P121:P127)</f>
        <v>-3590</v>
      </c>
      <c r="Q128" s="155"/>
      <c r="R128" s="155">
        <f>SUM(R101:R127)</f>
        <v>-3576</v>
      </c>
      <c r="S128" s="139"/>
      <c r="T128" s="2"/>
    </row>
    <row r="129" spans="1:20" ht="15.6" x14ac:dyDescent="0.3">
      <c r="A129" s="112"/>
      <c r="B129" s="113" t="s">
        <v>32</v>
      </c>
      <c r="C129" s="135"/>
      <c r="D129" s="135"/>
      <c r="E129" s="135"/>
      <c r="F129" s="135"/>
      <c r="G129" s="135"/>
      <c r="H129" s="135"/>
      <c r="I129" s="135"/>
      <c r="J129" s="135"/>
      <c r="K129" s="135"/>
      <c r="L129" s="135"/>
      <c r="M129" s="135"/>
      <c r="N129" s="135"/>
      <c r="O129" s="135"/>
      <c r="P129" s="155">
        <f>P100+P128+P111</f>
        <v>0</v>
      </c>
      <c r="Q129" s="155"/>
      <c r="R129" s="155">
        <f>R100+R128</f>
        <v>0</v>
      </c>
      <c r="S129" s="139"/>
      <c r="T129" s="2"/>
    </row>
    <row r="130" spans="1:20" ht="15.6" x14ac:dyDescent="0.3">
      <c r="A130" s="12"/>
      <c r="B130" s="43"/>
      <c r="C130" s="43"/>
      <c r="D130" s="43"/>
      <c r="E130" s="43"/>
      <c r="F130" s="43"/>
      <c r="G130" s="43"/>
      <c r="H130" s="43"/>
      <c r="I130" s="43"/>
      <c r="J130" s="43"/>
      <c r="K130" s="43"/>
      <c r="L130" s="43"/>
      <c r="M130" s="43"/>
      <c r="N130" s="43"/>
      <c r="O130" s="43"/>
      <c r="P130" s="153"/>
      <c r="Q130" s="153"/>
      <c r="R130" s="153"/>
      <c r="S130" s="217"/>
      <c r="T130" s="2"/>
    </row>
    <row r="131" spans="1:20" ht="15.6" x14ac:dyDescent="0.3">
      <c r="A131" s="12"/>
      <c r="B131" s="14"/>
      <c r="C131" s="14"/>
      <c r="D131" s="14"/>
      <c r="E131" s="14"/>
      <c r="F131" s="14"/>
      <c r="G131" s="14"/>
      <c r="H131" s="14"/>
      <c r="I131" s="14"/>
      <c r="J131" s="14"/>
      <c r="K131" s="14"/>
      <c r="L131" s="14"/>
      <c r="M131" s="14"/>
      <c r="N131" s="14"/>
      <c r="O131" s="14"/>
      <c r="P131" s="14"/>
      <c r="Q131" s="14"/>
      <c r="R131" s="33"/>
      <c r="S131" s="217"/>
      <c r="T131" s="2"/>
    </row>
    <row r="132" spans="1:20" ht="18" thickBot="1" x14ac:dyDescent="0.35">
      <c r="A132" s="28"/>
      <c r="B132" s="97" t="str">
        <f>B60</f>
        <v>PM22 INVESTOR REPORT QUARTER ENDING FEBRUARY 2016</v>
      </c>
      <c r="C132" s="29"/>
      <c r="D132" s="29"/>
      <c r="E132" s="29"/>
      <c r="F132" s="29"/>
      <c r="G132" s="29"/>
      <c r="H132" s="29"/>
      <c r="I132" s="29"/>
      <c r="J132" s="29"/>
      <c r="K132" s="29"/>
      <c r="L132" s="29"/>
      <c r="M132" s="29"/>
      <c r="N132" s="29"/>
      <c r="O132" s="29"/>
      <c r="P132" s="29"/>
      <c r="Q132" s="29"/>
      <c r="R132" s="40"/>
      <c r="S132" s="31"/>
      <c r="T132" s="2"/>
    </row>
    <row r="133" spans="1:20" ht="15.6" x14ac:dyDescent="0.3">
      <c r="A133" s="65"/>
      <c r="B133" s="66" t="s">
        <v>33</v>
      </c>
      <c r="C133" s="67"/>
      <c r="D133" s="67"/>
      <c r="E133" s="67"/>
      <c r="F133" s="67"/>
      <c r="G133" s="67"/>
      <c r="H133" s="67"/>
      <c r="I133" s="67"/>
      <c r="J133" s="67"/>
      <c r="K133" s="67"/>
      <c r="L133" s="67"/>
      <c r="M133" s="67"/>
      <c r="N133" s="67"/>
      <c r="O133" s="67"/>
      <c r="P133" s="67"/>
      <c r="Q133" s="67"/>
      <c r="R133" s="68"/>
      <c r="S133" s="223"/>
      <c r="T133" s="2"/>
    </row>
    <row r="134" spans="1:20" ht="15.6" x14ac:dyDescent="0.3">
      <c r="A134" s="12"/>
      <c r="B134" s="22"/>
      <c r="C134" s="14"/>
      <c r="D134" s="14"/>
      <c r="E134" s="14"/>
      <c r="F134" s="14"/>
      <c r="G134" s="14"/>
      <c r="H134" s="14"/>
      <c r="I134" s="14"/>
      <c r="J134" s="14"/>
      <c r="K134" s="14"/>
      <c r="L134" s="14"/>
      <c r="M134" s="14"/>
      <c r="N134" s="14"/>
      <c r="O134" s="14"/>
      <c r="P134" s="14"/>
      <c r="Q134" s="14"/>
      <c r="R134" s="33"/>
      <c r="S134" s="217"/>
      <c r="T134" s="2"/>
    </row>
    <row r="135" spans="1:20" ht="15.6" x14ac:dyDescent="0.3">
      <c r="A135" s="12"/>
      <c r="B135" s="41" t="s">
        <v>34</v>
      </c>
      <c r="C135" s="14"/>
      <c r="D135" s="14"/>
      <c r="E135" s="14"/>
      <c r="F135" s="14"/>
      <c r="G135" s="14"/>
      <c r="H135" s="14"/>
      <c r="I135" s="14"/>
      <c r="J135" s="14"/>
      <c r="K135" s="14"/>
      <c r="L135" s="14"/>
      <c r="M135" s="14"/>
      <c r="N135" s="14"/>
      <c r="O135" s="14"/>
      <c r="P135" s="14"/>
      <c r="Q135" s="14"/>
      <c r="R135" s="33"/>
      <c r="S135" s="217"/>
      <c r="T135" s="2"/>
    </row>
    <row r="136" spans="1:20" ht="15.6" x14ac:dyDescent="0.3">
      <c r="A136" s="112"/>
      <c r="B136" s="113" t="s">
        <v>35</v>
      </c>
      <c r="C136" s="113"/>
      <c r="D136" s="113"/>
      <c r="E136" s="113"/>
      <c r="F136" s="113"/>
      <c r="G136" s="113"/>
      <c r="H136" s="113"/>
      <c r="I136" s="113"/>
      <c r="J136" s="113"/>
      <c r="K136" s="113"/>
      <c r="L136" s="113"/>
      <c r="M136" s="113"/>
      <c r="N136" s="113"/>
      <c r="O136" s="113"/>
      <c r="P136" s="113"/>
      <c r="Q136" s="113"/>
      <c r="R136" s="156">
        <v>7502</v>
      </c>
      <c r="S136" s="116"/>
      <c r="T136" s="2"/>
    </row>
    <row r="137" spans="1:20" ht="15.6" x14ac:dyDescent="0.3">
      <c r="A137" s="112"/>
      <c r="B137" s="113" t="s">
        <v>36</v>
      </c>
      <c r="C137" s="113"/>
      <c r="D137" s="113"/>
      <c r="E137" s="113"/>
      <c r="F137" s="113"/>
      <c r="G137" s="113"/>
      <c r="H137" s="113"/>
      <c r="I137" s="113"/>
      <c r="J137" s="113"/>
      <c r="K137" s="113"/>
      <c r="L137" s="113"/>
      <c r="M137" s="113"/>
      <c r="N137" s="113"/>
      <c r="O137" s="113"/>
      <c r="P137" s="113"/>
      <c r="Q137" s="113"/>
      <c r="R137" s="156">
        <v>0</v>
      </c>
      <c r="S137" s="116"/>
      <c r="T137" s="2"/>
    </row>
    <row r="138" spans="1:20" ht="15.6" x14ac:dyDescent="0.3">
      <c r="A138" s="112"/>
      <c r="B138" s="113" t="s">
        <v>169</v>
      </c>
      <c r="C138" s="113"/>
      <c r="D138" s="113"/>
      <c r="E138" s="113"/>
      <c r="F138" s="113"/>
      <c r="G138" s="113"/>
      <c r="H138" s="113"/>
      <c r="I138" s="113"/>
      <c r="J138" s="113"/>
      <c r="K138" s="113"/>
      <c r="L138" s="113"/>
      <c r="M138" s="113"/>
      <c r="N138" s="113"/>
      <c r="O138" s="113"/>
      <c r="P138" s="113"/>
      <c r="Q138" s="113"/>
      <c r="R138" s="156">
        <f>R136-R139</f>
        <v>516.53242665499965</v>
      </c>
      <c r="S138" s="116"/>
      <c r="T138" s="2"/>
    </row>
    <row r="139" spans="1:20" ht="15.6" x14ac:dyDescent="0.3">
      <c r="A139" s="112"/>
      <c r="B139" s="113" t="s">
        <v>210</v>
      </c>
      <c r="C139" s="113"/>
      <c r="D139" s="113"/>
      <c r="E139" s="113"/>
      <c r="F139" s="113"/>
      <c r="G139" s="113"/>
      <c r="H139" s="113"/>
      <c r="I139" s="113"/>
      <c r="J139" s="113"/>
      <c r="K139" s="113"/>
      <c r="L139" s="113"/>
      <c r="M139" s="113"/>
      <c r="N139" s="113"/>
      <c r="O139" s="113"/>
      <c r="P139" s="113"/>
      <c r="Q139" s="113"/>
      <c r="R139" s="156">
        <f>SUM(D33:J33)*0.025</f>
        <v>6985.4675733450003</v>
      </c>
      <c r="S139" s="116"/>
      <c r="T139" s="2"/>
    </row>
    <row r="140" spans="1:20" ht="15.6" x14ac:dyDescent="0.3">
      <c r="A140" s="112"/>
      <c r="B140" s="113" t="s">
        <v>108</v>
      </c>
      <c r="C140" s="113"/>
      <c r="D140" s="113"/>
      <c r="E140" s="113"/>
      <c r="F140" s="113"/>
      <c r="G140" s="113"/>
      <c r="H140" s="113"/>
      <c r="I140" s="113"/>
      <c r="J140" s="113"/>
      <c r="K140" s="113"/>
      <c r="L140" s="113"/>
      <c r="M140" s="113"/>
      <c r="N140" s="113"/>
      <c r="O140" s="113"/>
      <c r="P140" s="113"/>
      <c r="Q140" s="113"/>
      <c r="R140" s="156"/>
      <c r="S140" s="116"/>
      <c r="T140" s="2"/>
    </row>
    <row r="141" spans="1:20" ht="15.6" x14ac:dyDescent="0.3">
      <c r="A141" s="112"/>
      <c r="B141" s="113" t="s">
        <v>155</v>
      </c>
      <c r="C141" s="113"/>
      <c r="D141" s="113"/>
      <c r="E141" s="113"/>
      <c r="F141" s="113"/>
      <c r="G141" s="113"/>
      <c r="H141" s="113"/>
      <c r="I141" s="113"/>
      <c r="J141" s="113"/>
      <c r="K141" s="113"/>
      <c r="L141" s="113"/>
      <c r="M141" s="113"/>
      <c r="N141" s="113"/>
      <c r="O141" s="113"/>
      <c r="P141" s="113"/>
      <c r="Q141" s="113"/>
      <c r="R141" s="156">
        <v>0</v>
      </c>
      <c r="S141" s="116"/>
      <c r="T141" s="2"/>
    </row>
    <row r="142" spans="1:20" ht="15.6" x14ac:dyDescent="0.3">
      <c r="A142" s="112"/>
      <c r="B142" s="113" t="s">
        <v>189</v>
      </c>
      <c r="C142" s="113"/>
      <c r="D142" s="113"/>
      <c r="E142" s="113"/>
      <c r="F142" s="113"/>
      <c r="G142" s="113"/>
      <c r="H142" s="113"/>
      <c r="I142" s="113"/>
      <c r="J142" s="113"/>
      <c r="K142" s="113"/>
      <c r="L142" s="113"/>
      <c r="M142" s="113"/>
      <c r="N142" s="113"/>
      <c r="O142" s="113"/>
      <c r="P142" s="113"/>
      <c r="Q142" s="113"/>
      <c r="R142" s="156">
        <v>0</v>
      </c>
      <c r="S142" s="116"/>
      <c r="T142" s="2"/>
    </row>
    <row r="143" spans="1:20" ht="15.6" x14ac:dyDescent="0.3">
      <c r="A143" s="112"/>
      <c r="B143" s="113" t="s">
        <v>190</v>
      </c>
      <c r="C143" s="113"/>
      <c r="D143" s="113"/>
      <c r="E143" s="113"/>
      <c r="F143" s="113"/>
      <c r="G143" s="113"/>
      <c r="H143" s="113"/>
      <c r="I143" s="113"/>
      <c r="J143" s="113"/>
      <c r="K143" s="113"/>
      <c r="L143" s="113"/>
      <c r="M143" s="113"/>
      <c r="N143" s="113"/>
      <c r="O143" s="113"/>
      <c r="P143" s="113"/>
      <c r="Q143" s="113"/>
      <c r="R143" s="156">
        <v>0</v>
      </c>
      <c r="S143" s="116"/>
      <c r="T143" s="2"/>
    </row>
    <row r="144" spans="1:20" ht="15.6" x14ac:dyDescent="0.3">
      <c r="A144" s="112"/>
      <c r="B144" s="113" t="s">
        <v>37</v>
      </c>
      <c r="C144" s="113"/>
      <c r="D144" s="113"/>
      <c r="E144" s="113"/>
      <c r="F144" s="113"/>
      <c r="G144" s="113"/>
      <c r="H144" s="113"/>
      <c r="I144" s="113"/>
      <c r="J144" s="113"/>
      <c r="K144" s="113"/>
      <c r="L144" s="113"/>
      <c r="M144" s="113"/>
      <c r="N144" s="113"/>
      <c r="O144" s="113"/>
      <c r="P144" s="113"/>
      <c r="Q144" s="113"/>
      <c r="R144" s="156">
        <v>0</v>
      </c>
      <c r="S144" s="116"/>
      <c r="T144" s="2"/>
    </row>
    <row r="145" spans="1:21" ht="15.6" x14ac:dyDescent="0.3">
      <c r="A145" s="112"/>
      <c r="B145" s="113" t="s">
        <v>102</v>
      </c>
      <c r="C145" s="113"/>
      <c r="D145" s="113"/>
      <c r="E145" s="113"/>
      <c r="F145" s="113"/>
      <c r="G145" s="113"/>
      <c r="H145" s="113"/>
      <c r="I145" s="113"/>
      <c r="J145" s="113"/>
      <c r="K145" s="113"/>
      <c r="L145" s="113"/>
      <c r="M145" s="113"/>
      <c r="N145" s="113"/>
      <c r="O145" s="113"/>
      <c r="P145" s="113"/>
      <c r="Q145" s="113"/>
      <c r="R145" s="156">
        <v>0</v>
      </c>
      <c r="S145" s="116"/>
      <c r="T145" s="2"/>
    </row>
    <row r="146" spans="1:21" ht="15.6" x14ac:dyDescent="0.3">
      <c r="A146" s="112"/>
      <c r="B146" s="113" t="s">
        <v>256</v>
      </c>
      <c r="C146" s="113"/>
      <c r="D146" s="113"/>
      <c r="E146" s="113"/>
      <c r="F146" s="113"/>
      <c r="G146" s="113"/>
      <c r="H146" s="113"/>
      <c r="I146" s="113"/>
      <c r="J146" s="113"/>
      <c r="K146" s="113"/>
      <c r="L146" s="113"/>
      <c r="M146" s="113"/>
      <c r="N146" s="113"/>
      <c r="O146" s="113"/>
      <c r="P146" s="113"/>
      <c r="Q146" s="113"/>
      <c r="R146" s="156">
        <v>0</v>
      </c>
      <c r="S146" s="116"/>
      <c r="T146" s="2"/>
      <c r="U146" s="4"/>
    </row>
    <row r="147" spans="1:21" ht="15.6" x14ac:dyDescent="0.3">
      <c r="A147" s="112"/>
      <c r="B147" s="113" t="s">
        <v>38</v>
      </c>
      <c r="C147" s="113"/>
      <c r="D147" s="113"/>
      <c r="E147" s="113"/>
      <c r="F147" s="113"/>
      <c r="G147" s="113"/>
      <c r="H147" s="113"/>
      <c r="I147" s="113"/>
      <c r="J147" s="113"/>
      <c r="K147" s="113"/>
      <c r="L147" s="113"/>
      <c r="M147" s="113"/>
      <c r="N147" s="113"/>
      <c r="O147" s="113"/>
      <c r="P147" s="113"/>
      <c r="Q147" s="113"/>
      <c r="R147" s="156">
        <f>SUM(R137:R146)</f>
        <v>7502</v>
      </c>
      <c r="S147" s="116"/>
      <c r="T147" s="2"/>
    </row>
    <row r="148" spans="1:21" ht="15.6" x14ac:dyDescent="0.3">
      <c r="A148" s="12"/>
      <c r="B148" s="43"/>
      <c r="C148" s="43"/>
      <c r="D148" s="43"/>
      <c r="E148" s="43"/>
      <c r="F148" s="43"/>
      <c r="G148" s="43"/>
      <c r="H148" s="43"/>
      <c r="I148" s="43"/>
      <c r="J148" s="43"/>
      <c r="K148" s="43"/>
      <c r="L148" s="43"/>
      <c r="M148" s="43"/>
      <c r="N148" s="43"/>
      <c r="O148" s="43"/>
      <c r="P148" s="43"/>
      <c r="Q148" s="43"/>
      <c r="R148" s="162"/>
      <c r="S148" s="217"/>
      <c r="T148" s="2"/>
    </row>
    <row r="149" spans="1:21" ht="15.6" x14ac:dyDescent="0.3">
      <c r="A149" s="12"/>
      <c r="B149" s="41" t="s">
        <v>203</v>
      </c>
      <c r="C149" s="14"/>
      <c r="D149" s="14"/>
      <c r="E149" s="14"/>
      <c r="F149" s="14"/>
      <c r="G149" s="14"/>
      <c r="H149" s="14"/>
      <c r="I149" s="14"/>
      <c r="J149" s="14"/>
      <c r="K149" s="14"/>
      <c r="L149" s="14"/>
      <c r="M149" s="14"/>
      <c r="N149" s="14"/>
      <c r="O149" s="14"/>
      <c r="P149" s="14"/>
      <c r="Q149" s="14"/>
      <c r="R149" s="33"/>
      <c r="S149" s="217"/>
      <c r="T149" s="2"/>
    </row>
    <row r="150" spans="1:21" ht="15.6" x14ac:dyDescent="0.3">
      <c r="A150" s="112"/>
      <c r="B150" s="113" t="s">
        <v>278</v>
      </c>
      <c r="C150" s="113"/>
      <c r="D150" s="113"/>
      <c r="E150" s="113"/>
      <c r="F150" s="113"/>
      <c r="G150" s="113"/>
      <c r="H150" s="113"/>
      <c r="I150" s="113"/>
      <c r="J150" s="113"/>
      <c r="K150" s="113"/>
      <c r="L150" s="113"/>
      <c r="M150" s="113"/>
      <c r="N150" s="113"/>
      <c r="O150" s="113"/>
      <c r="P150" s="113"/>
      <c r="Q150" s="113"/>
      <c r="R150" s="156">
        <v>0</v>
      </c>
      <c r="S150" s="139"/>
      <c r="T150" s="2"/>
    </row>
    <row r="151" spans="1:21" ht="15.6" x14ac:dyDescent="0.3">
      <c r="A151" s="112"/>
      <c r="B151" s="113" t="s">
        <v>191</v>
      </c>
      <c r="C151" s="115"/>
      <c r="D151" s="115"/>
      <c r="E151" s="115"/>
      <c r="F151" s="115"/>
      <c r="G151" s="115"/>
      <c r="H151" s="115"/>
      <c r="I151" s="115"/>
      <c r="J151" s="115"/>
      <c r="K151" s="115"/>
      <c r="L151" s="115"/>
      <c r="M151" s="115"/>
      <c r="N151" s="115"/>
      <c r="O151" s="115"/>
      <c r="P151" s="115"/>
      <c r="Q151" s="115"/>
      <c r="R151" s="156">
        <f>+J77</f>
        <v>0</v>
      </c>
      <c r="S151" s="139"/>
      <c r="T151" s="2"/>
    </row>
    <row r="152" spans="1:21" ht="15.6" x14ac:dyDescent="0.3">
      <c r="A152" s="112"/>
      <c r="B152" s="113" t="s">
        <v>205</v>
      </c>
      <c r="C152" s="113"/>
      <c r="D152" s="113"/>
      <c r="E152" s="113"/>
      <c r="F152" s="113"/>
      <c r="G152" s="113"/>
      <c r="H152" s="113"/>
      <c r="I152" s="113"/>
      <c r="J152" s="113"/>
      <c r="K152" s="113"/>
      <c r="L152" s="113"/>
      <c r="M152" s="113"/>
      <c r="N152" s="113"/>
      <c r="O152" s="113"/>
      <c r="P152" s="113"/>
      <c r="Q152" s="113"/>
      <c r="R152" s="156">
        <f>R150+R151</f>
        <v>0</v>
      </c>
      <c r="S152" s="139"/>
      <c r="T152" s="2"/>
    </row>
    <row r="153" spans="1:21" ht="15.6" x14ac:dyDescent="0.3">
      <c r="A153" s="12"/>
      <c r="B153" s="163"/>
      <c r="C153" s="163"/>
      <c r="D153" s="163"/>
      <c r="E153" s="163"/>
      <c r="F153" s="163"/>
      <c r="G153" s="163"/>
      <c r="H153" s="163"/>
      <c r="I153" s="163"/>
      <c r="J153" s="163"/>
      <c r="K153" s="163"/>
      <c r="L153" s="163"/>
      <c r="M153" s="163"/>
      <c r="N153" s="163"/>
      <c r="O153" s="163"/>
      <c r="P153" s="163"/>
      <c r="Q153" s="163"/>
      <c r="R153" s="195"/>
      <c r="S153" s="217"/>
      <c r="T153" s="2"/>
    </row>
    <row r="154" spans="1:21" ht="15.6" x14ac:dyDescent="0.3">
      <c r="A154" s="12"/>
      <c r="B154" s="41" t="s">
        <v>211</v>
      </c>
      <c r="C154" s="163"/>
      <c r="D154" s="163"/>
      <c r="E154" s="163"/>
      <c r="F154" s="163"/>
      <c r="G154" s="163"/>
      <c r="H154" s="163"/>
      <c r="I154" s="163"/>
      <c r="J154" s="163"/>
      <c r="K154" s="163"/>
      <c r="L154" s="163"/>
      <c r="M154" s="163"/>
      <c r="N154" s="163"/>
      <c r="O154" s="163"/>
      <c r="P154" s="163"/>
      <c r="Q154" s="163"/>
      <c r="R154" s="195"/>
      <c r="S154" s="217"/>
      <c r="T154" s="2"/>
    </row>
    <row r="155" spans="1:21" ht="15.6" x14ac:dyDescent="0.3">
      <c r="A155" s="231"/>
      <c r="B155" s="232" t="s">
        <v>277</v>
      </c>
      <c r="C155" s="232"/>
      <c r="D155" s="232"/>
      <c r="E155" s="232"/>
      <c r="F155" s="232"/>
      <c r="G155" s="232"/>
      <c r="H155" s="232"/>
      <c r="I155" s="232"/>
      <c r="J155" s="232"/>
      <c r="K155" s="232"/>
      <c r="L155" s="232"/>
      <c r="M155" s="232"/>
      <c r="N155" s="232"/>
      <c r="O155" s="232"/>
      <c r="P155" s="232"/>
      <c r="Q155" s="232"/>
      <c r="R155" s="233">
        <f>+'Nov 15'!R158</f>
        <v>1478</v>
      </c>
      <c r="S155" s="234"/>
      <c r="T155" s="2"/>
    </row>
    <row r="156" spans="1:21" ht="15.6" x14ac:dyDescent="0.3">
      <c r="A156" s="231"/>
      <c r="B156" s="232" t="s">
        <v>213</v>
      </c>
      <c r="C156" s="232"/>
      <c r="D156" s="232"/>
      <c r="E156" s="232"/>
      <c r="F156" s="232"/>
      <c r="G156" s="232"/>
      <c r="H156" s="232"/>
      <c r="I156" s="232"/>
      <c r="J156" s="232"/>
      <c r="K156" s="232"/>
      <c r="L156" s="232"/>
      <c r="M156" s="232"/>
      <c r="N156" s="232"/>
      <c r="O156" s="232"/>
      <c r="P156" s="232"/>
      <c r="Q156" s="232"/>
      <c r="R156" s="233">
        <f>P86</f>
        <v>0</v>
      </c>
      <c r="S156" s="234"/>
      <c r="T156" s="2"/>
    </row>
    <row r="157" spans="1:21" ht="15.6" x14ac:dyDescent="0.3">
      <c r="A157" s="231"/>
      <c r="B157" s="232" t="s">
        <v>214</v>
      </c>
      <c r="C157" s="232"/>
      <c r="D157" s="232"/>
      <c r="E157" s="232"/>
      <c r="F157" s="232"/>
      <c r="G157" s="232"/>
      <c r="H157" s="232"/>
      <c r="I157" s="232"/>
      <c r="J157" s="232"/>
      <c r="K157" s="232"/>
      <c r="L157" s="232"/>
      <c r="M157" s="232"/>
      <c r="N157" s="232"/>
      <c r="O157" s="232"/>
      <c r="P157" s="232"/>
      <c r="Q157" s="232"/>
      <c r="R157" s="233">
        <v>0</v>
      </c>
      <c r="S157" s="234"/>
      <c r="T157" s="2"/>
    </row>
    <row r="158" spans="1:21" ht="15.6" x14ac:dyDescent="0.3">
      <c r="A158" s="231"/>
      <c r="B158" s="232" t="s">
        <v>215</v>
      </c>
      <c r="C158" s="232"/>
      <c r="D158" s="232"/>
      <c r="E158" s="232"/>
      <c r="F158" s="232"/>
      <c r="G158" s="232"/>
      <c r="H158" s="232"/>
      <c r="I158" s="232"/>
      <c r="J158" s="232"/>
      <c r="K158" s="232"/>
      <c r="L158" s="232"/>
      <c r="M158" s="232"/>
      <c r="N158" s="232"/>
      <c r="O158" s="232"/>
      <c r="P158" s="232"/>
      <c r="Q158" s="232"/>
      <c r="R158" s="233">
        <f>R155+R156+R157</f>
        <v>1478</v>
      </c>
      <c r="S158" s="234"/>
      <c r="T158" s="2"/>
    </row>
    <row r="159" spans="1:21" ht="15.6" x14ac:dyDescent="0.3">
      <c r="A159" s="12"/>
      <c r="B159" s="43"/>
      <c r="C159" s="43"/>
      <c r="D159" s="43"/>
      <c r="E159" s="43"/>
      <c r="F159" s="43"/>
      <c r="G159" s="43"/>
      <c r="H159" s="43"/>
      <c r="I159" s="43"/>
      <c r="J159" s="43"/>
      <c r="K159" s="43"/>
      <c r="L159" s="43"/>
      <c r="M159" s="43"/>
      <c r="N159" s="43"/>
      <c r="O159" s="43"/>
      <c r="P159" s="43"/>
      <c r="Q159" s="43"/>
      <c r="R159" s="162"/>
      <c r="S159" s="217"/>
      <c r="T159" s="2"/>
    </row>
    <row r="160" spans="1:21" ht="15.6" x14ac:dyDescent="0.3">
      <c r="A160" s="12"/>
      <c r="B160" s="41" t="s">
        <v>39</v>
      </c>
      <c r="C160" s="14"/>
      <c r="D160" s="14"/>
      <c r="E160" s="14"/>
      <c r="F160" s="14"/>
      <c r="G160" s="14"/>
      <c r="H160" s="14"/>
      <c r="I160" s="14"/>
      <c r="J160" s="14"/>
      <c r="K160" s="14"/>
      <c r="L160" s="14"/>
      <c r="M160" s="14"/>
      <c r="N160" s="14"/>
      <c r="O160" s="14"/>
      <c r="P160" s="14"/>
      <c r="Q160" s="14"/>
      <c r="R160" s="42"/>
      <c r="S160" s="217"/>
      <c r="T160" s="2"/>
    </row>
    <row r="161" spans="1:252" ht="15.6" x14ac:dyDescent="0.3">
      <c r="A161" s="112"/>
      <c r="B161" s="113" t="s">
        <v>40</v>
      </c>
      <c r="C161" s="113"/>
      <c r="D161" s="113"/>
      <c r="E161" s="113"/>
      <c r="F161" s="113"/>
      <c r="G161" s="113"/>
      <c r="H161" s="113"/>
      <c r="I161" s="113"/>
      <c r="J161" s="113"/>
      <c r="K161" s="113"/>
      <c r="L161" s="113"/>
      <c r="M161" s="113"/>
      <c r="N161" s="113"/>
      <c r="O161" s="113"/>
      <c r="P161" s="113"/>
      <c r="Q161" s="113"/>
      <c r="R161" s="156">
        <v>0</v>
      </c>
      <c r="S161" s="116"/>
      <c r="T161" s="2"/>
    </row>
    <row r="162" spans="1:252" ht="15.6" x14ac:dyDescent="0.3">
      <c r="A162" s="112"/>
      <c r="B162" s="113" t="s">
        <v>41</v>
      </c>
      <c r="C162" s="113"/>
      <c r="D162" s="113"/>
      <c r="E162" s="113"/>
      <c r="F162" s="113"/>
      <c r="G162" s="113"/>
      <c r="H162" s="113"/>
      <c r="I162" s="113"/>
      <c r="J162" s="113"/>
      <c r="K162" s="113"/>
      <c r="L162" s="113"/>
      <c r="M162" s="113"/>
      <c r="N162" s="113"/>
      <c r="O162" s="113"/>
      <c r="P162" s="113"/>
      <c r="Q162" s="113"/>
      <c r="R162" s="156">
        <v>0</v>
      </c>
      <c r="S162" s="116"/>
      <c r="T162" s="2"/>
    </row>
    <row r="163" spans="1:252" ht="15.6" x14ac:dyDescent="0.3">
      <c r="A163" s="112"/>
      <c r="B163" s="113" t="s">
        <v>42</v>
      </c>
      <c r="C163" s="113"/>
      <c r="D163" s="113"/>
      <c r="E163" s="113"/>
      <c r="F163" s="113"/>
      <c r="G163" s="113"/>
      <c r="H163" s="113"/>
      <c r="I163" s="113"/>
      <c r="J163" s="113"/>
      <c r="K163" s="113"/>
      <c r="L163" s="113"/>
      <c r="M163" s="113"/>
      <c r="N163" s="113"/>
      <c r="O163" s="113"/>
      <c r="P163" s="113"/>
      <c r="Q163" s="113"/>
      <c r="R163" s="156">
        <f>R162+R161</f>
        <v>0</v>
      </c>
      <c r="S163" s="116"/>
      <c r="T163" s="2"/>
    </row>
    <row r="164" spans="1:252" ht="15.6" x14ac:dyDescent="0.3">
      <c r="A164" s="112"/>
      <c r="B164" s="113" t="s">
        <v>174</v>
      </c>
      <c r="C164" s="113"/>
      <c r="D164" s="113"/>
      <c r="E164" s="113"/>
      <c r="F164" s="113"/>
      <c r="G164" s="113"/>
      <c r="H164" s="113"/>
      <c r="I164" s="113"/>
      <c r="J164" s="113"/>
      <c r="K164" s="113"/>
      <c r="L164" s="113"/>
      <c r="M164" s="113"/>
      <c r="N164" s="113"/>
      <c r="O164" s="113"/>
      <c r="P164" s="113"/>
      <c r="Q164" s="113"/>
      <c r="R164" s="156">
        <f>R111</f>
        <v>0</v>
      </c>
      <c r="S164" s="116"/>
      <c r="T164" s="2"/>
    </row>
    <row r="165" spans="1:252" ht="15.6" x14ac:dyDescent="0.3">
      <c r="A165" s="112"/>
      <c r="B165" s="113" t="s">
        <v>43</v>
      </c>
      <c r="C165" s="113"/>
      <c r="D165" s="113"/>
      <c r="E165" s="113"/>
      <c r="F165" s="113"/>
      <c r="G165" s="113"/>
      <c r="H165" s="113"/>
      <c r="I165" s="113"/>
      <c r="J165" s="113"/>
      <c r="K165" s="113"/>
      <c r="L165" s="113"/>
      <c r="M165" s="113"/>
      <c r="N165" s="113"/>
      <c r="O165" s="113"/>
      <c r="P165" s="113"/>
      <c r="Q165" s="113"/>
      <c r="R165" s="156">
        <f>R163+R164</f>
        <v>0</v>
      </c>
      <c r="S165" s="116"/>
      <c r="T165" s="2"/>
    </row>
    <row r="166" spans="1:252" ht="15.6" x14ac:dyDescent="0.3">
      <c r="A166" s="112"/>
      <c r="B166" s="113" t="s">
        <v>150</v>
      </c>
      <c r="C166" s="113"/>
      <c r="D166" s="113"/>
      <c r="E166" s="113"/>
      <c r="F166" s="113"/>
      <c r="G166" s="113"/>
      <c r="H166" s="113"/>
      <c r="I166" s="113"/>
      <c r="J166" s="113"/>
      <c r="K166" s="113"/>
      <c r="L166" s="113"/>
      <c r="M166" s="113"/>
      <c r="N166" s="113"/>
      <c r="O166" s="113"/>
      <c r="P166" s="113"/>
      <c r="Q166" s="113"/>
      <c r="R166" s="156">
        <f>-R99</f>
        <v>0</v>
      </c>
      <c r="S166" s="116"/>
      <c r="T166" s="2"/>
    </row>
    <row r="167" spans="1:252" ht="16.2" thickBot="1" x14ac:dyDescent="0.35">
      <c r="A167" s="12"/>
      <c r="B167" s="43"/>
      <c r="C167" s="43"/>
      <c r="D167" s="43"/>
      <c r="E167" s="43"/>
      <c r="F167" s="43"/>
      <c r="G167" s="43"/>
      <c r="H167" s="43"/>
      <c r="I167" s="43"/>
      <c r="J167" s="43"/>
      <c r="K167" s="43"/>
      <c r="L167" s="43"/>
      <c r="M167" s="43"/>
      <c r="N167" s="43"/>
      <c r="O167" s="43"/>
      <c r="P167" s="43"/>
      <c r="Q167" s="43"/>
      <c r="R167" s="162"/>
      <c r="S167" s="217"/>
      <c r="T167" s="2"/>
    </row>
    <row r="168" spans="1:252" ht="15.6" x14ac:dyDescent="0.3">
      <c r="A168" s="10"/>
      <c r="B168" s="11"/>
      <c r="C168" s="11"/>
      <c r="D168" s="11"/>
      <c r="E168" s="11"/>
      <c r="F168" s="11"/>
      <c r="G168" s="11"/>
      <c r="H168" s="11"/>
      <c r="I168" s="11"/>
      <c r="J168" s="11"/>
      <c r="K168" s="11"/>
      <c r="L168" s="11"/>
      <c r="M168" s="11"/>
      <c r="N168" s="11"/>
      <c r="O168" s="11"/>
      <c r="P168" s="11"/>
      <c r="Q168" s="11"/>
      <c r="R168" s="32"/>
      <c r="S168" s="216"/>
      <c r="T168" s="2"/>
    </row>
    <row r="169" spans="1:252" s="6" customFormat="1" ht="15.6" x14ac:dyDescent="0.3">
      <c r="A169" s="12"/>
      <c r="B169" s="41" t="s">
        <v>204</v>
      </c>
      <c r="C169" s="43"/>
      <c r="D169" s="43"/>
      <c r="E169" s="43"/>
      <c r="F169" s="43"/>
      <c r="G169" s="43"/>
      <c r="H169" s="43"/>
      <c r="I169" s="43"/>
      <c r="J169" s="43"/>
      <c r="K169" s="43"/>
      <c r="L169" s="43"/>
      <c r="M169" s="43"/>
      <c r="N169" s="43"/>
      <c r="O169" s="43"/>
      <c r="P169" s="43"/>
      <c r="Q169" s="43"/>
      <c r="R169" s="44"/>
      <c r="S169" s="217"/>
      <c r="T169" s="2"/>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row>
    <row r="170" spans="1:252" s="7" customFormat="1" ht="15.6" x14ac:dyDescent="0.3">
      <c r="A170" s="112"/>
      <c r="B170" s="113" t="s">
        <v>141</v>
      </c>
      <c r="C170" s="113"/>
      <c r="D170" s="113"/>
      <c r="E170" s="113"/>
      <c r="F170" s="113"/>
      <c r="G170" s="113"/>
      <c r="H170" s="113"/>
      <c r="I170" s="113"/>
      <c r="J170" s="113"/>
      <c r="K170" s="113"/>
      <c r="L170" s="113"/>
      <c r="M170" s="113"/>
      <c r="N170" s="113"/>
      <c r="O170" s="113"/>
      <c r="P170" s="113"/>
      <c r="Q170" s="113"/>
      <c r="R170" s="156">
        <f>+'Nov 15'!R172</f>
        <v>422</v>
      </c>
      <c r="S170" s="116"/>
      <c r="T170" s="2"/>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row>
    <row r="171" spans="1:252" s="7" customFormat="1" ht="15.6" x14ac:dyDescent="0.3">
      <c r="A171" s="112"/>
      <c r="B171" s="113" t="s">
        <v>144</v>
      </c>
      <c r="C171" s="113"/>
      <c r="D171" s="113"/>
      <c r="E171" s="113"/>
      <c r="F171" s="113"/>
      <c r="G171" s="113"/>
      <c r="H171" s="113"/>
      <c r="I171" s="113"/>
      <c r="J171" s="113"/>
      <c r="K171" s="113"/>
      <c r="L171" s="113"/>
      <c r="M171" s="113"/>
      <c r="N171" s="113"/>
      <c r="O171" s="113"/>
      <c r="P171" s="113"/>
      <c r="Q171" s="113"/>
      <c r="R171" s="156">
        <f>+R92</f>
        <v>23</v>
      </c>
      <c r="S171" s="116"/>
      <c r="T171" s="2"/>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1:252" s="7" customFormat="1" ht="15.6" x14ac:dyDescent="0.3">
      <c r="A172" s="112"/>
      <c r="B172" s="113" t="s">
        <v>142</v>
      </c>
      <c r="C172" s="113"/>
      <c r="D172" s="113"/>
      <c r="E172" s="113"/>
      <c r="F172" s="113"/>
      <c r="G172" s="113"/>
      <c r="H172" s="113"/>
      <c r="I172" s="113"/>
      <c r="J172" s="113"/>
      <c r="K172" s="113"/>
      <c r="L172" s="113"/>
      <c r="M172" s="113"/>
      <c r="N172" s="113"/>
      <c r="O172" s="113"/>
      <c r="P172" s="113"/>
      <c r="Q172" s="113"/>
      <c r="R172" s="156">
        <f>+R170-R171</f>
        <v>399</v>
      </c>
      <c r="S172" s="116"/>
      <c r="T172" s="2"/>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1:252" s="8" customFormat="1" ht="16.2" thickBot="1" x14ac:dyDescent="0.35">
      <c r="A173" s="28"/>
      <c r="B173" s="43"/>
      <c r="C173" s="43"/>
      <c r="D173" s="43"/>
      <c r="E173" s="43"/>
      <c r="F173" s="43"/>
      <c r="G173" s="43"/>
      <c r="H173" s="43"/>
      <c r="I173" s="43"/>
      <c r="J173" s="43"/>
      <c r="K173" s="43"/>
      <c r="L173" s="43"/>
      <c r="M173" s="43"/>
      <c r="N173" s="43"/>
      <c r="O173" s="43"/>
      <c r="P173" s="43"/>
      <c r="Q173" s="43"/>
      <c r="R173" s="162"/>
      <c r="S173" s="217"/>
      <c r="T173" s="2"/>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1:252" s="9" customFormat="1" ht="15.6" x14ac:dyDescent="0.3">
      <c r="A174" s="10"/>
      <c r="B174" s="11"/>
      <c r="C174" s="11"/>
      <c r="D174" s="11"/>
      <c r="E174" s="11"/>
      <c r="F174" s="11"/>
      <c r="G174" s="11"/>
      <c r="H174" s="11"/>
      <c r="I174" s="11"/>
      <c r="J174" s="11"/>
      <c r="K174" s="11"/>
      <c r="L174" s="11"/>
      <c r="M174" s="11"/>
      <c r="N174" s="11"/>
      <c r="O174" s="11"/>
      <c r="P174" s="11"/>
      <c r="Q174" s="11"/>
      <c r="R174" s="32"/>
      <c r="S174" s="216"/>
      <c r="T174" s="2"/>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1:252" ht="15.6" x14ac:dyDescent="0.3">
      <c r="A175" s="12"/>
      <c r="B175" s="41" t="s">
        <v>44</v>
      </c>
      <c r="C175" s="14"/>
      <c r="D175" s="14"/>
      <c r="E175" s="14"/>
      <c r="F175" s="14"/>
      <c r="G175" s="14"/>
      <c r="H175" s="14"/>
      <c r="I175" s="14"/>
      <c r="J175" s="14"/>
      <c r="K175" s="14"/>
      <c r="L175" s="14"/>
      <c r="M175" s="14"/>
      <c r="N175" s="14"/>
      <c r="O175" s="14"/>
      <c r="P175" s="14"/>
      <c r="Q175" s="14"/>
      <c r="R175" s="33"/>
      <c r="S175" s="217"/>
      <c r="T175" s="2"/>
    </row>
    <row r="176" spans="1:252" ht="15.6" x14ac:dyDescent="0.3">
      <c r="A176" s="12"/>
      <c r="B176" s="22"/>
      <c r="C176" s="14"/>
      <c r="D176" s="14"/>
      <c r="E176" s="14"/>
      <c r="F176" s="14"/>
      <c r="G176" s="14"/>
      <c r="H176" s="14"/>
      <c r="I176" s="14"/>
      <c r="J176" s="14"/>
      <c r="K176" s="14"/>
      <c r="L176" s="14"/>
      <c r="M176" s="14"/>
      <c r="N176" s="14"/>
      <c r="O176" s="14"/>
      <c r="P176" s="14"/>
      <c r="Q176" s="14"/>
      <c r="R176" s="33"/>
      <c r="S176" s="217"/>
      <c r="T176" s="2"/>
    </row>
    <row r="177" spans="1:20" ht="15.6" x14ac:dyDescent="0.3">
      <c r="A177" s="112"/>
      <c r="B177" s="113" t="s">
        <v>172</v>
      </c>
      <c r="C177" s="113"/>
      <c r="D177" s="113"/>
      <c r="E177" s="113"/>
      <c r="F177" s="113"/>
      <c r="G177" s="113"/>
      <c r="H177" s="113"/>
      <c r="I177" s="113"/>
      <c r="J177" s="113"/>
      <c r="K177" s="113"/>
      <c r="L177" s="113"/>
      <c r="M177" s="113"/>
      <c r="N177" s="113"/>
      <c r="O177" s="113"/>
      <c r="P177" s="113"/>
      <c r="Q177" s="113"/>
      <c r="R177" s="156">
        <f>+R67</f>
        <v>285441</v>
      </c>
      <c r="S177" s="116"/>
      <c r="T177" s="2"/>
    </row>
    <row r="178" spans="1:20" ht="15.6" x14ac:dyDescent="0.3">
      <c r="A178" s="112"/>
      <c r="B178" s="113" t="s">
        <v>173</v>
      </c>
      <c r="C178" s="113"/>
      <c r="D178" s="113"/>
      <c r="E178" s="113"/>
      <c r="F178" s="113"/>
      <c r="G178" s="113"/>
      <c r="H178" s="113"/>
      <c r="I178" s="113"/>
      <c r="J178" s="113"/>
      <c r="K178" s="113"/>
      <c r="L178" s="113"/>
      <c r="M178" s="113"/>
      <c r="N178" s="113"/>
      <c r="O178" s="113"/>
      <c r="P178" s="113"/>
      <c r="Q178" s="113"/>
      <c r="R178" s="156">
        <f>+R77</f>
        <v>0</v>
      </c>
      <c r="S178" s="116"/>
      <c r="T178" s="2"/>
    </row>
    <row r="179" spans="1:20" ht="15.6" x14ac:dyDescent="0.3">
      <c r="A179" s="112"/>
      <c r="B179" s="113" t="s">
        <v>216</v>
      </c>
      <c r="C179" s="113"/>
      <c r="D179" s="113"/>
      <c r="E179" s="113"/>
      <c r="F179" s="113"/>
      <c r="G179" s="113"/>
      <c r="H179" s="113"/>
      <c r="I179" s="113"/>
      <c r="J179" s="113"/>
      <c r="K179" s="113"/>
      <c r="L179" s="113"/>
      <c r="M179" s="113"/>
      <c r="N179" s="113"/>
      <c r="O179" s="113"/>
      <c r="P179" s="113"/>
      <c r="Q179" s="113"/>
      <c r="R179" s="156">
        <f>+R78</f>
        <v>1478</v>
      </c>
      <c r="S179" s="116"/>
      <c r="T179" s="2"/>
    </row>
    <row r="180" spans="1:20" ht="15.6" x14ac:dyDescent="0.3">
      <c r="A180" s="112"/>
      <c r="B180" s="113" t="s">
        <v>126</v>
      </c>
      <c r="C180" s="113"/>
      <c r="D180" s="113"/>
      <c r="E180" s="113"/>
      <c r="F180" s="113"/>
      <c r="G180" s="113"/>
      <c r="H180" s="113"/>
      <c r="I180" s="113"/>
      <c r="J180" s="113"/>
      <c r="K180" s="113"/>
      <c r="L180" s="113"/>
      <c r="M180" s="113"/>
      <c r="N180" s="113"/>
      <c r="O180" s="113"/>
      <c r="P180" s="113"/>
      <c r="Q180" s="113"/>
      <c r="R180" s="156">
        <f>+R177+R178+R179</f>
        <v>286919</v>
      </c>
      <c r="S180" s="116"/>
      <c r="T180" s="2"/>
    </row>
    <row r="181" spans="1:20" ht="15.6" x14ac:dyDescent="0.3">
      <c r="A181" s="112"/>
      <c r="B181" s="113" t="s">
        <v>45</v>
      </c>
      <c r="C181" s="113"/>
      <c r="D181" s="113"/>
      <c r="E181" s="113"/>
      <c r="F181" s="113"/>
      <c r="G181" s="113"/>
      <c r="H181" s="113"/>
      <c r="I181" s="113"/>
      <c r="J181" s="113"/>
      <c r="K181" s="113"/>
      <c r="L181" s="113"/>
      <c r="M181" s="113"/>
      <c r="N181" s="113"/>
      <c r="O181" s="113"/>
      <c r="P181" s="113"/>
      <c r="Q181" s="113"/>
      <c r="R181" s="156">
        <f>R80</f>
        <v>286919</v>
      </c>
      <c r="S181" s="116"/>
      <c r="T181" s="2"/>
    </row>
    <row r="182" spans="1:20" ht="16.2" thickBot="1" x14ac:dyDescent="0.35">
      <c r="A182" s="12"/>
      <c r="B182" s="43"/>
      <c r="C182" s="43"/>
      <c r="D182" s="43"/>
      <c r="E182" s="43"/>
      <c r="F182" s="43"/>
      <c r="G182" s="43"/>
      <c r="H182" s="43"/>
      <c r="I182" s="43"/>
      <c r="J182" s="43"/>
      <c r="K182" s="43"/>
      <c r="L182" s="43"/>
      <c r="M182" s="43"/>
      <c r="N182" s="43"/>
      <c r="O182" s="43"/>
      <c r="P182" s="43"/>
      <c r="Q182" s="43"/>
      <c r="R182" s="162"/>
      <c r="S182" s="217"/>
      <c r="T182" s="2"/>
    </row>
    <row r="183" spans="1:20" ht="15.6" x14ac:dyDescent="0.3">
      <c r="A183" s="10"/>
      <c r="B183" s="11"/>
      <c r="C183" s="11"/>
      <c r="D183" s="11"/>
      <c r="E183" s="11"/>
      <c r="F183" s="11"/>
      <c r="G183" s="11"/>
      <c r="H183" s="11"/>
      <c r="I183" s="11"/>
      <c r="J183" s="11"/>
      <c r="K183" s="11"/>
      <c r="L183" s="11"/>
      <c r="M183" s="11"/>
      <c r="N183" s="11"/>
      <c r="O183" s="11"/>
      <c r="P183" s="11"/>
      <c r="Q183" s="11"/>
      <c r="R183" s="32"/>
      <c r="S183" s="216"/>
      <c r="T183" s="2"/>
    </row>
    <row r="184" spans="1:20" ht="15.6" x14ac:dyDescent="0.3">
      <c r="A184" s="12"/>
      <c r="B184" s="41" t="s">
        <v>46</v>
      </c>
      <c r="C184" s="37"/>
      <c r="D184" s="45"/>
      <c r="E184" s="45"/>
      <c r="F184" s="45"/>
      <c r="G184" s="45"/>
      <c r="H184" s="45"/>
      <c r="I184" s="45"/>
      <c r="J184" s="45"/>
      <c r="K184" s="45"/>
      <c r="L184" s="45"/>
      <c r="M184" s="45"/>
      <c r="N184" s="45"/>
      <c r="O184" s="45" t="s">
        <v>82</v>
      </c>
      <c r="P184" s="45" t="s">
        <v>170</v>
      </c>
      <c r="Q184" s="16"/>
      <c r="R184" s="46" t="s">
        <v>94</v>
      </c>
      <c r="S184" s="224"/>
      <c r="T184" s="2"/>
    </row>
    <row r="185" spans="1:20" ht="15.6" x14ac:dyDescent="0.3">
      <c r="A185" s="112"/>
      <c r="B185" s="113" t="s">
        <v>47</v>
      </c>
      <c r="C185" s="113"/>
      <c r="D185" s="113"/>
      <c r="E185" s="113"/>
      <c r="F185" s="113"/>
      <c r="G185" s="113"/>
      <c r="H185" s="113"/>
      <c r="I185" s="113"/>
      <c r="J185" s="113"/>
      <c r="K185" s="113"/>
      <c r="L185" s="113"/>
      <c r="M185" s="113"/>
      <c r="N185" s="113"/>
      <c r="O185" s="156">
        <f>+R31*0.08</f>
        <v>24000.720000000001</v>
      </c>
      <c r="P185" s="145"/>
      <c r="Q185" s="113"/>
      <c r="R185" s="156"/>
      <c r="S185" s="116"/>
      <c r="T185" s="2"/>
    </row>
    <row r="186" spans="1:20" ht="15.6" x14ac:dyDescent="0.3">
      <c r="A186" s="112"/>
      <c r="B186" s="113" t="s">
        <v>48</v>
      </c>
      <c r="C186" s="113"/>
      <c r="D186" s="113"/>
      <c r="E186" s="113"/>
      <c r="F186" s="113"/>
      <c r="G186" s="113"/>
      <c r="H186" s="113"/>
      <c r="I186" s="113"/>
      <c r="J186" s="113"/>
      <c r="K186" s="113"/>
      <c r="L186" s="113"/>
      <c r="M186" s="113"/>
      <c r="N186" s="113"/>
      <c r="O186" s="156">
        <f>+'Nov 15'!O188</f>
        <v>187</v>
      </c>
      <c r="P186" s="156">
        <f>+'Nov 15'!P188</f>
        <v>522</v>
      </c>
      <c r="Q186" s="113"/>
      <c r="R186" s="156">
        <f>O186+P186</f>
        <v>709</v>
      </c>
      <c r="S186" s="116"/>
      <c r="T186" s="2"/>
    </row>
    <row r="187" spans="1:20" ht="15.6" x14ac:dyDescent="0.3">
      <c r="A187" s="112"/>
      <c r="B187" s="113" t="s">
        <v>49</v>
      </c>
      <c r="C187" s="113"/>
      <c r="D187" s="113"/>
      <c r="E187" s="113"/>
      <c r="F187" s="113"/>
      <c r="G187" s="113"/>
      <c r="H187" s="113"/>
      <c r="I187" s="113"/>
      <c r="J187" s="113"/>
      <c r="K187" s="113"/>
      <c r="L187" s="113"/>
      <c r="M187" s="113"/>
      <c r="N187" s="113"/>
      <c r="O187" s="155">
        <v>0</v>
      </c>
      <c r="P187" s="155">
        <v>70</v>
      </c>
      <c r="Q187" s="113"/>
      <c r="R187" s="156">
        <f>O187+P187</f>
        <v>70</v>
      </c>
      <c r="S187" s="116"/>
      <c r="T187" s="2"/>
    </row>
    <row r="188" spans="1:20" ht="15.6" x14ac:dyDescent="0.3">
      <c r="A188" s="112"/>
      <c r="B188" s="113" t="s">
        <v>50</v>
      </c>
      <c r="C188" s="113"/>
      <c r="D188" s="113"/>
      <c r="E188" s="113"/>
      <c r="F188" s="113"/>
      <c r="G188" s="113"/>
      <c r="H188" s="113"/>
      <c r="I188" s="113"/>
      <c r="J188" s="113"/>
      <c r="K188" s="113"/>
      <c r="L188" s="113"/>
      <c r="M188" s="113"/>
      <c r="N188" s="113"/>
      <c r="O188" s="156">
        <f>O186+O187</f>
        <v>187</v>
      </c>
      <c r="P188" s="156">
        <f>P187+P186</f>
        <v>592</v>
      </c>
      <c r="Q188" s="113"/>
      <c r="R188" s="156">
        <f>O188+P188</f>
        <v>779</v>
      </c>
      <c r="S188" s="116"/>
      <c r="T188" s="2"/>
    </row>
    <row r="189" spans="1:20" ht="15.6" x14ac:dyDescent="0.3">
      <c r="A189" s="112"/>
      <c r="B189" s="113" t="s">
        <v>51</v>
      </c>
      <c r="C189" s="113"/>
      <c r="D189" s="113"/>
      <c r="E189" s="113"/>
      <c r="F189" s="113"/>
      <c r="G189" s="113"/>
      <c r="H189" s="113"/>
      <c r="I189" s="113"/>
      <c r="J189" s="113"/>
      <c r="K189" s="113"/>
      <c r="L189" s="113"/>
      <c r="M189" s="113"/>
      <c r="N189" s="113"/>
      <c r="O189" s="156">
        <f>O185-O188-P188</f>
        <v>23221.72</v>
      </c>
      <c r="P189" s="145"/>
      <c r="Q189" s="113"/>
      <c r="R189" s="156"/>
      <c r="S189" s="116"/>
      <c r="T189" s="2"/>
    </row>
    <row r="190" spans="1:20" ht="16.2" thickBot="1" x14ac:dyDescent="0.35">
      <c r="A190" s="12"/>
      <c r="B190" s="43"/>
      <c r="C190" s="43"/>
      <c r="D190" s="43"/>
      <c r="E190" s="43"/>
      <c r="F190" s="43"/>
      <c r="G190" s="43"/>
      <c r="H190" s="43"/>
      <c r="I190" s="43"/>
      <c r="J190" s="43"/>
      <c r="K190" s="43"/>
      <c r="L190" s="43"/>
      <c r="M190" s="43"/>
      <c r="N190" s="43"/>
      <c r="O190" s="43"/>
      <c r="P190" s="43"/>
      <c r="Q190" s="43"/>
      <c r="R190" s="162"/>
      <c r="S190" s="217"/>
      <c r="T190" s="2"/>
    </row>
    <row r="191" spans="1:20" ht="15.6" x14ac:dyDescent="0.3">
      <c r="A191" s="10"/>
      <c r="B191" s="11"/>
      <c r="C191" s="11"/>
      <c r="D191" s="11"/>
      <c r="E191" s="11"/>
      <c r="F191" s="11"/>
      <c r="G191" s="11"/>
      <c r="H191" s="11"/>
      <c r="I191" s="11"/>
      <c r="J191" s="11"/>
      <c r="K191" s="11"/>
      <c r="L191" s="11"/>
      <c r="M191" s="11"/>
      <c r="N191" s="11"/>
      <c r="O191" s="11"/>
      <c r="P191" s="11"/>
      <c r="Q191" s="11"/>
      <c r="R191" s="32"/>
      <c r="S191" s="216"/>
      <c r="T191" s="2"/>
    </row>
    <row r="192" spans="1:20" ht="15.6" x14ac:dyDescent="0.3">
      <c r="A192" s="12"/>
      <c r="B192" s="41" t="s">
        <v>52</v>
      </c>
      <c r="C192" s="14"/>
      <c r="D192" s="14"/>
      <c r="E192" s="14"/>
      <c r="F192" s="14"/>
      <c r="G192" s="14"/>
      <c r="H192" s="14"/>
      <c r="I192" s="14"/>
      <c r="J192" s="14"/>
      <c r="K192" s="14"/>
      <c r="L192" s="14"/>
      <c r="M192" s="14"/>
      <c r="N192" s="14"/>
      <c r="O192" s="14"/>
      <c r="P192" s="14"/>
      <c r="Q192" s="14"/>
      <c r="R192" s="47"/>
      <c r="S192" s="217"/>
      <c r="T192" s="2"/>
    </row>
    <row r="193" spans="1:20" ht="15.6" x14ac:dyDescent="0.3">
      <c r="A193" s="112"/>
      <c r="B193" s="113" t="s">
        <v>53</v>
      </c>
      <c r="C193" s="113"/>
      <c r="D193" s="113"/>
      <c r="E193" s="113"/>
      <c r="F193" s="113"/>
      <c r="G193" s="113"/>
      <c r="H193" s="113"/>
      <c r="I193" s="113"/>
      <c r="J193" s="113"/>
      <c r="K193" s="113"/>
      <c r="L193" s="113"/>
      <c r="M193" s="113"/>
      <c r="N193" s="113"/>
      <c r="O193" s="113"/>
      <c r="P193" s="113"/>
      <c r="Q193" s="113"/>
      <c r="R193" s="161">
        <f>(R100+R102+R103+R104+R105)/-(R106+R107)</f>
        <v>3.3031250000000001</v>
      </c>
      <c r="S193" s="116" t="s">
        <v>95</v>
      </c>
      <c r="T193" s="2"/>
    </row>
    <row r="194" spans="1:20" ht="15.6" x14ac:dyDescent="0.3">
      <c r="A194" s="112"/>
      <c r="B194" s="113" t="s">
        <v>54</v>
      </c>
      <c r="C194" s="113"/>
      <c r="D194" s="113"/>
      <c r="E194" s="113"/>
      <c r="F194" s="113"/>
      <c r="G194" s="113"/>
      <c r="H194" s="113"/>
      <c r="I194" s="113"/>
      <c r="J194" s="113"/>
      <c r="K194" s="113"/>
      <c r="L194" s="113"/>
      <c r="M194" s="113"/>
      <c r="N194" s="113"/>
      <c r="O194" s="113"/>
      <c r="P194" s="113"/>
      <c r="Q194" s="113"/>
      <c r="R194" s="241">
        <v>3.13</v>
      </c>
      <c r="S194" s="116" t="s">
        <v>95</v>
      </c>
      <c r="T194" s="2"/>
    </row>
    <row r="195" spans="1:20" ht="15.6" x14ac:dyDescent="0.3">
      <c r="A195" s="112"/>
      <c r="B195" s="113" t="s">
        <v>183</v>
      </c>
      <c r="C195" s="113"/>
      <c r="D195" s="113"/>
      <c r="E195" s="113"/>
      <c r="F195" s="113"/>
      <c r="G195" s="113"/>
      <c r="H195" s="113"/>
      <c r="I195" s="113"/>
      <c r="J195" s="113"/>
      <c r="K195" s="113"/>
      <c r="L195" s="113"/>
      <c r="M195" s="113"/>
      <c r="N195" s="113"/>
      <c r="O195" s="113"/>
      <c r="P195" s="113"/>
      <c r="Q195" s="113"/>
      <c r="R195" s="242">
        <f>(R100+R102+R103+R104+R105+R106+R107)/-(R108)</f>
        <v>38.120689655172413</v>
      </c>
      <c r="S195" s="116" t="s">
        <v>95</v>
      </c>
      <c r="T195" s="2"/>
    </row>
    <row r="196" spans="1:20" ht="15.6" x14ac:dyDescent="0.3">
      <c r="A196" s="112"/>
      <c r="B196" s="113" t="s">
        <v>184</v>
      </c>
      <c r="C196" s="113"/>
      <c r="D196" s="113"/>
      <c r="E196" s="113"/>
      <c r="F196" s="113"/>
      <c r="G196" s="113"/>
      <c r="H196" s="113"/>
      <c r="I196" s="113"/>
      <c r="J196" s="113"/>
      <c r="K196" s="113"/>
      <c r="L196" s="113"/>
      <c r="M196" s="113"/>
      <c r="N196" s="113"/>
      <c r="O196" s="113"/>
      <c r="P196" s="113"/>
      <c r="Q196" s="113"/>
      <c r="R196" s="241">
        <v>36.15</v>
      </c>
      <c r="S196" s="116" t="s">
        <v>95</v>
      </c>
      <c r="T196" s="2"/>
    </row>
    <row r="197" spans="1:20" ht="15.6" x14ac:dyDescent="0.3">
      <c r="A197" s="112"/>
      <c r="B197" s="113" t="s">
        <v>185</v>
      </c>
      <c r="C197" s="113"/>
      <c r="D197" s="113"/>
      <c r="E197" s="113"/>
      <c r="F197" s="113"/>
      <c r="G197" s="113"/>
      <c r="H197" s="113"/>
      <c r="I197" s="113"/>
      <c r="J197" s="113"/>
      <c r="K197" s="113"/>
      <c r="L197" s="113"/>
      <c r="M197" s="113"/>
      <c r="N197" s="113"/>
      <c r="O197" s="113"/>
      <c r="P197" s="113"/>
      <c r="Q197" s="113"/>
      <c r="R197" s="242">
        <f>(R100+R102+R103+R104+R105+R106+R107+R108)/-(R109)</f>
        <v>32.134328358208954</v>
      </c>
      <c r="S197" s="116" t="s">
        <v>95</v>
      </c>
      <c r="T197" s="2"/>
    </row>
    <row r="198" spans="1:20" ht="15.6" x14ac:dyDescent="0.3">
      <c r="A198" s="112"/>
      <c r="B198" s="113" t="s">
        <v>186</v>
      </c>
      <c r="C198" s="113"/>
      <c r="D198" s="113"/>
      <c r="E198" s="113"/>
      <c r="F198" s="113"/>
      <c r="G198" s="113"/>
      <c r="H198" s="113"/>
      <c r="I198" s="113"/>
      <c r="J198" s="113"/>
      <c r="K198" s="113"/>
      <c r="L198" s="113"/>
      <c r="M198" s="113"/>
      <c r="N198" s="113"/>
      <c r="O198" s="113"/>
      <c r="P198" s="113"/>
      <c r="Q198" s="113"/>
      <c r="R198" s="241">
        <v>30.42</v>
      </c>
      <c r="S198" s="116" t="s">
        <v>95</v>
      </c>
      <c r="T198" s="2"/>
    </row>
    <row r="199" spans="1:20" ht="15.6" x14ac:dyDescent="0.3">
      <c r="A199" s="112"/>
      <c r="B199" s="113" t="s">
        <v>257</v>
      </c>
      <c r="C199" s="113"/>
      <c r="D199" s="113"/>
      <c r="E199" s="113"/>
      <c r="F199" s="113"/>
      <c r="G199" s="113"/>
      <c r="H199" s="113"/>
      <c r="I199" s="113"/>
      <c r="J199" s="113"/>
      <c r="K199" s="113"/>
      <c r="L199" s="113"/>
      <c r="M199" s="113"/>
      <c r="N199" s="113"/>
      <c r="O199" s="113"/>
      <c r="P199" s="113"/>
      <c r="Q199" s="113"/>
      <c r="R199" s="242">
        <f>(R100+R102+R103+R104+R105+R106+R107+R108+R109+R110+R111+R112+R113+R114)/-(R115)</f>
        <v>43.020833333333336</v>
      </c>
      <c r="S199" s="116" t="s">
        <v>95</v>
      </c>
      <c r="T199" s="2"/>
    </row>
    <row r="200" spans="1:20" ht="15.6" x14ac:dyDescent="0.3">
      <c r="A200" s="112"/>
      <c r="B200" s="113" t="s">
        <v>258</v>
      </c>
      <c r="C200" s="113"/>
      <c r="D200" s="113"/>
      <c r="E200" s="113"/>
      <c r="F200" s="113"/>
      <c r="G200" s="113"/>
      <c r="H200" s="113"/>
      <c r="I200" s="113"/>
      <c r="J200" s="113"/>
      <c r="K200" s="113"/>
      <c r="L200" s="113"/>
      <c r="M200" s="113"/>
      <c r="N200" s="113"/>
      <c r="O200" s="113"/>
      <c r="P200" s="113"/>
      <c r="Q200" s="113"/>
      <c r="R200" s="241">
        <v>40.24</v>
      </c>
      <c r="S200" s="116" t="s">
        <v>95</v>
      </c>
      <c r="T200" s="2"/>
    </row>
    <row r="201" spans="1:20" ht="15.6" x14ac:dyDescent="0.3">
      <c r="A201" s="112"/>
      <c r="B201" s="113"/>
      <c r="C201" s="113"/>
      <c r="D201" s="113"/>
      <c r="E201" s="113"/>
      <c r="F201" s="113"/>
      <c r="G201" s="113"/>
      <c r="H201" s="113"/>
      <c r="I201" s="113"/>
      <c r="J201" s="113"/>
      <c r="K201" s="113"/>
      <c r="L201" s="113"/>
      <c r="M201" s="113"/>
      <c r="N201" s="113"/>
      <c r="O201" s="113"/>
      <c r="P201" s="113"/>
      <c r="Q201" s="113"/>
      <c r="R201" s="113"/>
      <c r="S201" s="116"/>
      <c r="T201" s="2"/>
    </row>
    <row r="202" spans="1:20" ht="15.6" x14ac:dyDescent="0.3">
      <c r="A202" s="12"/>
      <c r="B202" s="163"/>
      <c r="C202" s="163"/>
      <c r="D202" s="163"/>
      <c r="E202" s="163"/>
      <c r="F202" s="163"/>
      <c r="G202" s="163"/>
      <c r="H202" s="163"/>
      <c r="I202" s="163"/>
      <c r="J202" s="163"/>
      <c r="K202" s="163"/>
      <c r="L202" s="163"/>
      <c r="M202" s="163"/>
      <c r="N202" s="163"/>
      <c r="O202" s="163"/>
      <c r="P202" s="163"/>
      <c r="Q202" s="163"/>
      <c r="R202" s="163"/>
      <c r="S202" s="218"/>
      <c r="T202" s="2"/>
    </row>
    <row r="203" spans="1:20" ht="15.6" x14ac:dyDescent="0.3">
      <c r="A203" s="12"/>
      <c r="B203" s="84"/>
      <c r="C203" s="84"/>
      <c r="D203" s="84"/>
      <c r="E203" s="84"/>
      <c r="F203" s="84"/>
      <c r="G203" s="84"/>
      <c r="H203" s="84"/>
      <c r="I203" s="84"/>
      <c r="J203" s="84"/>
      <c r="K203" s="84"/>
      <c r="L203" s="84"/>
      <c r="M203" s="84"/>
      <c r="N203" s="84"/>
      <c r="O203" s="84"/>
      <c r="P203" s="84"/>
      <c r="Q203" s="84"/>
      <c r="R203" s="84"/>
      <c r="S203" s="218"/>
      <c r="T203" s="2"/>
    </row>
    <row r="204" spans="1:20" ht="18" thickBot="1" x14ac:dyDescent="0.35">
      <c r="A204" s="28"/>
      <c r="B204" s="97" t="str">
        <f>B132</f>
        <v>PM22 INVESTOR REPORT QUARTER ENDING FEBRUARY 2016</v>
      </c>
      <c r="C204" s="98"/>
      <c r="D204" s="98"/>
      <c r="E204" s="98"/>
      <c r="F204" s="98"/>
      <c r="G204" s="98"/>
      <c r="H204" s="98"/>
      <c r="I204" s="98"/>
      <c r="J204" s="98"/>
      <c r="K204" s="98"/>
      <c r="L204" s="98"/>
      <c r="M204" s="98"/>
      <c r="N204" s="98"/>
      <c r="O204" s="98"/>
      <c r="P204" s="98"/>
      <c r="Q204" s="98"/>
      <c r="R204" s="98"/>
      <c r="S204" s="99"/>
      <c r="T204" s="2"/>
    </row>
    <row r="205" spans="1:20" ht="15.6" x14ac:dyDescent="0.3">
      <c r="A205" s="65"/>
      <c r="B205" s="66" t="s">
        <v>55</v>
      </c>
      <c r="C205" s="69"/>
      <c r="D205" s="70"/>
      <c r="E205" s="70"/>
      <c r="F205" s="70"/>
      <c r="G205" s="70"/>
      <c r="H205" s="70"/>
      <c r="I205" s="70"/>
      <c r="J205" s="70"/>
      <c r="K205" s="70"/>
      <c r="L205" s="70"/>
      <c r="M205" s="70"/>
      <c r="N205" s="70"/>
      <c r="O205" s="70"/>
      <c r="P205" s="70">
        <v>42429</v>
      </c>
      <c r="Q205" s="67"/>
      <c r="R205" s="67"/>
      <c r="S205" s="223"/>
      <c r="T205" s="2"/>
    </row>
    <row r="206" spans="1:20" ht="15.6" x14ac:dyDescent="0.3">
      <c r="A206" s="48"/>
      <c r="B206" s="49"/>
      <c r="C206" s="50"/>
      <c r="D206" s="51"/>
      <c r="E206" s="51"/>
      <c r="F206" s="51"/>
      <c r="G206" s="51"/>
      <c r="H206" s="51"/>
      <c r="I206" s="51"/>
      <c r="J206" s="51"/>
      <c r="K206" s="51"/>
      <c r="L206" s="51"/>
      <c r="M206" s="51"/>
      <c r="N206" s="51"/>
      <c r="O206" s="51"/>
      <c r="P206" s="51"/>
      <c r="Q206" s="14"/>
      <c r="R206" s="14"/>
      <c r="S206" s="217"/>
      <c r="T206" s="2"/>
    </row>
    <row r="207" spans="1:20" ht="15.6" x14ac:dyDescent="0.3">
      <c r="A207" s="166"/>
      <c r="B207" s="113" t="s">
        <v>56</v>
      </c>
      <c r="C207" s="167"/>
      <c r="D207" s="148"/>
      <c r="E207" s="148"/>
      <c r="F207" s="148"/>
      <c r="G207" s="148"/>
      <c r="H207" s="148"/>
      <c r="I207" s="148"/>
      <c r="J207" s="148"/>
      <c r="K207" s="148"/>
      <c r="L207" s="148"/>
      <c r="M207" s="148"/>
      <c r="N207" s="148"/>
      <c r="O207" s="148"/>
      <c r="P207" s="142">
        <v>4.079E-2</v>
      </c>
      <c r="Q207" s="113"/>
      <c r="R207" s="113"/>
      <c r="S207" s="116"/>
      <c r="T207" s="2"/>
    </row>
    <row r="208" spans="1:20" ht="15.6" x14ac:dyDescent="0.3">
      <c r="A208" s="166"/>
      <c r="B208" s="113" t="s">
        <v>158</v>
      </c>
      <c r="C208" s="167"/>
      <c r="D208" s="148"/>
      <c r="E208" s="148"/>
      <c r="F208" s="148"/>
      <c r="G208" s="148"/>
      <c r="H208" s="148"/>
      <c r="I208" s="148"/>
      <c r="J208" s="148"/>
      <c r="K208" s="148"/>
      <c r="L208" s="148"/>
      <c r="M208" s="148"/>
      <c r="N208" s="148"/>
      <c r="O208" s="148"/>
      <c r="P208" s="142">
        <v>1.5340718167454973E-2</v>
      </c>
      <c r="Q208" s="113"/>
      <c r="R208" s="113"/>
      <c r="S208" s="116"/>
      <c r="T208" s="2"/>
    </row>
    <row r="209" spans="1:20" ht="15.6" x14ac:dyDescent="0.3">
      <c r="A209" s="166"/>
      <c r="B209" s="113" t="s">
        <v>57</v>
      </c>
      <c r="C209" s="167"/>
      <c r="D209" s="148"/>
      <c r="E209" s="148"/>
      <c r="F209" s="148"/>
      <c r="G209" s="148"/>
      <c r="H209" s="148"/>
      <c r="I209" s="148"/>
      <c r="J209" s="148"/>
      <c r="K209" s="148"/>
      <c r="L209" s="148"/>
      <c r="M209" s="148"/>
      <c r="N209" s="148"/>
      <c r="O209" s="148"/>
      <c r="P209" s="210">
        <f>P207-P208</f>
        <v>2.5449281832545027E-2</v>
      </c>
      <c r="Q209" s="113"/>
      <c r="R209" s="113"/>
      <c r="S209" s="116"/>
      <c r="T209" s="2"/>
    </row>
    <row r="210" spans="1:20" ht="15.6" x14ac:dyDescent="0.3">
      <c r="A210" s="166"/>
      <c r="B210" s="113" t="s">
        <v>161</v>
      </c>
      <c r="C210" s="167"/>
      <c r="D210" s="148"/>
      <c r="E210" s="148"/>
      <c r="F210" s="148"/>
      <c r="G210" s="148"/>
      <c r="H210" s="148"/>
      <c r="I210" s="148"/>
      <c r="J210" s="148"/>
      <c r="K210" s="148"/>
      <c r="L210" s="148"/>
      <c r="M210" s="148"/>
      <c r="N210" s="148"/>
      <c r="O210" s="148"/>
      <c r="P210" s="210">
        <v>4.5833800000000001E-2</v>
      </c>
      <c r="Q210" s="113"/>
      <c r="R210" s="113"/>
      <c r="S210" s="116"/>
      <c r="T210" s="2"/>
    </row>
    <row r="211" spans="1:20" ht="15.6" x14ac:dyDescent="0.3">
      <c r="A211" s="166"/>
      <c r="B211" s="113" t="s">
        <v>58</v>
      </c>
      <c r="C211" s="167"/>
      <c r="D211" s="148"/>
      <c r="E211" s="148"/>
      <c r="F211" s="148"/>
      <c r="G211" s="148"/>
      <c r="H211" s="148"/>
      <c r="I211" s="148"/>
      <c r="J211" s="148"/>
      <c r="K211" s="148"/>
      <c r="L211" s="148"/>
      <c r="M211" s="148"/>
      <c r="N211" s="148"/>
      <c r="O211" s="148"/>
      <c r="P211" s="208">
        <v>4.0430000000000001E-2</v>
      </c>
      <c r="Q211" s="113"/>
      <c r="R211" s="113"/>
      <c r="S211" s="116"/>
      <c r="T211" s="2"/>
    </row>
    <row r="212" spans="1:20" ht="15.6" x14ac:dyDescent="0.3">
      <c r="A212" s="166"/>
      <c r="B212" s="113" t="s">
        <v>159</v>
      </c>
      <c r="C212" s="167"/>
      <c r="D212" s="148"/>
      <c r="E212" s="148"/>
      <c r="F212" s="148"/>
      <c r="G212" s="148"/>
      <c r="H212" s="148"/>
      <c r="I212" s="148"/>
      <c r="J212" s="148"/>
      <c r="K212" s="148"/>
      <c r="L212" s="148"/>
      <c r="M212" s="148"/>
      <c r="N212" s="148"/>
      <c r="O212" s="148"/>
      <c r="P212" s="142">
        <f>R40</f>
        <v>1.5652943403506984E-2</v>
      </c>
      <c r="Q212" s="113"/>
      <c r="R212" s="113"/>
      <c r="S212" s="116"/>
      <c r="T212" s="2"/>
    </row>
    <row r="213" spans="1:20" ht="15.6" x14ac:dyDescent="0.3">
      <c r="A213" s="166"/>
      <c r="B213" s="113" t="s">
        <v>59</v>
      </c>
      <c r="C213" s="167"/>
      <c r="D213" s="148"/>
      <c r="E213" s="148"/>
      <c r="F213" s="148"/>
      <c r="G213" s="148"/>
      <c r="H213" s="148"/>
      <c r="I213" s="148"/>
      <c r="J213" s="148"/>
      <c r="K213" s="148"/>
      <c r="L213" s="148"/>
      <c r="M213" s="148"/>
      <c r="N213" s="148"/>
      <c r="O213" s="148"/>
      <c r="P213" s="142">
        <f>P211-P212</f>
        <v>2.4777056596493017E-2</v>
      </c>
      <c r="Q213" s="113"/>
      <c r="R213" s="113"/>
      <c r="S213" s="116"/>
      <c r="T213" s="2"/>
    </row>
    <row r="214" spans="1:20" ht="15.6" x14ac:dyDescent="0.3">
      <c r="A214" s="166"/>
      <c r="B214" s="113" t="s">
        <v>139</v>
      </c>
      <c r="C214" s="167"/>
      <c r="D214" s="148"/>
      <c r="E214" s="148"/>
      <c r="F214" s="148"/>
      <c r="G214" s="148"/>
      <c r="H214" s="148"/>
      <c r="I214" s="148"/>
      <c r="J214" s="148"/>
      <c r="K214" s="148"/>
      <c r="L214" s="148"/>
      <c r="M214" s="148"/>
      <c r="N214" s="148"/>
      <c r="O214" s="148"/>
      <c r="P214" s="142">
        <f>(+R100+R102)/H80</f>
        <v>1.2312396062512266E-2</v>
      </c>
      <c r="Q214" s="113"/>
      <c r="R214" s="113"/>
      <c r="S214" s="116"/>
      <c r="T214" s="2"/>
    </row>
    <row r="215" spans="1:20" ht="15.6" x14ac:dyDescent="0.3">
      <c r="A215" s="166"/>
      <c r="B215" s="113" t="s">
        <v>132</v>
      </c>
      <c r="C215" s="167"/>
      <c r="D215" s="148"/>
      <c r="E215" s="148"/>
      <c r="F215" s="148"/>
      <c r="G215" s="148"/>
      <c r="H215" s="148"/>
      <c r="I215" s="148"/>
      <c r="J215" s="148"/>
      <c r="K215" s="148"/>
      <c r="L215" s="148"/>
      <c r="M215" s="148"/>
      <c r="N215" s="148"/>
      <c r="O215" s="148"/>
      <c r="P215" s="168">
        <v>52124</v>
      </c>
      <c r="Q215" s="113"/>
      <c r="R215" s="113"/>
      <c r="S215" s="116"/>
      <c r="T215" s="2"/>
    </row>
    <row r="216" spans="1:20" ht="15.6" x14ac:dyDescent="0.3">
      <c r="A216" s="166"/>
      <c r="B216" s="113" t="s">
        <v>187</v>
      </c>
      <c r="C216" s="167"/>
      <c r="D216" s="148"/>
      <c r="E216" s="148"/>
      <c r="F216" s="148"/>
      <c r="G216" s="148"/>
      <c r="H216" s="148"/>
      <c r="I216" s="148"/>
      <c r="J216" s="148"/>
      <c r="K216" s="148"/>
      <c r="L216" s="148"/>
      <c r="M216" s="148"/>
      <c r="N216" s="148"/>
      <c r="O216" s="148"/>
      <c r="P216" s="168">
        <v>15599</v>
      </c>
      <c r="Q216" s="113"/>
      <c r="R216" s="113"/>
      <c r="S216" s="116"/>
      <c r="T216" s="2"/>
    </row>
    <row r="217" spans="1:20" ht="15.6" x14ac:dyDescent="0.3">
      <c r="A217" s="166"/>
      <c r="B217" s="113" t="s">
        <v>188</v>
      </c>
      <c r="C217" s="167"/>
      <c r="D217" s="148"/>
      <c r="E217" s="148"/>
      <c r="F217" s="148"/>
      <c r="G217" s="148"/>
      <c r="H217" s="148"/>
      <c r="I217" s="148"/>
      <c r="J217" s="148"/>
      <c r="K217" s="148"/>
      <c r="L217" s="148"/>
      <c r="M217" s="148"/>
      <c r="N217" s="148"/>
      <c r="O217" s="148"/>
      <c r="P217" s="168">
        <v>15599</v>
      </c>
      <c r="Q217" s="113"/>
      <c r="R217" s="113"/>
      <c r="S217" s="116"/>
      <c r="T217" s="2"/>
    </row>
    <row r="218" spans="1:20" ht="15.6" x14ac:dyDescent="0.3">
      <c r="A218" s="166"/>
      <c r="B218" s="113" t="s">
        <v>259</v>
      </c>
      <c r="C218" s="167"/>
      <c r="D218" s="148"/>
      <c r="E218" s="148"/>
      <c r="F218" s="148"/>
      <c r="G218" s="148"/>
      <c r="H218" s="148"/>
      <c r="I218" s="148"/>
      <c r="J218" s="148"/>
      <c r="K218" s="148"/>
      <c r="L218" s="148"/>
      <c r="M218" s="148"/>
      <c r="N218" s="148"/>
      <c r="O218" s="148"/>
      <c r="P218" s="168">
        <v>15599</v>
      </c>
      <c r="Q218" s="113"/>
      <c r="R218" s="113"/>
      <c r="S218" s="116"/>
      <c r="T218" s="2"/>
    </row>
    <row r="219" spans="1:20" ht="15.6" x14ac:dyDescent="0.3">
      <c r="A219" s="166"/>
      <c r="B219" s="113" t="s">
        <v>60</v>
      </c>
      <c r="C219" s="167"/>
      <c r="D219" s="148"/>
      <c r="E219" s="148"/>
      <c r="F219" s="148"/>
      <c r="G219" s="148"/>
      <c r="H219" s="148"/>
      <c r="I219" s="148"/>
      <c r="J219" s="148"/>
      <c r="K219" s="148"/>
      <c r="L219" s="148"/>
      <c r="M219" s="148"/>
      <c r="N219" s="148"/>
      <c r="O219" s="148"/>
      <c r="P219" s="146">
        <v>20.55</v>
      </c>
      <c r="Q219" s="113" t="s">
        <v>90</v>
      </c>
      <c r="R219" s="113"/>
      <c r="S219" s="116"/>
      <c r="T219" s="2"/>
    </row>
    <row r="220" spans="1:20" ht="15.6" x14ac:dyDescent="0.3">
      <c r="A220" s="166"/>
      <c r="B220" s="113" t="s">
        <v>61</v>
      </c>
      <c r="C220" s="167"/>
      <c r="D220" s="148"/>
      <c r="E220" s="148"/>
      <c r="F220" s="148"/>
      <c r="G220" s="148"/>
      <c r="H220" s="148"/>
      <c r="I220" s="148"/>
      <c r="J220" s="148"/>
      <c r="K220" s="148"/>
      <c r="L220" s="148"/>
      <c r="M220" s="148"/>
      <c r="N220" s="148"/>
      <c r="O220" s="148"/>
      <c r="P220" s="209">
        <v>19.739999999999998</v>
      </c>
      <c r="Q220" s="113" t="s">
        <v>90</v>
      </c>
      <c r="R220" s="113"/>
      <c r="S220" s="116"/>
      <c r="T220" s="2"/>
    </row>
    <row r="221" spans="1:20" ht="15.6" x14ac:dyDescent="0.3">
      <c r="A221" s="166"/>
      <c r="B221" s="113" t="s">
        <v>62</v>
      </c>
      <c r="C221" s="167"/>
      <c r="D221" s="148"/>
      <c r="E221" s="148"/>
      <c r="F221" s="148"/>
      <c r="G221" s="148"/>
      <c r="H221" s="148"/>
      <c r="I221" s="148"/>
      <c r="J221" s="148"/>
      <c r="K221" s="148"/>
      <c r="L221" s="148"/>
      <c r="M221" s="148"/>
      <c r="N221" s="148"/>
      <c r="O221" s="148"/>
      <c r="P221" s="142">
        <f>(+J64+L64)/H64</f>
        <v>1.2423821899841155E-2</v>
      </c>
      <c r="Q221" s="113"/>
      <c r="R221" s="113"/>
      <c r="S221" s="116"/>
      <c r="T221" s="2"/>
    </row>
    <row r="222" spans="1:20" ht="15.6" x14ac:dyDescent="0.3">
      <c r="A222" s="166"/>
      <c r="B222" s="113" t="s">
        <v>63</v>
      </c>
      <c r="C222" s="167"/>
      <c r="D222" s="148"/>
      <c r="E222" s="148"/>
      <c r="F222" s="148"/>
      <c r="G222" s="148"/>
      <c r="H222" s="148"/>
      <c r="I222" s="148"/>
      <c r="J222" s="148"/>
      <c r="K222" s="148"/>
      <c r="L222" s="148"/>
      <c r="M222" s="148"/>
      <c r="N222" s="148"/>
      <c r="O222" s="148"/>
      <c r="P222" s="210">
        <v>4.36E-2</v>
      </c>
      <c r="Q222" s="113"/>
      <c r="R222" s="113"/>
      <c r="S222" s="116"/>
      <c r="T222" s="2"/>
    </row>
    <row r="223" spans="1:20" ht="15.6" x14ac:dyDescent="0.3">
      <c r="A223" s="48"/>
      <c r="B223" s="164"/>
      <c r="C223" s="164"/>
      <c r="D223" s="43"/>
      <c r="E223" s="43"/>
      <c r="F223" s="43"/>
      <c r="G223" s="43"/>
      <c r="H223" s="43"/>
      <c r="I223" s="43"/>
      <c r="J223" s="43"/>
      <c r="K223" s="43"/>
      <c r="L223" s="43"/>
      <c r="M223" s="43"/>
      <c r="N223" s="43"/>
      <c r="O223" s="43"/>
      <c r="P223" s="162"/>
      <c r="Q223" s="43"/>
      <c r="R223" s="165"/>
      <c r="S223" s="217"/>
      <c r="T223" s="2"/>
    </row>
    <row r="224" spans="1:20" ht="15.6" x14ac:dyDescent="0.3">
      <c r="A224" s="71"/>
      <c r="B224" s="61" t="s">
        <v>64</v>
      </c>
      <c r="C224" s="62"/>
      <c r="D224" s="62"/>
      <c r="E224" s="62"/>
      <c r="F224" s="62"/>
      <c r="G224" s="62"/>
      <c r="H224" s="62"/>
      <c r="I224" s="62"/>
      <c r="J224" s="62"/>
      <c r="K224" s="62"/>
      <c r="L224" s="62"/>
      <c r="M224" s="62"/>
      <c r="N224" s="62"/>
      <c r="O224" s="62" t="s">
        <v>83</v>
      </c>
      <c r="P224" s="72" t="s">
        <v>88</v>
      </c>
      <c r="Q224" s="54"/>
      <c r="R224" s="54"/>
      <c r="S224" s="219"/>
      <c r="T224" s="2"/>
    </row>
    <row r="225" spans="1:20" ht="15.6" x14ac:dyDescent="0.3">
      <c r="A225" s="52"/>
      <c r="B225" s="79" t="s">
        <v>65</v>
      </c>
      <c r="C225" s="78"/>
      <c r="D225" s="95"/>
      <c r="E225" s="95"/>
      <c r="F225" s="95"/>
      <c r="G225" s="95"/>
      <c r="H225" s="95"/>
      <c r="I225" s="95"/>
      <c r="J225" s="95"/>
      <c r="K225" s="95"/>
      <c r="L225" s="95"/>
      <c r="M225" s="95"/>
      <c r="N225" s="95"/>
      <c r="O225" s="95">
        <v>0</v>
      </c>
      <c r="P225" s="96">
        <v>0</v>
      </c>
      <c r="Q225" s="79"/>
      <c r="R225" s="94"/>
      <c r="S225" s="225"/>
      <c r="T225" s="2"/>
    </row>
    <row r="226" spans="1:20" ht="15.6" x14ac:dyDescent="0.3">
      <c r="A226" s="172"/>
      <c r="B226" s="113" t="s">
        <v>113</v>
      </c>
      <c r="C226" s="155"/>
      <c r="D226" s="123"/>
      <c r="E226" s="123"/>
      <c r="F226" s="123"/>
      <c r="G226" s="123"/>
      <c r="H226" s="123"/>
      <c r="I226" s="123"/>
      <c r="J226" s="123"/>
      <c r="K226" s="123"/>
      <c r="L226" s="123"/>
      <c r="M226" s="123"/>
      <c r="N226" s="123"/>
      <c r="O226" s="173">
        <f>+N278</f>
        <v>0</v>
      </c>
      <c r="P226" s="174">
        <f>+P278</f>
        <v>0</v>
      </c>
      <c r="Q226" s="113"/>
      <c r="R226" s="175"/>
      <c r="S226" s="176"/>
      <c r="T226" s="2"/>
    </row>
    <row r="227" spans="1:20" ht="15.6" x14ac:dyDescent="0.3">
      <c r="A227" s="172"/>
      <c r="B227" s="113" t="s">
        <v>66</v>
      </c>
      <c r="C227" s="155"/>
      <c r="D227" s="123"/>
      <c r="E227" s="123"/>
      <c r="F227" s="123"/>
      <c r="G227" s="123"/>
      <c r="H227" s="123"/>
      <c r="I227" s="123"/>
      <c r="J227" s="123"/>
      <c r="K227" s="123"/>
      <c r="L227" s="123"/>
      <c r="M227" s="123"/>
      <c r="N227" s="123"/>
      <c r="O227" s="173">
        <f>+N290</f>
        <v>0</v>
      </c>
      <c r="P227" s="174">
        <f>+P290</f>
        <v>0</v>
      </c>
      <c r="Q227" s="113"/>
      <c r="R227" s="175"/>
      <c r="S227" s="176"/>
      <c r="T227" s="2"/>
    </row>
    <row r="228" spans="1:20" ht="15.6" x14ac:dyDescent="0.3">
      <c r="A228" s="172"/>
      <c r="B228" s="134" t="s">
        <v>284</v>
      </c>
      <c r="C228" s="177"/>
      <c r="D228" s="135"/>
      <c r="E228" s="135"/>
      <c r="F228" s="135"/>
      <c r="G228" s="135"/>
      <c r="H228" s="135"/>
      <c r="I228" s="135"/>
      <c r="J228" s="135"/>
      <c r="K228" s="135"/>
      <c r="L228" s="135"/>
      <c r="M228" s="135"/>
      <c r="N228" s="135"/>
      <c r="O228" s="113"/>
      <c r="P228" s="174">
        <v>0</v>
      </c>
      <c r="Q228" s="135"/>
      <c r="R228" s="178"/>
      <c r="S228" s="176"/>
      <c r="T228" s="2"/>
    </row>
    <row r="229" spans="1:20" ht="15.6" x14ac:dyDescent="0.3">
      <c r="A229" s="172"/>
      <c r="B229" s="134" t="s">
        <v>140</v>
      </c>
      <c r="C229" s="177"/>
      <c r="D229" s="135"/>
      <c r="E229" s="135"/>
      <c r="F229" s="135"/>
      <c r="G229" s="135"/>
      <c r="H229" s="135"/>
      <c r="I229" s="135"/>
      <c r="J229" s="135"/>
      <c r="K229" s="135"/>
      <c r="L229" s="135"/>
      <c r="M229" s="135"/>
      <c r="N229" s="135"/>
      <c r="O229" s="113"/>
      <c r="P229" s="174">
        <f>-J77</f>
        <v>0</v>
      </c>
      <c r="Q229" s="135"/>
      <c r="R229" s="178"/>
      <c r="S229" s="176"/>
      <c r="T229" s="2"/>
    </row>
    <row r="230" spans="1:20" ht="15.6" x14ac:dyDescent="0.3">
      <c r="A230" s="179"/>
      <c r="B230" s="134" t="s">
        <v>67</v>
      </c>
      <c r="C230" s="180"/>
      <c r="D230" s="135"/>
      <c r="E230" s="135"/>
      <c r="F230" s="135"/>
      <c r="G230" s="135"/>
      <c r="H230" s="135"/>
      <c r="I230" s="135"/>
      <c r="J230" s="135"/>
      <c r="K230" s="135"/>
      <c r="L230" s="135"/>
      <c r="M230" s="135"/>
      <c r="N230" s="135"/>
      <c r="O230" s="113"/>
      <c r="P230" s="174"/>
      <c r="Q230" s="135"/>
      <c r="R230" s="178"/>
      <c r="S230" s="181"/>
      <c r="T230" s="2"/>
    </row>
    <row r="231" spans="1:20" ht="15.6" x14ac:dyDescent="0.3">
      <c r="A231" s="179"/>
      <c r="B231" s="118" t="s">
        <v>68</v>
      </c>
      <c r="C231" s="180"/>
      <c r="D231" s="135"/>
      <c r="E231" s="135"/>
      <c r="F231" s="135"/>
      <c r="G231" s="135"/>
      <c r="H231" s="135"/>
      <c r="I231" s="135"/>
      <c r="J231" s="135"/>
      <c r="K231" s="135"/>
      <c r="L231" s="135"/>
      <c r="M231" s="135"/>
      <c r="N231" s="135"/>
      <c r="O231" s="123"/>
      <c r="P231" s="174">
        <f>R162</f>
        <v>0</v>
      </c>
      <c r="Q231" s="135"/>
      <c r="R231" s="178"/>
      <c r="S231" s="181"/>
      <c r="T231" s="2"/>
    </row>
    <row r="232" spans="1:20" ht="15.6" x14ac:dyDescent="0.3">
      <c r="A232" s="172"/>
      <c r="B232" s="113" t="s">
        <v>69</v>
      </c>
      <c r="C232" s="177"/>
      <c r="D232" s="135"/>
      <c r="E232" s="135"/>
      <c r="F232" s="135"/>
      <c r="G232" s="135"/>
      <c r="H232" s="135"/>
      <c r="I232" s="135"/>
      <c r="J232" s="135"/>
      <c r="K232" s="135"/>
      <c r="L232" s="135"/>
      <c r="M232" s="135"/>
      <c r="N232" s="135"/>
      <c r="O232" s="123"/>
      <c r="P232" s="174">
        <f>+'Nov 15'!P232+P231</f>
        <v>0</v>
      </c>
      <c r="Q232" s="135"/>
      <c r="R232" s="178"/>
      <c r="S232" s="181"/>
      <c r="T232" s="2"/>
    </row>
    <row r="233" spans="1:20" ht="15.6" x14ac:dyDescent="0.3">
      <c r="A233" s="179"/>
      <c r="B233" s="134" t="s">
        <v>151</v>
      </c>
      <c r="C233" s="180"/>
      <c r="D233" s="135"/>
      <c r="E233" s="135"/>
      <c r="F233" s="135"/>
      <c r="G233" s="135"/>
      <c r="H233" s="135"/>
      <c r="I233" s="135"/>
      <c r="J233" s="135"/>
      <c r="K233" s="135"/>
      <c r="L233" s="135"/>
      <c r="M233" s="135"/>
      <c r="N233" s="135"/>
      <c r="O233" s="123"/>
      <c r="P233" s="174"/>
      <c r="Q233" s="135"/>
      <c r="R233" s="178"/>
      <c r="S233" s="181"/>
      <c r="T233" s="2"/>
    </row>
    <row r="234" spans="1:20" ht="15.6" x14ac:dyDescent="0.3">
      <c r="A234" s="179"/>
      <c r="B234" s="113" t="s">
        <v>160</v>
      </c>
      <c r="C234" s="180"/>
      <c r="D234" s="135"/>
      <c r="E234" s="135"/>
      <c r="F234" s="135"/>
      <c r="G234" s="135"/>
      <c r="H234" s="135"/>
      <c r="I234" s="135"/>
      <c r="J234" s="135"/>
      <c r="K234" s="135"/>
      <c r="L234" s="135"/>
      <c r="M234" s="135"/>
      <c r="N234" s="135"/>
      <c r="O234" s="123">
        <v>0</v>
      </c>
      <c r="P234" s="174">
        <v>0</v>
      </c>
      <c r="Q234" s="135"/>
      <c r="R234" s="178"/>
      <c r="S234" s="181"/>
      <c r="T234" s="2"/>
    </row>
    <row r="235" spans="1:20" ht="15.6" x14ac:dyDescent="0.3">
      <c r="A235" s="172"/>
      <c r="B235" s="113" t="s">
        <v>70</v>
      </c>
      <c r="C235" s="182"/>
      <c r="D235" s="135"/>
      <c r="E235" s="135"/>
      <c r="F235" s="135"/>
      <c r="G235" s="135"/>
      <c r="H235" s="135"/>
      <c r="I235" s="135"/>
      <c r="J235" s="135"/>
      <c r="K235" s="135"/>
      <c r="L235" s="135"/>
      <c r="M235" s="135"/>
      <c r="N235" s="135"/>
      <c r="O235" s="113"/>
      <c r="P235" s="183">
        <v>0</v>
      </c>
      <c r="Q235" s="135"/>
      <c r="R235" s="178"/>
      <c r="S235" s="181"/>
      <c r="T235" s="2"/>
    </row>
    <row r="236" spans="1:20" ht="15.6" x14ac:dyDescent="0.3">
      <c r="A236" s="172"/>
      <c r="B236" s="113" t="s">
        <v>71</v>
      </c>
      <c r="C236" s="182"/>
      <c r="D236" s="135"/>
      <c r="E236" s="135"/>
      <c r="F236" s="135"/>
      <c r="G236" s="135"/>
      <c r="H236" s="135"/>
      <c r="I236" s="135"/>
      <c r="J236" s="135"/>
      <c r="K236" s="135"/>
      <c r="L236" s="135"/>
      <c r="M236" s="135"/>
      <c r="N236" s="135"/>
      <c r="O236" s="113"/>
      <c r="P236" s="183">
        <v>0</v>
      </c>
      <c r="Q236" s="135"/>
      <c r="R236" s="178"/>
      <c r="S236" s="181"/>
      <c r="T236" s="2"/>
    </row>
    <row r="237" spans="1:20" ht="15.6" x14ac:dyDescent="0.3">
      <c r="A237" s="172"/>
      <c r="B237" s="134" t="s">
        <v>136</v>
      </c>
      <c r="C237" s="182"/>
      <c r="D237" s="135"/>
      <c r="E237" s="135"/>
      <c r="F237" s="135"/>
      <c r="G237" s="135"/>
      <c r="H237" s="135"/>
      <c r="I237" s="135"/>
      <c r="J237" s="135"/>
      <c r="K237" s="135"/>
      <c r="L237" s="135"/>
      <c r="M237" s="135"/>
      <c r="N237" s="135"/>
      <c r="O237" s="113"/>
      <c r="P237" s="184"/>
      <c r="Q237" s="135"/>
      <c r="R237" s="178"/>
      <c r="S237" s="181"/>
      <c r="T237" s="2"/>
    </row>
    <row r="238" spans="1:20" ht="15.6" x14ac:dyDescent="0.3">
      <c r="A238" s="172"/>
      <c r="B238" s="113" t="s">
        <v>160</v>
      </c>
      <c r="C238" s="182"/>
      <c r="D238" s="135"/>
      <c r="E238" s="135"/>
      <c r="F238" s="135"/>
      <c r="G238" s="135"/>
      <c r="H238" s="135"/>
      <c r="I238" s="135"/>
      <c r="J238" s="135"/>
      <c r="K238" s="135"/>
      <c r="L238" s="135"/>
      <c r="M238" s="135"/>
      <c r="N238" s="135"/>
      <c r="O238" s="123">
        <v>0</v>
      </c>
      <c r="P238" s="174">
        <v>0</v>
      </c>
      <c r="Q238" s="135"/>
      <c r="R238" s="178"/>
      <c r="S238" s="181"/>
      <c r="T238" s="2"/>
    </row>
    <row r="239" spans="1:20" ht="15.6" x14ac:dyDescent="0.3">
      <c r="A239" s="172"/>
      <c r="B239" s="113" t="s">
        <v>137</v>
      </c>
      <c r="C239" s="182"/>
      <c r="D239" s="135"/>
      <c r="E239" s="135"/>
      <c r="F239" s="135"/>
      <c r="G239" s="135"/>
      <c r="H239" s="135"/>
      <c r="I239" s="135"/>
      <c r="J239" s="135"/>
      <c r="K239" s="135"/>
      <c r="L239" s="135"/>
      <c r="M239" s="135"/>
      <c r="N239" s="135"/>
      <c r="O239" s="113"/>
      <c r="P239" s="183">
        <v>0</v>
      </c>
      <c r="Q239" s="135"/>
      <c r="R239" s="178"/>
      <c r="S239" s="181"/>
      <c r="T239" s="2"/>
    </row>
    <row r="240" spans="1:20" ht="15.6" x14ac:dyDescent="0.3">
      <c r="A240" s="172"/>
      <c r="B240" s="180"/>
      <c r="C240" s="182"/>
      <c r="D240" s="135"/>
      <c r="E240" s="135"/>
      <c r="F240" s="135"/>
      <c r="G240" s="135"/>
      <c r="H240" s="135"/>
      <c r="I240" s="135"/>
      <c r="J240" s="135"/>
      <c r="K240" s="135"/>
      <c r="L240" s="135"/>
      <c r="M240" s="135"/>
      <c r="N240" s="135"/>
      <c r="O240" s="113"/>
      <c r="P240" s="184"/>
      <c r="Q240" s="135"/>
      <c r="R240" s="178"/>
      <c r="S240" s="181"/>
      <c r="T240" s="2"/>
    </row>
    <row r="241" spans="1:20" ht="15.6" x14ac:dyDescent="0.3">
      <c r="A241" s="172"/>
      <c r="B241" s="180"/>
      <c r="C241" s="182"/>
      <c r="D241" s="135"/>
      <c r="E241" s="135"/>
      <c r="F241" s="135"/>
      <c r="G241" s="135"/>
      <c r="H241" s="135"/>
      <c r="I241" s="135"/>
      <c r="J241" s="135"/>
      <c r="K241" s="135"/>
      <c r="L241" s="135"/>
      <c r="M241" s="135"/>
      <c r="N241" s="135"/>
      <c r="O241" s="135"/>
      <c r="P241" s="185"/>
      <c r="Q241" s="135"/>
      <c r="R241" s="178"/>
      <c r="S241" s="181"/>
      <c r="T241" s="2"/>
    </row>
    <row r="242" spans="1:20" ht="17.399999999999999" x14ac:dyDescent="0.3">
      <c r="A242" s="172"/>
      <c r="B242" s="186" t="s">
        <v>129</v>
      </c>
      <c r="C242" s="182"/>
      <c r="D242" s="135"/>
      <c r="E242" s="135"/>
      <c r="F242" s="135"/>
      <c r="G242" s="135"/>
      <c r="H242" s="135"/>
      <c r="I242" s="135"/>
      <c r="J242" s="135"/>
      <c r="K242" s="135"/>
      <c r="L242" s="187"/>
      <c r="M242" s="135"/>
      <c r="N242" s="187" t="s">
        <v>128</v>
      </c>
      <c r="O242" s="187"/>
      <c r="P242" s="185"/>
      <c r="Q242" s="135"/>
      <c r="R242" s="178"/>
      <c r="S242" s="181"/>
      <c r="T242" s="2"/>
    </row>
    <row r="243" spans="1:20" ht="17.399999999999999" x14ac:dyDescent="0.3">
      <c r="A243" s="169"/>
      <c r="B243" s="199"/>
      <c r="C243" s="170"/>
      <c r="D243" s="43"/>
      <c r="E243" s="43"/>
      <c r="F243" s="43"/>
      <c r="G243" s="43"/>
      <c r="H243" s="43"/>
      <c r="I243" s="43"/>
      <c r="J243" s="43"/>
      <c r="K243" s="43"/>
      <c r="L243" s="200"/>
      <c r="M243" s="43"/>
      <c r="N243" s="43"/>
      <c r="O243" s="43"/>
      <c r="P243" s="171"/>
      <c r="Q243" s="43"/>
      <c r="R243" s="165"/>
      <c r="S243" s="226"/>
      <c r="T243" s="2"/>
    </row>
    <row r="244" spans="1:20" ht="15.6" x14ac:dyDescent="0.3">
      <c r="A244" s="53"/>
      <c r="B244" s="61" t="s">
        <v>152</v>
      </c>
      <c r="C244" s="62"/>
      <c r="D244" s="62"/>
      <c r="E244" s="62"/>
      <c r="F244" s="62"/>
      <c r="G244" s="62"/>
      <c r="H244" s="62"/>
      <c r="I244" s="62"/>
      <c r="J244" s="62"/>
      <c r="K244" s="62"/>
      <c r="L244" s="62"/>
      <c r="M244" s="62"/>
      <c r="N244" s="72" t="s">
        <v>83</v>
      </c>
      <c r="O244" s="62" t="s">
        <v>84</v>
      </c>
      <c r="P244" s="72" t="s">
        <v>89</v>
      </c>
      <c r="Q244" s="62" t="s">
        <v>84</v>
      </c>
      <c r="R244" s="54"/>
      <c r="S244" s="227"/>
      <c r="T244" s="2"/>
    </row>
    <row r="245" spans="1:20" ht="15.6" x14ac:dyDescent="0.3">
      <c r="A245" s="24"/>
      <c r="B245" s="78" t="s">
        <v>72</v>
      </c>
      <c r="C245" s="93"/>
      <c r="D245" s="93"/>
      <c r="E245" s="93"/>
      <c r="F245" s="93"/>
      <c r="G245" s="93"/>
      <c r="H245" s="93"/>
      <c r="I245" s="93"/>
      <c r="J245" s="93"/>
      <c r="K245" s="93"/>
      <c r="L245" s="93"/>
      <c r="M245" s="93"/>
      <c r="N245" s="78">
        <f>+N257+N269+N281</f>
        <v>1794</v>
      </c>
      <c r="O245" s="81">
        <f>N245/$N$254</f>
        <v>1</v>
      </c>
      <c r="P245" s="82">
        <f t="shared" ref="P245:P252" si="5">+P257+P269+P281</f>
        <v>285441</v>
      </c>
      <c r="Q245" s="81">
        <f t="shared" ref="Q245:Q252" si="6">P245/$P$254</f>
        <v>1</v>
      </c>
      <c r="R245" s="94"/>
      <c r="S245" s="228"/>
      <c r="T245" s="2"/>
    </row>
    <row r="246" spans="1:20" ht="15.6" x14ac:dyDescent="0.3">
      <c r="A246" s="112"/>
      <c r="B246" s="155" t="s">
        <v>73</v>
      </c>
      <c r="C246" s="191"/>
      <c r="D246" s="191"/>
      <c r="E246" s="191"/>
      <c r="F246" s="191"/>
      <c r="G246" s="191"/>
      <c r="H246" s="191"/>
      <c r="I246" s="191"/>
      <c r="J246" s="191"/>
      <c r="K246" s="191"/>
      <c r="L246" s="191"/>
      <c r="M246" s="191"/>
      <c r="N246" s="155">
        <f t="shared" ref="N246:N252" si="7">+N258+N270+N282</f>
        <v>0</v>
      </c>
      <c r="O246" s="192">
        <f t="shared" ref="O246:O252" si="8">N246/$N$254</f>
        <v>0</v>
      </c>
      <c r="P246" s="156">
        <f t="shared" si="5"/>
        <v>0</v>
      </c>
      <c r="Q246" s="192">
        <f t="shared" si="6"/>
        <v>0</v>
      </c>
      <c r="R246" s="175"/>
      <c r="S246" s="193"/>
      <c r="T246" s="2"/>
    </row>
    <row r="247" spans="1:20" ht="15.6" x14ac:dyDescent="0.3">
      <c r="A247" s="112"/>
      <c r="B247" s="155" t="s">
        <v>74</v>
      </c>
      <c r="C247" s="191"/>
      <c r="D247" s="191"/>
      <c r="E247" s="191"/>
      <c r="F247" s="191"/>
      <c r="G247" s="191"/>
      <c r="H247" s="191"/>
      <c r="I247" s="191"/>
      <c r="J247" s="191"/>
      <c r="K247" s="191"/>
      <c r="L247" s="191"/>
      <c r="M247" s="191"/>
      <c r="N247" s="155">
        <f t="shared" si="7"/>
        <v>0</v>
      </c>
      <c r="O247" s="192">
        <f t="shared" si="8"/>
        <v>0</v>
      </c>
      <c r="P247" s="156">
        <f t="shared" si="5"/>
        <v>0</v>
      </c>
      <c r="Q247" s="192">
        <f t="shared" si="6"/>
        <v>0</v>
      </c>
      <c r="R247" s="175"/>
      <c r="S247" s="193"/>
      <c r="T247" s="2"/>
    </row>
    <row r="248" spans="1:20" ht="15.6" x14ac:dyDescent="0.3">
      <c r="A248" s="112"/>
      <c r="B248" s="155" t="s">
        <v>119</v>
      </c>
      <c r="C248" s="191"/>
      <c r="D248" s="191"/>
      <c r="E248" s="191"/>
      <c r="F248" s="191"/>
      <c r="G248" s="191"/>
      <c r="H248" s="191"/>
      <c r="I248" s="191"/>
      <c r="J248" s="191"/>
      <c r="K248" s="191"/>
      <c r="L248" s="191"/>
      <c r="M248" s="191"/>
      <c r="N248" s="155">
        <f t="shared" si="7"/>
        <v>0</v>
      </c>
      <c r="O248" s="192">
        <f t="shared" si="8"/>
        <v>0</v>
      </c>
      <c r="P248" s="156">
        <f t="shared" si="5"/>
        <v>0</v>
      </c>
      <c r="Q248" s="192">
        <f t="shared" si="6"/>
        <v>0</v>
      </c>
      <c r="R248" s="175"/>
      <c r="S248" s="193"/>
      <c r="T248" s="2"/>
    </row>
    <row r="249" spans="1:20" ht="15.6" x14ac:dyDescent="0.3">
      <c r="A249" s="112"/>
      <c r="B249" s="155" t="s">
        <v>120</v>
      </c>
      <c r="C249" s="191"/>
      <c r="D249" s="191"/>
      <c r="E249" s="191"/>
      <c r="F249" s="191"/>
      <c r="G249" s="191"/>
      <c r="H249" s="191"/>
      <c r="I249" s="191"/>
      <c r="J249" s="191"/>
      <c r="K249" s="191"/>
      <c r="L249" s="191"/>
      <c r="M249" s="191"/>
      <c r="N249" s="155">
        <f t="shared" si="7"/>
        <v>0</v>
      </c>
      <c r="O249" s="192">
        <f t="shared" si="8"/>
        <v>0</v>
      </c>
      <c r="P249" s="156">
        <f t="shared" si="5"/>
        <v>0</v>
      </c>
      <c r="Q249" s="192">
        <f t="shared" si="6"/>
        <v>0</v>
      </c>
      <c r="R249" s="175"/>
      <c r="S249" s="193"/>
      <c r="T249" s="2"/>
    </row>
    <row r="250" spans="1:20" ht="15.6" x14ac:dyDescent="0.3">
      <c r="A250" s="112"/>
      <c r="B250" s="155" t="s">
        <v>121</v>
      </c>
      <c r="C250" s="191"/>
      <c r="D250" s="191"/>
      <c r="E250" s="191"/>
      <c r="F250" s="191"/>
      <c r="G250" s="191"/>
      <c r="H250" s="191"/>
      <c r="I250" s="191"/>
      <c r="J250" s="191"/>
      <c r="K250" s="191"/>
      <c r="L250" s="191"/>
      <c r="M250" s="191"/>
      <c r="N250" s="155">
        <f t="shared" si="7"/>
        <v>0</v>
      </c>
      <c r="O250" s="192">
        <f t="shared" si="8"/>
        <v>0</v>
      </c>
      <c r="P250" s="156">
        <f t="shared" si="5"/>
        <v>0</v>
      </c>
      <c r="Q250" s="192">
        <f t="shared" si="6"/>
        <v>0</v>
      </c>
      <c r="R250" s="175"/>
      <c r="S250" s="193"/>
      <c r="T250" s="2"/>
    </row>
    <row r="251" spans="1:20" ht="15.6" x14ac:dyDescent="0.3">
      <c r="A251" s="112"/>
      <c r="B251" s="155" t="s">
        <v>122</v>
      </c>
      <c r="C251" s="191"/>
      <c r="D251" s="191"/>
      <c r="E251" s="191"/>
      <c r="F251" s="191"/>
      <c r="G251" s="191"/>
      <c r="H251" s="191"/>
      <c r="I251" s="191"/>
      <c r="J251" s="191"/>
      <c r="K251" s="191"/>
      <c r="L251" s="191"/>
      <c r="M251" s="191"/>
      <c r="N251" s="155">
        <f t="shared" si="7"/>
        <v>0</v>
      </c>
      <c r="O251" s="192">
        <f t="shared" si="8"/>
        <v>0</v>
      </c>
      <c r="P251" s="156">
        <f t="shared" si="5"/>
        <v>0</v>
      </c>
      <c r="Q251" s="192">
        <f t="shared" si="6"/>
        <v>0</v>
      </c>
      <c r="R251" s="175"/>
      <c r="S251" s="193"/>
      <c r="T251" s="2"/>
    </row>
    <row r="252" spans="1:20" ht="15.6" x14ac:dyDescent="0.3">
      <c r="A252" s="112"/>
      <c r="B252" s="155" t="s">
        <v>123</v>
      </c>
      <c r="C252" s="191"/>
      <c r="D252" s="191"/>
      <c r="E252" s="191"/>
      <c r="F252" s="191"/>
      <c r="G252" s="191"/>
      <c r="H252" s="191"/>
      <c r="I252" s="191"/>
      <c r="J252" s="191"/>
      <c r="K252" s="191"/>
      <c r="L252" s="191"/>
      <c r="M252" s="191"/>
      <c r="N252" s="155">
        <f t="shared" si="7"/>
        <v>0</v>
      </c>
      <c r="O252" s="192">
        <f t="shared" si="8"/>
        <v>0</v>
      </c>
      <c r="P252" s="156">
        <f t="shared" si="5"/>
        <v>0</v>
      </c>
      <c r="Q252" s="192">
        <f t="shared" si="6"/>
        <v>0</v>
      </c>
      <c r="R252" s="175"/>
      <c r="S252" s="193"/>
      <c r="T252" s="2"/>
    </row>
    <row r="253" spans="1:20" ht="15.6" x14ac:dyDescent="0.3">
      <c r="A253" s="112"/>
      <c r="B253" s="155"/>
      <c r="C253" s="191"/>
      <c r="D253" s="191"/>
      <c r="E253" s="191"/>
      <c r="F253" s="191"/>
      <c r="G253" s="191"/>
      <c r="H253" s="191"/>
      <c r="I253" s="191"/>
      <c r="J253" s="191"/>
      <c r="K253" s="191"/>
      <c r="L253" s="191"/>
      <c r="M253" s="191"/>
      <c r="N253" s="155"/>
      <c r="O253" s="192"/>
      <c r="P253" s="156"/>
      <c r="Q253" s="192"/>
      <c r="R253" s="175"/>
      <c r="S253" s="193"/>
      <c r="T253" s="2"/>
    </row>
    <row r="254" spans="1:20" ht="15.6" x14ac:dyDescent="0.3">
      <c r="A254" s="112"/>
      <c r="B254" s="113" t="s">
        <v>94</v>
      </c>
      <c r="C254" s="113"/>
      <c r="D254" s="194"/>
      <c r="E254" s="194"/>
      <c r="F254" s="194"/>
      <c r="G254" s="194"/>
      <c r="H254" s="194"/>
      <c r="I254" s="194"/>
      <c r="J254" s="194"/>
      <c r="K254" s="194"/>
      <c r="L254" s="194"/>
      <c r="M254" s="194"/>
      <c r="N254" s="155">
        <f>SUM(N245:N253)</f>
        <v>1794</v>
      </c>
      <c r="O254" s="192">
        <f>SUM(O245:O253)</f>
        <v>1</v>
      </c>
      <c r="P254" s="156">
        <f>SUM(P245:P253)</f>
        <v>285441</v>
      </c>
      <c r="Q254" s="192">
        <f>SUM(Q245:Q253)</f>
        <v>1</v>
      </c>
      <c r="R254" s="113"/>
      <c r="S254" s="116"/>
      <c r="T254" s="2"/>
    </row>
    <row r="255" spans="1:20" ht="15.6" x14ac:dyDescent="0.3">
      <c r="A255" s="12"/>
      <c r="B255" s="164"/>
      <c r="C255" s="170"/>
      <c r="D255" s="43"/>
      <c r="E255" s="43"/>
      <c r="F255" s="43"/>
      <c r="G255" s="43"/>
      <c r="H255" s="43"/>
      <c r="I255" s="43"/>
      <c r="J255" s="43"/>
      <c r="K255" s="43"/>
      <c r="L255" s="43"/>
      <c r="M255" s="43"/>
      <c r="N255" s="43"/>
      <c r="O255" s="43"/>
      <c r="P255" s="171"/>
      <c r="Q255" s="43"/>
      <c r="R255" s="43"/>
      <c r="S255" s="217"/>
      <c r="T255" s="2"/>
    </row>
    <row r="256" spans="1:20" ht="15.6" x14ac:dyDescent="0.3">
      <c r="A256" s="53"/>
      <c r="B256" s="61" t="s">
        <v>124</v>
      </c>
      <c r="C256" s="62"/>
      <c r="D256" s="62"/>
      <c r="E256" s="62"/>
      <c r="F256" s="62"/>
      <c r="G256" s="62"/>
      <c r="H256" s="62"/>
      <c r="I256" s="62"/>
      <c r="J256" s="62"/>
      <c r="K256" s="62"/>
      <c r="L256" s="62"/>
      <c r="M256" s="62"/>
      <c r="N256" s="72" t="s">
        <v>83</v>
      </c>
      <c r="O256" s="62" t="s">
        <v>84</v>
      </c>
      <c r="P256" s="72" t="s">
        <v>89</v>
      </c>
      <c r="Q256" s="62" t="s">
        <v>84</v>
      </c>
      <c r="R256" s="54"/>
      <c r="S256" s="227"/>
      <c r="T256" s="2"/>
    </row>
    <row r="257" spans="1:21" ht="15.6" x14ac:dyDescent="0.3">
      <c r="A257" s="24"/>
      <c r="B257" s="78" t="s">
        <v>72</v>
      </c>
      <c r="C257" s="93"/>
      <c r="D257" s="93"/>
      <c r="E257" s="93"/>
      <c r="F257" s="93"/>
      <c r="G257" s="93"/>
      <c r="H257" s="93"/>
      <c r="I257" s="93"/>
      <c r="J257" s="93"/>
      <c r="K257" s="93"/>
      <c r="L257" s="93"/>
      <c r="M257" s="93"/>
      <c r="N257" s="78">
        <v>1794</v>
      </c>
      <c r="O257" s="81">
        <f>N257/$N$266</f>
        <v>1</v>
      </c>
      <c r="P257" s="82">
        <v>285441</v>
      </c>
      <c r="Q257" s="81">
        <f>P257/$P$266</f>
        <v>1</v>
      </c>
      <c r="R257" s="94"/>
      <c r="S257" s="228"/>
      <c r="T257" s="2"/>
    </row>
    <row r="258" spans="1:21" ht="15.6" x14ac:dyDescent="0.3">
      <c r="A258" s="112"/>
      <c r="B258" s="155" t="s">
        <v>73</v>
      </c>
      <c r="C258" s="191"/>
      <c r="D258" s="191"/>
      <c r="E258" s="191"/>
      <c r="F258" s="191"/>
      <c r="G258" s="191"/>
      <c r="H258" s="191"/>
      <c r="I258" s="191"/>
      <c r="J258" s="191"/>
      <c r="K258" s="191"/>
      <c r="L258" s="191"/>
      <c r="M258" s="191"/>
      <c r="N258" s="155">
        <v>0</v>
      </c>
      <c r="O258" s="192">
        <f t="shared" ref="O258:O264" si="9">N258/$N$266</f>
        <v>0</v>
      </c>
      <c r="P258" s="156">
        <v>0</v>
      </c>
      <c r="Q258" s="192">
        <f t="shared" ref="Q258:Q264" si="10">P258/$P$266</f>
        <v>0</v>
      </c>
      <c r="R258" s="175"/>
      <c r="S258" s="193"/>
      <c r="T258" s="2"/>
      <c r="U258" s="4"/>
    </row>
    <row r="259" spans="1:21" ht="15.6" x14ac:dyDescent="0.3">
      <c r="A259" s="112"/>
      <c r="B259" s="155" t="s">
        <v>74</v>
      </c>
      <c r="C259" s="191"/>
      <c r="D259" s="191"/>
      <c r="E259" s="191"/>
      <c r="F259" s="191"/>
      <c r="G259" s="191"/>
      <c r="H259" s="191"/>
      <c r="I259" s="191"/>
      <c r="J259" s="191"/>
      <c r="K259" s="191"/>
      <c r="L259" s="191"/>
      <c r="M259" s="191"/>
      <c r="N259" s="155">
        <v>0</v>
      </c>
      <c r="O259" s="192">
        <f t="shared" si="9"/>
        <v>0</v>
      </c>
      <c r="P259" s="156">
        <v>0</v>
      </c>
      <c r="Q259" s="192">
        <f t="shared" si="10"/>
        <v>0</v>
      </c>
      <c r="R259" s="175"/>
      <c r="S259" s="193"/>
      <c r="T259" s="2"/>
    </row>
    <row r="260" spans="1:21" ht="15.6" x14ac:dyDescent="0.3">
      <c r="A260" s="112"/>
      <c r="B260" s="155" t="s">
        <v>119</v>
      </c>
      <c r="C260" s="191"/>
      <c r="D260" s="191"/>
      <c r="E260" s="191"/>
      <c r="F260" s="191"/>
      <c r="G260" s="191"/>
      <c r="H260" s="191"/>
      <c r="I260" s="191"/>
      <c r="J260" s="191"/>
      <c r="K260" s="191"/>
      <c r="L260" s="191"/>
      <c r="M260" s="191"/>
      <c r="N260" s="155">
        <v>0</v>
      </c>
      <c r="O260" s="192">
        <f t="shared" si="9"/>
        <v>0</v>
      </c>
      <c r="P260" s="156">
        <v>0</v>
      </c>
      <c r="Q260" s="192">
        <f t="shared" si="10"/>
        <v>0</v>
      </c>
      <c r="R260" s="175"/>
      <c r="S260" s="193"/>
      <c r="T260" s="2"/>
      <c r="U260" s="4"/>
    </row>
    <row r="261" spans="1:21" ht="15.6" x14ac:dyDescent="0.3">
      <c r="A261" s="112"/>
      <c r="B261" s="155" t="s">
        <v>120</v>
      </c>
      <c r="C261" s="191"/>
      <c r="D261" s="191"/>
      <c r="E261" s="191"/>
      <c r="F261" s="191"/>
      <c r="G261" s="191"/>
      <c r="H261" s="191"/>
      <c r="I261" s="191"/>
      <c r="J261" s="191"/>
      <c r="K261" s="191"/>
      <c r="L261" s="191"/>
      <c r="M261" s="191"/>
      <c r="N261" s="155">
        <v>0</v>
      </c>
      <c r="O261" s="192">
        <f t="shared" si="9"/>
        <v>0</v>
      </c>
      <c r="P261" s="156">
        <v>0</v>
      </c>
      <c r="Q261" s="192">
        <f t="shared" si="10"/>
        <v>0</v>
      </c>
      <c r="R261" s="175"/>
      <c r="S261" s="193"/>
      <c r="T261" s="2"/>
    </row>
    <row r="262" spans="1:21" ht="15.6" x14ac:dyDescent="0.3">
      <c r="A262" s="112"/>
      <c r="B262" s="155" t="s">
        <v>121</v>
      </c>
      <c r="C262" s="191"/>
      <c r="D262" s="191"/>
      <c r="E262" s="191"/>
      <c r="F262" s="191"/>
      <c r="G262" s="191"/>
      <c r="H262" s="191"/>
      <c r="I262" s="191"/>
      <c r="J262" s="191"/>
      <c r="K262" s="191"/>
      <c r="L262" s="191"/>
      <c r="M262" s="191"/>
      <c r="N262" s="155">
        <v>0</v>
      </c>
      <c r="O262" s="192">
        <f t="shared" si="9"/>
        <v>0</v>
      </c>
      <c r="P262" s="156">
        <v>0</v>
      </c>
      <c r="Q262" s="192">
        <f t="shared" si="10"/>
        <v>0</v>
      </c>
      <c r="R262" s="175"/>
      <c r="S262" s="193"/>
      <c r="T262" s="2"/>
      <c r="U262" s="4"/>
    </row>
    <row r="263" spans="1:21" ht="15.6" x14ac:dyDescent="0.3">
      <c r="A263" s="112"/>
      <c r="B263" s="155" t="s">
        <v>122</v>
      </c>
      <c r="C263" s="191"/>
      <c r="D263" s="191"/>
      <c r="E263" s="191"/>
      <c r="F263" s="191"/>
      <c r="G263" s="191"/>
      <c r="H263" s="191"/>
      <c r="I263" s="191"/>
      <c r="J263" s="191"/>
      <c r="K263" s="191"/>
      <c r="L263" s="191"/>
      <c r="M263" s="191"/>
      <c r="N263" s="155">
        <v>0</v>
      </c>
      <c r="O263" s="192">
        <f t="shared" si="9"/>
        <v>0</v>
      </c>
      <c r="P263" s="156">
        <v>0</v>
      </c>
      <c r="Q263" s="192">
        <f t="shared" si="10"/>
        <v>0</v>
      </c>
      <c r="R263" s="175"/>
      <c r="S263" s="193"/>
      <c r="T263" s="2"/>
    </row>
    <row r="264" spans="1:21" ht="15.6" x14ac:dyDescent="0.3">
      <c r="A264" s="112"/>
      <c r="B264" s="155" t="s">
        <v>123</v>
      </c>
      <c r="C264" s="191"/>
      <c r="D264" s="191"/>
      <c r="E264" s="191"/>
      <c r="F264" s="191"/>
      <c r="G264" s="191"/>
      <c r="H264" s="191"/>
      <c r="I264" s="191"/>
      <c r="J264" s="191"/>
      <c r="K264" s="191"/>
      <c r="L264" s="191"/>
      <c r="M264" s="191"/>
      <c r="N264" s="155">
        <v>0</v>
      </c>
      <c r="O264" s="192">
        <f t="shared" si="9"/>
        <v>0</v>
      </c>
      <c r="P264" s="156">
        <v>0</v>
      </c>
      <c r="Q264" s="192">
        <f t="shared" si="10"/>
        <v>0</v>
      </c>
      <c r="R264" s="175"/>
      <c r="S264" s="193"/>
      <c r="T264" s="2"/>
      <c r="U264" s="4"/>
    </row>
    <row r="265" spans="1:21" ht="15.6" x14ac:dyDescent="0.3">
      <c r="A265" s="112"/>
      <c r="B265" s="155"/>
      <c r="C265" s="191"/>
      <c r="D265" s="191"/>
      <c r="E265" s="191"/>
      <c r="F265" s="191"/>
      <c r="G265" s="191"/>
      <c r="H265" s="191"/>
      <c r="I265" s="191"/>
      <c r="J265" s="191"/>
      <c r="K265" s="191"/>
      <c r="L265" s="191"/>
      <c r="M265" s="191"/>
      <c r="N265" s="155"/>
      <c r="O265" s="192"/>
      <c r="P265" s="156"/>
      <c r="Q265" s="192"/>
      <c r="R265" s="175"/>
      <c r="S265" s="193"/>
      <c r="T265" s="2"/>
    </row>
    <row r="266" spans="1:21" ht="15.6" x14ac:dyDescent="0.3">
      <c r="A266" s="112"/>
      <c r="B266" s="113" t="s">
        <v>94</v>
      </c>
      <c r="C266" s="113"/>
      <c r="D266" s="194"/>
      <c r="E266" s="194"/>
      <c r="F266" s="194"/>
      <c r="G266" s="194"/>
      <c r="H266" s="194"/>
      <c r="I266" s="194"/>
      <c r="J266" s="194"/>
      <c r="K266" s="194"/>
      <c r="L266" s="194"/>
      <c r="M266" s="194"/>
      <c r="N266" s="155">
        <f>SUM(N257:N265)</f>
        <v>1794</v>
      </c>
      <c r="O266" s="192">
        <f>SUM(O257:O265)</f>
        <v>1</v>
      </c>
      <c r="P266" s="156">
        <f>SUM(P257:P265)</f>
        <v>285441</v>
      </c>
      <c r="Q266" s="192">
        <f>SUM(Q257:Q265)</f>
        <v>1</v>
      </c>
      <c r="R266" s="113"/>
      <c r="S266" s="116"/>
      <c r="T266" s="2"/>
    </row>
    <row r="267" spans="1:21" ht="15.6" x14ac:dyDescent="0.3">
      <c r="A267" s="12"/>
      <c r="B267" s="43"/>
      <c r="C267" s="43"/>
      <c r="D267" s="188"/>
      <c r="E267" s="188"/>
      <c r="F267" s="188"/>
      <c r="G267" s="188"/>
      <c r="H267" s="188"/>
      <c r="I267" s="188"/>
      <c r="J267" s="188"/>
      <c r="K267" s="188"/>
      <c r="L267" s="188"/>
      <c r="M267" s="188"/>
      <c r="N267" s="153"/>
      <c r="O267" s="189"/>
      <c r="P267" s="190"/>
      <c r="Q267" s="189"/>
      <c r="R267" s="43"/>
      <c r="S267" s="217"/>
      <c r="T267" s="2"/>
    </row>
    <row r="268" spans="1:21" ht="15.6" x14ac:dyDescent="0.3">
      <c r="A268" s="73"/>
      <c r="B268" s="61" t="s">
        <v>146</v>
      </c>
      <c r="C268" s="62"/>
      <c r="D268" s="62"/>
      <c r="E268" s="62"/>
      <c r="F268" s="62"/>
      <c r="G268" s="62"/>
      <c r="H268" s="62"/>
      <c r="I268" s="62"/>
      <c r="J268" s="62"/>
      <c r="K268" s="62"/>
      <c r="L268" s="62"/>
      <c r="M268" s="62"/>
      <c r="N268" s="72" t="s">
        <v>83</v>
      </c>
      <c r="O268" s="62" t="s">
        <v>84</v>
      </c>
      <c r="P268" s="72" t="s">
        <v>89</v>
      </c>
      <c r="Q268" s="62" t="s">
        <v>84</v>
      </c>
      <c r="R268" s="74"/>
      <c r="S268" s="75"/>
      <c r="T268" s="2"/>
    </row>
    <row r="269" spans="1:21" ht="15.6" x14ac:dyDescent="0.3">
      <c r="A269" s="24"/>
      <c r="B269" s="78" t="s">
        <v>72</v>
      </c>
      <c r="C269" s="93"/>
      <c r="D269" s="93"/>
      <c r="E269" s="93"/>
      <c r="F269" s="93"/>
      <c r="G269" s="93"/>
      <c r="H269" s="93"/>
      <c r="I269" s="93"/>
      <c r="J269" s="93"/>
      <c r="K269" s="93"/>
      <c r="L269" s="93"/>
      <c r="M269" s="93"/>
      <c r="N269" s="78">
        <v>0</v>
      </c>
      <c r="O269" s="81">
        <v>0</v>
      </c>
      <c r="P269" s="82">
        <v>0</v>
      </c>
      <c r="Q269" s="81">
        <v>0</v>
      </c>
      <c r="R269" s="79"/>
      <c r="S269" s="220"/>
      <c r="T269" s="2"/>
    </row>
    <row r="270" spans="1:21" ht="15.6" x14ac:dyDescent="0.3">
      <c r="A270" s="112"/>
      <c r="B270" s="155" t="s">
        <v>73</v>
      </c>
      <c r="C270" s="191"/>
      <c r="D270" s="191"/>
      <c r="E270" s="191"/>
      <c r="F270" s="191"/>
      <c r="G270" s="191"/>
      <c r="H270" s="191"/>
      <c r="I270" s="191"/>
      <c r="J270" s="191"/>
      <c r="K270" s="191"/>
      <c r="L270" s="191"/>
      <c r="M270" s="191"/>
      <c r="N270" s="155">
        <v>0</v>
      </c>
      <c r="O270" s="192">
        <v>0</v>
      </c>
      <c r="P270" s="156">
        <v>0</v>
      </c>
      <c r="Q270" s="192">
        <v>0</v>
      </c>
      <c r="R270" s="113"/>
      <c r="S270" s="116"/>
      <c r="T270" s="2"/>
    </row>
    <row r="271" spans="1:21" ht="15.6" x14ac:dyDescent="0.3">
      <c r="A271" s="112"/>
      <c r="B271" s="155" t="s">
        <v>74</v>
      </c>
      <c r="C271" s="191"/>
      <c r="D271" s="191"/>
      <c r="E271" s="191"/>
      <c r="F271" s="191"/>
      <c r="G271" s="191"/>
      <c r="H271" s="191"/>
      <c r="I271" s="191"/>
      <c r="J271" s="191"/>
      <c r="K271" s="191"/>
      <c r="L271" s="191"/>
      <c r="M271" s="191"/>
      <c r="N271" s="155">
        <v>0</v>
      </c>
      <c r="O271" s="192">
        <v>0</v>
      </c>
      <c r="P271" s="156">
        <v>0</v>
      </c>
      <c r="Q271" s="192">
        <v>0</v>
      </c>
      <c r="R271" s="113"/>
      <c r="S271" s="116"/>
      <c r="T271" s="2"/>
    </row>
    <row r="272" spans="1:21" ht="15.6" x14ac:dyDescent="0.3">
      <c r="A272" s="112"/>
      <c r="B272" s="155" t="s">
        <v>119</v>
      </c>
      <c r="C272" s="191"/>
      <c r="D272" s="191"/>
      <c r="E272" s="191"/>
      <c r="F272" s="191"/>
      <c r="G272" s="191"/>
      <c r="H272" s="191"/>
      <c r="I272" s="191"/>
      <c r="J272" s="191"/>
      <c r="K272" s="191"/>
      <c r="L272" s="191"/>
      <c r="M272" s="191"/>
      <c r="N272" s="155">
        <v>0</v>
      </c>
      <c r="O272" s="192">
        <v>0</v>
      </c>
      <c r="P272" s="156">
        <v>0</v>
      </c>
      <c r="Q272" s="192">
        <v>0</v>
      </c>
      <c r="R272" s="113"/>
      <c r="S272" s="116"/>
      <c r="T272" s="2"/>
    </row>
    <row r="273" spans="1:20" ht="15.6" x14ac:dyDescent="0.3">
      <c r="A273" s="112"/>
      <c r="B273" s="155" t="s">
        <v>120</v>
      </c>
      <c r="C273" s="191"/>
      <c r="D273" s="191"/>
      <c r="E273" s="191"/>
      <c r="F273" s="191"/>
      <c r="G273" s="191"/>
      <c r="H273" s="191"/>
      <c r="I273" s="191"/>
      <c r="J273" s="191"/>
      <c r="K273" s="191"/>
      <c r="L273" s="191"/>
      <c r="M273" s="191"/>
      <c r="N273" s="155">
        <v>0</v>
      </c>
      <c r="O273" s="192">
        <v>0</v>
      </c>
      <c r="P273" s="156">
        <v>0</v>
      </c>
      <c r="Q273" s="192">
        <v>0</v>
      </c>
      <c r="R273" s="113"/>
      <c r="S273" s="116"/>
      <c r="T273" s="2"/>
    </row>
    <row r="274" spans="1:20" ht="15.6" x14ac:dyDescent="0.3">
      <c r="A274" s="112"/>
      <c r="B274" s="155" t="s">
        <v>121</v>
      </c>
      <c r="C274" s="191"/>
      <c r="D274" s="191"/>
      <c r="E274" s="191"/>
      <c r="F274" s="191"/>
      <c r="G274" s="191"/>
      <c r="H274" s="191"/>
      <c r="I274" s="191"/>
      <c r="J274" s="191"/>
      <c r="K274" s="191"/>
      <c r="L274" s="191"/>
      <c r="M274" s="191"/>
      <c r="N274" s="155">
        <v>0</v>
      </c>
      <c r="O274" s="192">
        <v>0</v>
      </c>
      <c r="P274" s="156">
        <v>0</v>
      </c>
      <c r="Q274" s="192">
        <v>0</v>
      </c>
      <c r="R274" s="113"/>
      <c r="S274" s="116"/>
      <c r="T274" s="2"/>
    </row>
    <row r="275" spans="1:20" ht="15.6" x14ac:dyDescent="0.3">
      <c r="A275" s="112"/>
      <c r="B275" s="155" t="s">
        <v>122</v>
      </c>
      <c r="C275" s="191"/>
      <c r="D275" s="191"/>
      <c r="E275" s="191"/>
      <c r="F275" s="191"/>
      <c r="G275" s="191"/>
      <c r="H275" s="191"/>
      <c r="I275" s="191"/>
      <c r="J275" s="191"/>
      <c r="K275" s="191"/>
      <c r="L275" s="191"/>
      <c r="M275" s="191"/>
      <c r="N275" s="155">
        <v>0</v>
      </c>
      <c r="O275" s="192">
        <v>0</v>
      </c>
      <c r="P275" s="156">
        <v>0</v>
      </c>
      <c r="Q275" s="192">
        <v>0</v>
      </c>
      <c r="R275" s="113"/>
      <c r="S275" s="116"/>
      <c r="T275" s="2"/>
    </row>
    <row r="276" spans="1:20" ht="15.6" x14ac:dyDescent="0.3">
      <c r="A276" s="112"/>
      <c r="B276" s="155" t="s">
        <v>123</v>
      </c>
      <c r="C276" s="191"/>
      <c r="D276" s="191"/>
      <c r="E276" s="191"/>
      <c r="F276" s="191"/>
      <c r="G276" s="191"/>
      <c r="H276" s="191"/>
      <c r="I276" s="191"/>
      <c r="J276" s="191"/>
      <c r="K276" s="191"/>
      <c r="L276" s="191"/>
      <c r="M276" s="191"/>
      <c r="N276" s="155">
        <v>0</v>
      </c>
      <c r="O276" s="192">
        <v>0</v>
      </c>
      <c r="P276" s="156">
        <v>0</v>
      </c>
      <c r="Q276" s="192">
        <v>0</v>
      </c>
      <c r="R276" s="113"/>
      <c r="S276" s="116"/>
      <c r="T276" s="2"/>
    </row>
    <row r="277" spans="1:20" ht="15.6" x14ac:dyDescent="0.3">
      <c r="A277" s="112"/>
      <c r="B277" s="155"/>
      <c r="C277" s="191"/>
      <c r="D277" s="191"/>
      <c r="E277" s="191"/>
      <c r="F277" s="191"/>
      <c r="G277" s="191"/>
      <c r="H277" s="191"/>
      <c r="I277" s="191"/>
      <c r="J277" s="191"/>
      <c r="K277" s="191"/>
      <c r="L277" s="191"/>
      <c r="M277" s="191"/>
      <c r="N277" s="155"/>
      <c r="O277" s="192"/>
      <c r="P277" s="156"/>
      <c r="Q277" s="192"/>
      <c r="R277" s="113"/>
      <c r="S277" s="116"/>
      <c r="T277" s="2"/>
    </row>
    <row r="278" spans="1:20" ht="15.6" x14ac:dyDescent="0.3">
      <c r="A278" s="112"/>
      <c r="B278" s="113" t="s">
        <v>94</v>
      </c>
      <c r="C278" s="113"/>
      <c r="D278" s="194"/>
      <c r="E278" s="194"/>
      <c r="F278" s="194"/>
      <c r="G278" s="194"/>
      <c r="H278" s="194"/>
      <c r="I278" s="194"/>
      <c r="J278" s="194"/>
      <c r="K278" s="194"/>
      <c r="L278" s="194"/>
      <c r="M278" s="194"/>
      <c r="N278" s="155">
        <f>SUM(N269:N277)</f>
        <v>0</v>
      </c>
      <c r="O278" s="192">
        <f>SUM(O269:O277)</f>
        <v>0</v>
      </c>
      <c r="P278" s="156">
        <f>SUM(P269:P277)</f>
        <v>0</v>
      </c>
      <c r="Q278" s="192">
        <f>SUM(Q269:Q277)</f>
        <v>0</v>
      </c>
      <c r="R278" s="113"/>
      <c r="S278" s="116"/>
      <c r="T278" s="2"/>
    </row>
    <row r="279" spans="1:20" ht="15.6" x14ac:dyDescent="0.3">
      <c r="A279" s="12"/>
      <c r="B279" s="43"/>
      <c r="C279" s="43"/>
      <c r="D279" s="188"/>
      <c r="E279" s="188"/>
      <c r="F279" s="188"/>
      <c r="G279" s="188"/>
      <c r="H279" s="188"/>
      <c r="I279" s="188"/>
      <c r="J279" s="188"/>
      <c r="K279" s="188"/>
      <c r="L279" s="188"/>
      <c r="M279" s="188"/>
      <c r="N279" s="153"/>
      <c r="O279" s="189"/>
      <c r="P279" s="190"/>
      <c r="Q279" s="189"/>
      <c r="R279" s="43"/>
      <c r="S279" s="217"/>
      <c r="T279" s="2"/>
    </row>
    <row r="280" spans="1:20" ht="15.6" x14ac:dyDescent="0.3">
      <c r="A280" s="73"/>
      <c r="B280" s="61" t="s">
        <v>125</v>
      </c>
      <c r="C280" s="74"/>
      <c r="D280" s="76"/>
      <c r="E280" s="76"/>
      <c r="F280" s="76"/>
      <c r="G280" s="76"/>
      <c r="H280" s="76"/>
      <c r="I280" s="76"/>
      <c r="J280" s="76"/>
      <c r="K280" s="76"/>
      <c r="L280" s="76"/>
      <c r="M280" s="76"/>
      <c r="N280" s="72" t="s">
        <v>83</v>
      </c>
      <c r="O280" s="62" t="s">
        <v>84</v>
      </c>
      <c r="P280" s="72" t="s">
        <v>89</v>
      </c>
      <c r="Q280" s="62" t="s">
        <v>84</v>
      </c>
      <c r="R280" s="74"/>
      <c r="S280" s="75"/>
      <c r="T280" s="2"/>
    </row>
    <row r="281" spans="1:20" ht="15.6" x14ac:dyDescent="0.3">
      <c r="A281" s="77"/>
      <c r="B281" s="78" t="s">
        <v>72</v>
      </c>
      <c r="C281" s="79"/>
      <c r="D281" s="80"/>
      <c r="E281" s="80"/>
      <c r="F281" s="80"/>
      <c r="G281" s="80"/>
      <c r="H281" s="80"/>
      <c r="I281" s="80"/>
      <c r="J281" s="80"/>
      <c r="K281" s="80"/>
      <c r="L281" s="80"/>
      <c r="M281" s="80"/>
      <c r="N281" s="78">
        <v>0</v>
      </c>
      <c r="O281" s="81">
        <v>0</v>
      </c>
      <c r="P281" s="82">
        <v>0</v>
      </c>
      <c r="Q281" s="81">
        <v>0</v>
      </c>
      <c r="R281" s="79"/>
      <c r="S281" s="220"/>
      <c r="T281" s="2"/>
    </row>
    <row r="282" spans="1:20" ht="15.6" x14ac:dyDescent="0.3">
      <c r="A282" s="122"/>
      <c r="B282" s="155" t="s">
        <v>73</v>
      </c>
      <c r="C282" s="113"/>
      <c r="D282" s="194"/>
      <c r="E282" s="194"/>
      <c r="F282" s="194"/>
      <c r="G282" s="194"/>
      <c r="H282" s="194"/>
      <c r="I282" s="194"/>
      <c r="J282" s="194"/>
      <c r="K282" s="194"/>
      <c r="L282" s="194"/>
      <c r="M282" s="194"/>
      <c r="N282" s="155">
        <v>0</v>
      </c>
      <c r="O282" s="192">
        <v>0</v>
      </c>
      <c r="P282" s="156">
        <v>0</v>
      </c>
      <c r="Q282" s="192">
        <v>0</v>
      </c>
      <c r="R282" s="113"/>
      <c r="S282" s="116"/>
      <c r="T282" s="2"/>
    </row>
    <row r="283" spans="1:20" ht="15.6" x14ac:dyDescent="0.3">
      <c r="A283" s="122"/>
      <c r="B283" s="155" t="s">
        <v>74</v>
      </c>
      <c r="C283" s="113"/>
      <c r="D283" s="194"/>
      <c r="E283" s="194"/>
      <c r="F283" s="194"/>
      <c r="G283" s="194"/>
      <c r="H283" s="194"/>
      <c r="I283" s="194"/>
      <c r="J283" s="194"/>
      <c r="K283" s="194"/>
      <c r="L283" s="194"/>
      <c r="M283" s="194"/>
      <c r="N283" s="155">
        <v>0</v>
      </c>
      <c r="O283" s="192">
        <v>0</v>
      </c>
      <c r="P283" s="156">
        <v>0</v>
      </c>
      <c r="Q283" s="192">
        <v>0</v>
      </c>
      <c r="R283" s="113"/>
      <c r="S283" s="116"/>
      <c r="T283" s="2"/>
    </row>
    <row r="284" spans="1:20" ht="15.6" x14ac:dyDescent="0.3">
      <c r="A284" s="122"/>
      <c r="B284" s="155" t="s">
        <v>119</v>
      </c>
      <c r="C284" s="113"/>
      <c r="D284" s="194"/>
      <c r="E284" s="194"/>
      <c r="F284" s="194"/>
      <c r="G284" s="194"/>
      <c r="H284" s="194"/>
      <c r="I284" s="194"/>
      <c r="J284" s="194"/>
      <c r="K284" s="194"/>
      <c r="L284" s="194"/>
      <c r="M284" s="194"/>
      <c r="N284" s="155">
        <v>0</v>
      </c>
      <c r="O284" s="192">
        <v>0</v>
      </c>
      <c r="P284" s="156">
        <v>0</v>
      </c>
      <c r="Q284" s="192">
        <v>0</v>
      </c>
      <c r="R284" s="113"/>
      <c r="S284" s="116"/>
      <c r="T284" s="2"/>
    </row>
    <row r="285" spans="1:20" ht="15.6" x14ac:dyDescent="0.3">
      <c r="A285" s="122"/>
      <c r="B285" s="155" t="s">
        <v>120</v>
      </c>
      <c r="C285" s="113"/>
      <c r="D285" s="194"/>
      <c r="E285" s="194"/>
      <c r="F285" s="194"/>
      <c r="G285" s="194"/>
      <c r="H285" s="194"/>
      <c r="I285" s="194"/>
      <c r="J285" s="194"/>
      <c r="K285" s="194"/>
      <c r="L285" s="194"/>
      <c r="M285" s="194"/>
      <c r="N285" s="155">
        <v>0</v>
      </c>
      <c r="O285" s="192">
        <v>0</v>
      </c>
      <c r="P285" s="156">
        <v>0</v>
      </c>
      <c r="Q285" s="192">
        <v>0</v>
      </c>
      <c r="R285" s="113"/>
      <c r="S285" s="116"/>
      <c r="T285" s="2"/>
    </row>
    <row r="286" spans="1:20" ht="15.6" x14ac:dyDescent="0.3">
      <c r="A286" s="122"/>
      <c r="B286" s="155" t="s">
        <v>121</v>
      </c>
      <c r="C286" s="113"/>
      <c r="D286" s="194"/>
      <c r="E286" s="194"/>
      <c r="F286" s="194"/>
      <c r="G286" s="194"/>
      <c r="H286" s="194"/>
      <c r="I286" s="194"/>
      <c r="J286" s="194"/>
      <c r="K286" s="194"/>
      <c r="L286" s="194"/>
      <c r="M286" s="194"/>
      <c r="N286" s="155">
        <v>0</v>
      </c>
      <c r="O286" s="192">
        <v>0</v>
      </c>
      <c r="P286" s="156">
        <v>0</v>
      </c>
      <c r="Q286" s="192">
        <v>0</v>
      </c>
      <c r="R286" s="113"/>
      <c r="S286" s="116"/>
      <c r="T286" s="2"/>
    </row>
    <row r="287" spans="1:20" ht="15.6" x14ac:dyDescent="0.3">
      <c r="A287" s="122"/>
      <c r="B287" s="155" t="s">
        <v>122</v>
      </c>
      <c r="C287" s="113"/>
      <c r="D287" s="194"/>
      <c r="E287" s="194"/>
      <c r="F287" s="194"/>
      <c r="G287" s="194"/>
      <c r="H287" s="194"/>
      <c r="I287" s="194"/>
      <c r="J287" s="194"/>
      <c r="K287" s="194"/>
      <c r="L287" s="194"/>
      <c r="M287" s="194"/>
      <c r="N287" s="155">
        <v>0</v>
      </c>
      <c r="O287" s="192">
        <v>0</v>
      </c>
      <c r="P287" s="156">
        <v>0</v>
      </c>
      <c r="Q287" s="192">
        <v>0</v>
      </c>
      <c r="R287" s="113"/>
      <c r="S287" s="116"/>
      <c r="T287" s="2"/>
    </row>
    <row r="288" spans="1:20" ht="15.6" x14ac:dyDescent="0.3">
      <c r="A288" s="122"/>
      <c r="B288" s="155" t="s">
        <v>123</v>
      </c>
      <c r="C288" s="113"/>
      <c r="D288" s="194"/>
      <c r="E288" s="194"/>
      <c r="F288" s="194"/>
      <c r="G288" s="194"/>
      <c r="H288" s="194"/>
      <c r="I288" s="194"/>
      <c r="J288" s="194"/>
      <c r="K288" s="194"/>
      <c r="L288" s="194"/>
      <c r="M288" s="194"/>
      <c r="N288" s="155">
        <v>0</v>
      </c>
      <c r="O288" s="192">
        <v>0</v>
      </c>
      <c r="P288" s="156">
        <v>0</v>
      </c>
      <c r="Q288" s="192">
        <v>0</v>
      </c>
      <c r="R288" s="113"/>
      <c r="S288" s="116"/>
      <c r="T288" s="2"/>
    </row>
    <row r="289" spans="1:20" ht="15.6" x14ac:dyDescent="0.3">
      <c r="A289" s="122"/>
      <c r="B289" s="155"/>
      <c r="C289" s="113"/>
      <c r="D289" s="194"/>
      <c r="E289" s="194"/>
      <c r="F289" s="194"/>
      <c r="G289" s="194"/>
      <c r="H289" s="194"/>
      <c r="I289" s="194"/>
      <c r="J289" s="194"/>
      <c r="K289" s="194"/>
      <c r="L289" s="194"/>
      <c r="M289" s="194"/>
      <c r="N289" s="155"/>
      <c r="O289" s="192"/>
      <c r="P289" s="156"/>
      <c r="Q289" s="192"/>
      <c r="R289" s="113"/>
      <c r="S289" s="116"/>
      <c r="T289" s="2"/>
    </row>
    <row r="290" spans="1:20" ht="15.6" x14ac:dyDescent="0.3">
      <c r="A290" s="122"/>
      <c r="B290" s="113" t="s">
        <v>94</v>
      </c>
      <c r="C290" s="113"/>
      <c r="D290" s="194"/>
      <c r="E290" s="194"/>
      <c r="F290" s="194"/>
      <c r="G290" s="194"/>
      <c r="H290" s="194"/>
      <c r="I290" s="194"/>
      <c r="J290" s="194"/>
      <c r="K290" s="194"/>
      <c r="L290" s="194"/>
      <c r="M290" s="194"/>
      <c r="N290" s="155">
        <f>SUM(N281:N288)</f>
        <v>0</v>
      </c>
      <c r="O290" s="192">
        <f>SUM(O281:O288)</f>
        <v>0</v>
      </c>
      <c r="P290" s="156">
        <f>SUM(P281:P288)</f>
        <v>0</v>
      </c>
      <c r="Q290" s="192">
        <f>SUM(Q281:Q288)</f>
        <v>0</v>
      </c>
      <c r="R290" s="113"/>
      <c r="S290" s="116"/>
      <c r="T290" s="2"/>
    </row>
    <row r="291" spans="1:20" ht="15.6" x14ac:dyDescent="0.3">
      <c r="A291" s="122"/>
      <c r="B291" s="113"/>
      <c r="C291" s="113"/>
      <c r="D291" s="194"/>
      <c r="E291" s="194"/>
      <c r="F291" s="194"/>
      <c r="G291" s="194"/>
      <c r="H291" s="194"/>
      <c r="I291" s="194"/>
      <c r="J291" s="194"/>
      <c r="K291" s="194"/>
      <c r="L291" s="194"/>
      <c r="M291" s="194"/>
      <c r="N291" s="155"/>
      <c r="O291" s="192"/>
      <c r="P291" s="156"/>
      <c r="Q291" s="192"/>
      <c r="R291" s="113"/>
      <c r="S291" s="116"/>
      <c r="T291" s="2"/>
    </row>
    <row r="292" spans="1:20" ht="15.6" x14ac:dyDescent="0.3">
      <c r="A292" s="122"/>
      <c r="B292" s="124" t="s">
        <v>177</v>
      </c>
      <c r="C292" s="113"/>
      <c r="D292" s="194"/>
      <c r="E292" s="194"/>
      <c r="F292" s="194"/>
      <c r="G292" s="194"/>
      <c r="H292" s="194"/>
      <c r="I292" s="194"/>
      <c r="J292" s="194"/>
      <c r="K292" s="194"/>
      <c r="L292" s="194"/>
      <c r="M292" s="194"/>
      <c r="N292" s="196">
        <f>N290+N278+N266</f>
        <v>1794</v>
      </c>
      <c r="O292" s="192"/>
      <c r="P292" s="197">
        <f>+P290+P278+P266</f>
        <v>285441</v>
      </c>
      <c r="Q292" s="192"/>
      <c r="R292" s="113"/>
      <c r="S292" s="116"/>
      <c r="T292" s="2"/>
    </row>
    <row r="293" spans="1:20" ht="15.6" x14ac:dyDescent="0.3">
      <c r="A293" s="122"/>
      <c r="B293" s="124" t="s">
        <v>217</v>
      </c>
      <c r="C293" s="124"/>
      <c r="D293" s="205"/>
      <c r="E293" s="205"/>
      <c r="F293" s="205"/>
      <c r="G293" s="205"/>
      <c r="H293" s="205"/>
      <c r="I293" s="205"/>
      <c r="J293" s="205"/>
      <c r="K293" s="205"/>
      <c r="L293" s="205"/>
      <c r="M293" s="205"/>
      <c r="N293" s="196"/>
      <c r="O293" s="206"/>
      <c r="P293" s="207">
        <f>+R179</f>
        <v>1478</v>
      </c>
      <c r="Q293" s="192"/>
      <c r="R293" s="113"/>
      <c r="S293" s="116"/>
      <c r="T293" s="2"/>
    </row>
    <row r="294" spans="1:20" ht="15.6" x14ac:dyDescent="0.3">
      <c r="A294" s="122"/>
      <c r="B294" s="124" t="s">
        <v>126</v>
      </c>
      <c r="C294" s="124"/>
      <c r="D294" s="205"/>
      <c r="E294" s="205"/>
      <c r="F294" s="205"/>
      <c r="G294" s="205"/>
      <c r="H294" s="205"/>
      <c r="I294" s="205"/>
      <c r="J294" s="205"/>
      <c r="K294" s="205"/>
      <c r="L294" s="205"/>
      <c r="M294" s="205"/>
      <c r="N294" s="196"/>
      <c r="O294" s="206"/>
      <c r="P294" s="207">
        <f>+P292+P293</f>
        <v>286919</v>
      </c>
      <c r="Q294" s="192"/>
      <c r="R294" s="113"/>
      <c r="S294" s="116"/>
      <c r="T294" s="2"/>
    </row>
    <row r="295" spans="1:20" ht="15.6" x14ac:dyDescent="0.3">
      <c r="A295" s="122"/>
      <c r="B295" s="124" t="s">
        <v>176</v>
      </c>
      <c r="C295" s="113"/>
      <c r="D295" s="194"/>
      <c r="E295" s="194"/>
      <c r="F295" s="194"/>
      <c r="G295" s="194"/>
      <c r="H295" s="194"/>
      <c r="I295" s="194"/>
      <c r="J295" s="194"/>
      <c r="K295" s="194"/>
      <c r="L295" s="194"/>
      <c r="M295" s="194"/>
      <c r="N295" s="196"/>
      <c r="O295" s="192"/>
      <c r="P295" s="197">
        <f>+R80</f>
        <v>286919</v>
      </c>
      <c r="Q295" s="192"/>
      <c r="R295" s="113"/>
      <c r="S295" s="116"/>
      <c r="T295" s="2"/>
    </row>
    <row r="296" spans="1:20" ht="15.6" x14ac:dyDescent="0.3">
      <c r="A296" s="122"/>
      <c r="B296" s="124"/>
      <c r="C296" s="113"/>
      <c r="D296" s="194"/>
      <c r="E296" s="194"/>
      <c r="F296" s="194"/>
      <c r="G296" s="194"/>
      <c r="H296" s="194"/>
      <c r="I296" s="194"/>
      <c r="J296" s="194"/>
      <c r="K296" s="194"/>
      <c r="L296" s="194"/>
      <c r="M296" s="194"/>
      <c r="N296" s="196"/>
      <c r="O296" s="192"/>
      <c r="P296" s="197"/>
      <c r="Q296" s="192"/>
      <c r="R296" s="113"/>
      <c r="S296" s="116"/>
      <c r="T296" s="2"/>
    </row>
    <row r="297" spans="1:20" ht="15.6" x14ac:dyDescent="0.3">
      <c r="A297" s="122"/>
      <c r="B297" s="124" t="s">
        <v>202</v>
      </c>
      <c r="C297" s="113"/>
      <c r="D297" s="194"/>
      <c r="E297" s="194"/>
      <c r="F297" s="194"/>
      <c r="G297" s="194"/>
      <c r="H297" s="194"/>
      <c r="I297" s="194"/>
      <c r="J297" s="194"/>
      <c r="K297" s="194"/>
      <c r="L297" s="194"/>
      <c r="M297" s="194"/>
      <c r="N297" s="196"/>
      <c r="O297" s="192"/>
      <c r="P297" s="214">
        <f>(L33+R147)/R33</f>
        <v>5.2286587965864925E-2</v>
      </c>
      <c r="Q297" s="192"/>
      <c r="R297" s="113"/>
      <c r="S297" s="116"/>
      <c r="T297" s="2"/>
    </row>
    <row r="298" spans="1:20" ht="15.6" x14ac:dyDescent="0.3">
      <c r="A298" s="83"/>
      <c r="B298" s="84"/>
      <c r="C298" s="84"/>
      <c r="D298" s="85"/>
      <c r="E298" s="85"/>
      <c r="F298" s="85"/>
      <c r="G298" s="85"/>
      <c r="H298" s="85"/>
      <c r="I298" s="85"/>
      <c r="J298" s="85"/>
      <c r="K298" s="85"/>
      <c r="L298" s="85"/>
      <c r="M298" s="85"/>
      <c r="N298" s="85"/>
      <c r="O298" s="85"/>
      <c r="P298" s="86"/>
      <c r="Q298" s="85"/>
      <c r="R298" s="84"/>
      <c r="S298" s="218"/>
      <c r="T298" s="2"/>
    </row>
    <row r="299" spans="1:20" ht="15.6" x14ac:dyDescent="0.3">
      <c r="A299" s="87"/>
      <c r="B299" s="88" t="s">
        <v>75</v>
      </c>
      <c r="C299" s="84"/>
      <c r="D299" s="89" t="s">
        <v>79</v>
      </c>
      <c r="E299" s="88"/>
      <c r="F299" s="88" t="s">
        <v>80</v>
      </c>
      <c r="G299" s="84"/>
      <c r="H299" s="88"/>
      <c r="I299" s="90"/>
      <c r="J299" s="90"/>
      <c r="K299" s="90"/>
      <c r="L299" s="90"/>
      <c r="M299" s="90"/>
      <c r="N299" s="90"/>
      <c r="O299" s="90"/>
      <c r="P299" s="90"/>
      <c r="Q299" s="90"/>
      <c r="R299" s="90"/>
      <c r="S299" s="229"/>
      <c r="T299" s="2"/>
    </row>
    <row r="300" spans="1:20" ht="15.6" x14ac:dyDescent="0.3">
      <c r="A300" s="87"/>
      <c r="B300" s="90"/>
      <c r="C300" s="84"/>
      <c r="D300" s="84"/>
      <c r="E300" s="84"/>
      <c r="F300" s="84"/>
      <c r="G300" s="84"/>
      <c r="H300" s="84"/>
      <c r="I300" s="90"/>
      <c r="J300" s="90"/>
      <c r="K300" s="90"/>
      <c r="L300" s="90"/>
      <c r="M300" s="90"/>
      <c r="N300" s="90"/>
      <c r="O300" s="90"/>
      <c r="P300" s="90"/>
      <c r="Q300" s="90"/>
      <c r="R300" s="90"/>
      <c r="S300" s="229"/>
      <c r="T300" s="2"/>
    </row>
    <row r="301" spans="1:20" ht="15.6" x14ac:dyDescent="0.3">
      <c r="A301" s="87"/>
      <c r="B301" s="213" t="s">
        <v>192</v>
      </c>
      <c r="C301" s="88"/>
      <c r="D301" s="91" t="s">
        <v>115</v>
      </c>
      <c r="E301" s="88"/>
      <c r="F301" s="88" t="s">
        <v>116</v>
      </c>
      <c r="G301" s="88"/>
      <c r="H301" s="88"/>
      <c r="I301" s="90"/>
      <c r="J301" s="90"/>
      <c r="K301" s="90"/>
      <c r="L301" s="90"/>
      <c r="M301" s="90"/>
      <c r="N301" s="90"/>
      <c r="O301" s="90"/>
      <c r="P301" s="90"/>
      <c r="Q301" s="90"/>
      <c r="R301" s="90"/>
      <c r="S301" s="229"/>
      <c r="T301" s="2"/>
    </row>
    <row r="302" spans="1:20" ht="15.6" x14ac:dyDescent="0.3">
      <c r="A302" s="87"/>
      <c r="B302" s="213" t="s">
        <v>193</v>
      </c>
      <c r="C302" s="88"/>
      <c r="D302" s="91" t="s">
        <v>147</v>
      </c>
      <c r="E302" s="88"/>
      <c r="F302" s="88" t="s">
        <v>148</v>
      </c>
      <c r="G302" s="88"/>
      <c r="H302" s="88"/>
      <c r="I302" s="90"/>
      <c r="J302" s="90"/>
      <c r="K302" s="90"/>
      <c r="L302" s="90"/>
      <c r="M302" s="90"/>
      <c r="N302" s="90"/>
      <c r="O302" s="90"/>
      <c r="P302" s="90"/>
      <c r="Q302" s="90"/>
      <c r="R302" s="90"/>
      <c r="S302" s="229"/>
      <c r="T302" s="2"/>
    </row>
    <row r="303" spans="1:20" ht="15.6" x14ac:dyDescent="0.3">
      <c r="A303" s="87"/>
      <c r="B303" s="213" t="s">
        <v>194</v>
      </c>
      <c r="C303" s="88"/>
      <c r="D303" s="91" t="s">
        <v>114</v>
      </c>
      <c r="E303" s="88"/>
      <c r="F303" s="88" t="s">
        <v>117</v>
      </c>
      <c r="G303" s="88"/>
      <c r="H303" s="88"/>
      <c r="I303" s="90"/>
      <c r="J303" s="90"/>
      <c r="K303" s="90"/>
      <c r="L303" s="90"/>
      <c r="M303" s="90"/>
      <c r="N303" s="90"/>
      <c r="O303" s="90"/>
      <c r="P303" s="90"/>
      <c r="Q303" s="90"/>
      <c r="R303" s="90"/>
      <c r="S303" s="229"/>
      <c r="T303" s="2"/>
    </row>
    <row r="304" spans="1:20" ht="15.6" x14ac:dyDescent="0.3">
      <c r="A304" s="87"/>
      <c r="B304" s="88"/>
      <c r="C304" s="88"/>
      <c r="D304" s="90"/>
      <c r="E304" s="90"/>
      <c r="F304" s="90"/>
      <c r="G304" s="90"/>
      <c r="H304" s="90"/>
      <c r="I304" s="90"/>
      <c r="J304" s="90"/>
      <c r="K304" s="90"/>
      <c r="L304" s="90"/>
      <c r="M304" s="90"/>
      <c r="N304" s="90"/>
      <c r="O304" s="90"/>
      <c r="P304" s="90"/>
      <c r="Q304" s="90"/>
      <c r="R304" s="90"/>
      <c r="S304" s="229"/>
      <c r="T304" s="2"/>
    </row>
    <row r="305" spans="1:20" ht="15.6" x14ac:dyDescent="0.3">
      <c r="A305" s="87"/>
      <c r="B305" s="88"/>
      <c r="C305" s="88"/>
      <c r="D305" s="90"/>
      <c r="E305" s="90"/>
      <c r="F305" s="90"/>
      <c r="G305" s="90"/>
      <c r="H305" s="90"/>
      <c r="I305" s="90"/>
      <c r="J305" s="90"/>
      <c r="K305" s="90"/>
      <c r="L305" s="90"/>
      <c r="M305" s="90"/>
      <c r="N305" s="90"/>
      <c r="O305" s="90"/>
      <c r="P305" s="90"/>
      <c r="Q305" s="90"/>
      <c r="R305" s="90"/>
      <c r="S305" s="229"/>
      <c r="T305" s="2"/>
    </row>
    <row r="306" spans="1:20" ht="18" thickBot="1" x14ac:dyDescent="0.35">
      <c r="A306" s="87"/>
      <c r="B306" s="92" t="str">
        <f>B204</f>
        <v>PM22 INVESTOR REPORT QUARTER ENDING FEBRUARY 2016</v>
      </c>
      <c r="C306" s="88"/>
      <c r="D306" s="90"/>
      <c r="E306" s="90"/>
      <c r="F306" s="90"/>
      <c r="G306" s="90"/>
      <c r="H306" s="90"/>
      <c r="I306" s="90"/>
      <c r="J306" s="90"/>
      <c r="K306" s="90"/>
      <c r="L306" s="90"/>
      <c r="M306" s="90"/>
      <c r="N306" s="90"/>
      <c r="O306" s="90"/>
      <c r="P306" s="90"/>
      <c r="Q306" s="90"/>
      <c r="R306" s="90"/>
      <c r="S306" s="99"/>
      <c r="T306" s="2"/>
    </row>
    <row r="307" spans="1:20" x14ac:dyDescent="0.25">
      <c r="A307" s="3"/>
      <c r="B307" s="3"/>
      <c r="C307" s="3"/>
      <c r="D307" s="3"/>
      <c r="E307" s="3"/>
      <c r="F307" s="3"/>
      <c r="G307" s="3"/>
      <c r="H307" s="3"/>
      <c r="I307" s="3"/>
      <c r="J307" s="3"/>
      <c r="K307" s="3"/>
      <c r="L307" s="3"/>
      <c r="M307" s="3"/>
      <c r="N307" s="3"/>
      <c r="O307" s="3"/>
      <c r="P307" s="3"/>
      <c r="Q307" s="3"/>
      <c r="R307" s="3"/>
      <c r="S307" s="3"/>
    </row>
  </sheetData>
  <hyperlinks>
    <hyperlink ref="N242"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4" max="18" man="1"/>
  </rowBreaks>
  <colBreaks count="1" manualBreakCount="1">
    <brk id="19" max="299" man="1"/>
  </col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R307"/>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221</v>
      </c>
      <c r="C1" s="11"/>
      <c r="D1" s="11"/>
      <c r="E1" s="11"/>
      <c r="F1" s="11"/>
      <c r="G1" s="11"/>
      <c r="H1" s="11"/>
      <c r="I1" s="11"/>
      <c r="J1" s="11"/>
      <c r="K1" s="11"/>
      <c r="L1" s="11"/>
      <c r="M1" s="11"/>
      <c r="N1" s="11"/>
      <c r="O1" s="11"/>
      <c r="P1" s="11"/>
      <c r="Q1" s="11"/>
      <c r="R1" s="11"/>
      <c r="S1" s="216"/>
      <c r="T1" s="2"/>
    </row>
    <row r="2" spans="1:20" ht="15.6" x14ac:dyDescent="0.3">
      <c r="A2" s="12"/>
      <c r="B2" s="13"/>
      <c r="C2" s="14"/>
      <c r="D2" s="14"/>
      <c r="E2" s="14"/>
      <c r="F2" s="14"/>
      <c r="G2" s="14"/>
      <c r="H2" s="14"/>
      <c r="I2" s="14"/>
      <c r="J2" s="14"/>
      <c r="K2" s="14"/>
      <c r="L2" s="14"/>
      <c r="M2" s="14"/>
      <c r="N2" s="14"/>
      <c r="O2" s="14"/>
      <c r="P2" s="14"/>
      <c r="Q2" s="14"/>
      <c r="R2" s="14"/>
      <c r="S2" s="217"/>
      <c r="T2" s="2"/>
    </row>
    <row r="3" spans="1:20" ht="15.6" x14ac:dyDescent="0.3">
      <c r="A3" s="15"/>
      <c r="B3" s="16" t="s">
        <v>222</v>
      </c>
      <c r="C3" s="14"/>
      <c r="D3" s="14"/>
      <c r="E3" s="14"/>
      <c r="F3" s="14"/>
      <c r="G3" s="14"/>
      <c r="H3" s="14"/>
      <c r="I3" s="14"/>
      <c r="J3" s="14"/>
      <c r="K3" s="14"/>
      <c r="L3" s="14"/>
      <c r="M3" s="14"/>
      <c r="N3" s="14"/>
      <c r="O3" s="14"/>
      <c r="P3" s="14"/>
      <c r="Q3" s="14"/>
      <c r="R3" s="14"/>
      <c r="S3" s="217"/>
      <c r="T3" s="2"/>
    </row>
    <row r="4" spans="1:20" ht="15.6" x14ac:dyDescent="0.3">
      <c r="A4" s="12"/>
      <c r="B4" s="13"/>
      <c r="C4" s="14"/>
      <c r="D4" s="14"/>
      <c r="E4" s="14"/>
      <c r="F4" s="14"/>
      <c r="G4" s="14"/>
      <c r="H4" s="14"/>
      <c r="I4" s="14"/>
      <c r="J4" s="14"/>
      <c r="K4" s="14"/>
      <c r="L4" s="14"/>
      <c r="M4" s="14"/>
      <c r="N4" s="14"/>
      <c r="O4" s="14"/>
      <c r="P4" s="14"/>
      <c r="Q4" s="14"/>
      <c r="R4" s="14"/>
      <c r="S4" s="217"/>
      <c r="T4" s="2"/>
    </row>
    <row r="5" spans="1:20" ht="15.6" x14ac:dyDescent="0.3">
      <c r="A5" s="12"/>
      <c r="B5" s="102" t="s">
        <v>109</v>
      </c>
      <c r="C5" s="14"/>
      <c r="D5" s="14"/>
      <c r="E5" s="14"/>
      <c r="F5" s="14"/>
      <c r="G5" s="14"/>
      <c r="H5" s="14"/>
      <c r="I5" s="14"/>
      <c r="J5" s="14"/>
      <c r="K5" s="14"/>
      <c r="L5" s="14"/>
      <c r="M5" s="14"/>
      <c r="N5" s="14"/>
      <c r="O5" s="14"/>
      <c r="P5" s="14"/>
      <c r="Q5" s="14"/>
      <c r="R5" s="14"/>
      <c r="S5" s="217"/>
      <c r="T5" s="2"/>
    </row>
    <row r="6" spans="1:20" ht="15.6" x14ac:dyDescent="0.3">
      <c r="A6" s="12"/>
      <c r="B6" s="102" t="s">
        <v>111</v>
      </c>
      <c r="C6" s="14"/>
      <c r="D6" s="14"/>
      <c r="E6" s="14"/>
      <c r="F6" s="14"/>
      <c r="G6" s="14"/>
      <c r="H6" s="14"/>
      <c r="I6" s="14"/>
      <c r="J6" s="14"/>
      <c r="K6" s="14"/>
      <c r="L6" s="14"/>
      <c r="M6" s="14"/>
      <c r="N6" s="14"/>
      <c r="O6" s="14"/>
      <c r="P6" s="14"/>
      <c r="Q6" s="14"/>
      <c r="R6" s="14"/>
      <c r="S6" s="217"/>
      <c r="T6" s="2"/>
    </row>
    <row r="7" spans="1:20" ht="15.6" x14ac:dyDescent="0.3">
      <c r="A7" s="12"/>
      <c r="B7" s="102" t="s">
        <v>110</v>
      </c>
      <c r="C7" s="14"/>
      <c r="D7" s="14"/>
      <c r="E7" s="14"/>
      <c r="F7" s="14"/>
      <c r="G7" s="14"/>
      <c r="H7" s="14"/>
      <c r="I7" s="14"/>
      <c r="J7" s="14"/>
      <c r="K7" s="14"/>
      <c r="L7" s="14"/>
      <c r="M7" s="14"/>
      <c r="N7" s="14"/>
      <c r="O7" s="14"/>
      <c r="P7" s="14"/>
      <c r="Q7" s="14"/>
      <c r="R7" s="14"/>
      <c r="S7" s="217"/>
      <c r="T7" s="2"/>
    </row>
    <row r="8" spans="1:20" ht="15.6" x14ac:dyDescent="0.3">
      <c r="A8" s="12"/>
      <c r="B8" s="17"/>
      <c r="C8" s="14"/>
      <c r="D8" s="14"/>
      <c r="E8" s="14"/>
      <c r="F8" s="14"/>
      <c r="G8" s="14"/>
      <c r="H8" s="14"/>
      <c r="I8" s="14"/>
      <c r="J8" s="14"/>
      <c r="K8" s="14"/>
      <c r="L8" s="14"/>
      <c r="M8" s="14"/>
      <c r="N8" s="14"/>
      <c r="O8" s="14"/>
      <c r="P8" s="14"/>
      <c r="Q8" s="14"/>
      <c r="R8" s="14"/>
      <c r="S8" s="217"/>
      <c r="T8" s="2"/>
    </row>
    <row r="9" spans="1:20" ht="17.399999999999999" x14ac:dyDescent="0.3">
      <c r="A9" s="12"/>
      <c r="B9" s="18" t="s">
        <v>127</v>
      </c>
      <c r="C9" s="14"/>
      <c r="D9" s="14"/>
      <c r="E9" s="19"/>
      <c r="F9" s="14"/>
      <c r="G9" s="14"/>
      <c r="H9" s="19"/>
      <c r="I9" s="14"/>
      <c r="J9" s="19"/>
      <c r="K9" s="19" t="s">
        <v>128</v>
      </c>
      <c r="L9" s="19"/>
      <c r="M9" s="14"/>
      <c r="N9" s="14"/>
      <c r="O9" s="14"/>
      <c r="P9" s="14"/>
      <c r="Q9" s="14"/>
      <c r="R9" s="14"/>
      <c r="S9" s="217"/>
      <c r="T9" s="2"/>
    </row>
    <row r="10" spans="1:20" ht="15.6" x14ac:dyDescent="0.3">
      <c r="A10" s="12"/>
      <c r="B10" s="17"/>
      <c r="C10" s="20"/>
      <c r="D10" s="14"/>
      <c r="E10" s="14"/>
      <c r="F10" s="14"/>
      <c r="G10" s="14"/>
      <c r="H10" s="14"/>
      <c r="I10" s="14"/>
      <c r="J10" s="14"/>
      <c r="K10" s="14"/>
      <c r="L10" s="14"/>
      <c r="M10" s="14"/>
      <c r="N10" s="14"/>
      <c r="O10" s="14"/>
      <c r="P10" s="14"/>
      <c r="Q10" s="14"/>
      <c r="R10" s="14"/>
      <c r="S10" s="217"/>
      <c r="T10" s="2"/>
    </row>
    <row r="11" spans="1:20" ht="15.6" x14ac:dyDescent="0.3">
      <c r="A11" s="12"/>
      <c r="B11" s="88" t="s">
        <v>0</v>
      </c>
      <c r="C11" s="14"/>
      <c r="D11" s="14"/>
      <c r="E11" s="14"/>
      <c r="F11" s="14"/>
      <c r="G11" s="14"/>
      <c r="H11" s="14"/>
      <c r="I11" s="14"/>
      <c r="J11" s="14"/>
      <c r="K11" s="14"/>
      <c r="L11" s="14"/>
      <c r="M11" s="14"/>
      <c r="N11" s="14"/>
      <c r="O11" s="14"/>
      <c r="P11" s="14"/>
      <c r="Q11" s="14"/>
      <c r="R11" s="14"/>
      <c r="S11" s="217"/>
      <c r="T11" s="2"/>
    </row>
    <row r="12" spans="1:20" ht="16.2" thickBot="1" x14ac:dyDescent="0.35">
      <c r="A12" s="12"/>
      <c r="B12" s="20"/>
      <c r="C12" s="14"/>
      <c r="D12" s="14"/>
      <c r="E12" s="14"/>
      <c r="F12" s="14"/>
      <c r="G12" s="14"/>
      <c r="H12" s="14"/>
      <c r="I12" s="14"/>
      <c r="J12" s="14"/>
      <c r="K12" s="14"/>
      <c r="L12" s="14"/>
      <c r="M12" s="14"/>
      <c r="N12" s="14"/>
      <c r="O12" s="14"/>
      <c r="P12" s="14"/>
      <c r="Q12" s="14"/>
      <c r="R12" s="14"/>
      <c r="S12" s="217"/>
      <c r="T12" s="2"/>
    </row>
    <row r="13" spans="1:20" ht="15.6" x14ac:dyDescent="0.3">
      <c r="A13" s="10"/>
      <c r="B13" s="11"/>
      <c r="C13" s="11"/>
      <c r="D13" s="11"/>
      <c r="E13" s="11"/>
      <c r="F13" s="11"/>
      <c r="G13" s="11"/>
      <c r="H13" s="11"/>
      <c r="I13" s="11"/>
      <c r="J13" s="11"/>
      <c r="K13" s="11"/>
      <c r="L13" s="11"/>
      <c r="M13" s="11"/>
      <c r="N13" s="11"/>
      <c r="O13" s="11"/>
      <c r="P13" s="11"/>
      <c r="Q13" s="11"/>
      <c r="R13" s="11"/>
      <c r="S13" s="216"/>
      <c r="T13" s="2"/>
    </row>
    <row r="14" spans="1:20" ht="15.6" x14ac:dyDescent="0.3">
      <c r="A14" s="12"/>
      <c r="B14" s="88" t="s">
        <v>1</v>
      </c>
      <c r="C14" s="84"/>
      <c r="D14" s="84"/>
      <c r="E14" s="84"/>
      <c r="F14" s="84"/>
      <c r="G14" s="84"/>
      <c r="H14" s="84"/>
      <c r="I14" s="84"/>
      <c r="J14" s="84"/>
      <c r="K14" s="84"/>
      <c r="L14" s="84"/>
      <c r="M14" s="84"/>
      <c r="N14" s="84"/>
      <c r="O14" s="84"/>
      <c r="P14" s="84"/>
      <c r="Q14" s="84"/>
      <c r="R14" s="103" t="s">
        <v>223</v>
      </c>
      <c r="S14" s="218"/>
      <c r="T14" s="2"/>
    </row>
    <row r="15" spans="1:20" ht="15.6" x14ac:dyDescent="0.3">
      <c r="A15" s="12"/>
      <c r="B15" s="88" t="s">
        <v>2</v>
      </c>
      <c r="C15" s="84"/>
      <c r="D15" s="104"/>
      <c r="E15" s="104"/>
      <c r="F15" s="104"/>
      <c r="G15" s="104"/>
      <c r="H15" s="104"/>
      <c r="I15" s="104"/>
      <c r="J15" s="104"/>
      <c r="K15" s="104"/>
      <c r="L15" s="104"/>
      <c r="M15" s="104"/>
      <c r="N15" s="105"/>
      <c r="O15" s="105"/>
      <c r="P15" s="105" t="s">
        <v>154</v>
      </c>
      <c r="Q15" s="105">
        <v>1</v>
      </c>
      <c r="R15" s="103"/>
      <c r="S15" s="218"/>
      <c r="T15" s="2"/>
    </row>
    <row r="16" spans="1:20" ht="15.6" x14ac:dyDescent="0.3">
      <c r="A16" s="12"/>
      <c r="B16" s="88" t="s">
        <v>3</v>
      </c>
      <c r="C16" s="84"/>
      <c r="D16" s="104"/>
      <c r="E16" s="104"/>
      <c r="F16" s="104"/>
      <c r="G16" s="104"/>
      <c r="H16" s="104"/>
      <c r="I16" s="104"/>
      <c r="J16" s="104"/>
      <c r="K16" s="104"/>
      <c r="L16" s="104"/>
      <c r="M16" s="104"/>
      <c r="N16" s="105"/>
      <c r="O16" s="230"/>
      <c r="P16" s="105" t="s">
        <v>154</v>
      </c>
      <c r="Q16" s="230">
        <v>1</v>
      </c>
      <c r="R16" s="103"/>
      <c r="S16" s="218"/>
      <c r="T16" s="2"/>
    </row>
    <row r="17" spans="1:23" ht="15.6" x14ac:dyDescent="0.3">
      <c r="A17" s="12"/>
      <c r="B17" s="88" t="s">
        <v>4</v>
      </c>
      <c r="C17" s="84"/>
      <c r="D17" s="84"/>
      <c r="E17" s="84"/>
      <c r="F17" s="84"/>
      <c r="G17" s="84"/>
      <c r="H17" s="84"/>
      <c r="I17" s="84"/>
      <c r="J17" s="84"/>
      <c r="K17" s="84"/>
      <c r="L17" s="84"/>
      <c r="M17" s="84"/>
      <c r="N17" s="84"/>
      <c r="O17" s="84"/>
      <c r="P17" s="84"/>
      <c r="Q17" s="84"/>
      <c r="R17" s="106">
        <v>42088</v>
      </c>
      <c r="S17" s="218"/>
      <c r="T17" s="2"/>
    </row>
    <row r="18" spans="1:23" ht="15.6" x14ac:dyDescent="0.3">
      <c r="A18" s="12"/>
      <c r="B18" s="88" t="s">
        <v>5</v>
      </c>
      <c r="C18" s="84"/>
      <c r="D18" s="84"/>
      <c r="E18" s="84"/>
      <c r="F18" s="84"/>
      <c r="G18" s="84"/>
      <c r="H18" s="84"/>
      <c r="I18" s="84"/>
      <c r="J18" s="84"/>
      <c r="K18" s="84"/>
      <c r="L18" s="84"/>
      <c r="M18" s="84"/>
      <c r="N18" s="84"/>
      <c r="O18" s="84"/>
      <c r="P18" s="84"/>
      <c r="Q18" s="84"/>
      <c r="R18" s="215">
        <v>42542</v>
      </c>
      <c r="S18" s="218"/>
      <c r="T18" s="2"/>
    </row>
    <row r="19" spans="1:23" ht="15.6" x14ac:dyDescent="0.3">
      <c r="A19" s="12"/>
      <c r="B19" s="14"/>
      <c r="C19" s="14"/>
      <c r="D19" s="14"/>
      <c r="E19" s="14"/>
      <c r="F19" s="14"/>
      <c r="G19" s="14"/>
      <c r="H19" s="14"/>
      <c r="I19" s="14"/>
      <c r="J19" s="14"/>
      <c r="K19" s="14"/>
      <c r="L19" s="14"/>
      <c r="M19" s="14"/>
      <c r="N19" s="14"/>
      <c r="O19" s="14"/>
      <c r="P19" s="14"/>
      <c r="Q19" s="14"/>
      <c r="R19" s="21"/>
      <c r="S19" s="217"/>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7"/>
      <c r="T20" s="2"/>
    </row>
    <row r="21" spans="1:23" ht="15.6" x14ac:dyDescent="0.3">
      <c r="A21" s="12"/>
      <c r="B21" s="14"/>
      <c r="C21" s="14"/>
      <c r="D21" s="14"/>
      <c r="E21" s="14"/>
      <c r="F21" s="14"/>
      <c r="G21" s="14"/>
      <c r="H21" s="14"/>
      <c r="I21" s="14"/>
      <c r="J21" s="14"/>
      <c r="K21" s="14"/>
      <c r="L21" s="14"/>
      <c r="M21" s="14"/>
      <c r="N21" s="14"/>
      <c r="O21" s="14"/>
      <c r="P21" s="14"/>
      <c r="Q21" s="14"/>
      <c r="R21" s="23"/>
      <c r="S21" s="217"/>
      <c r="T21" s="2"/>
    </row>
    <row r="22" spans="1:23" ht="15.6" x14ac:dyDescent="0.3">
      <c r="A22" s="53"/>
      <c r="B22" s="54"/>
      <c r="C22" s="55"/>
      <c r="D22" s="55" t="s">
        <v>232</v>
      </c>
      <c r="E22" s="55"/>
      <c r="F22" s="55" t="s">
        <v>233</v>
      </c>
      <c r="G22" s="55"/>
      <c r="H22" s="55" t="s">
        <v>179</v>
      </c>
      <c r="I22" s="55"/>
      <c r="J22" s="55" t="s">
        <v>180</v>
      </c>
      <c r="K22" s="55"/>
      <c r="L22" s="55" t="s">
        <v>234</v>
      </c>
      <c r="M22" s="55"/>
      <c r="N22" s="55"/>
      <c r="O22" s="56"/>
      <c r="P22" s="57"/>
      <c r="Q22" s="58"/>
      <c r="R22" s="58"/>
      <c r="S22" s="219"/>
      <c r="T22" s="2"/>
    </row>
    <row r="23" spans="1:23" ht="15.6" x14ac:dyDescent="0.3">
      <c r="A23" s="24"/>
      <c r="B23" s="79" t="s">
        <v>226</v>
      </c>
      <c r="C23" s="109"/>
      <c r="D23" s="109" t="s">
        <v>112</v>
      </c>
      <c r="E23" s="109"/>
      <c r="F23" s="109" t="s">
        <v>112</v>
      </c>
      <c r="G23" s="109"/>
      <c r="H23" s="109" t="s">
        <v>178</v>
      </c>
      <c r="I23" s="109"/>
      <c r="J23" s="109" t="s">
        <v>249</v>
      </c>
      <c r="K23" s="109"/>
      <c r="L23" s="109" t="s">
        <v>153</v>
      </c>
      <c r="M23" s="109"/>
      <c r="N23" s="109"/>
      <c r="O23" s="109"/>
      <c r="P23" s="109"/>
      <c r="Q23" s="100"/>
      <c r="R23" s="100"/>
      <c r="S23" s="220"/>
      <c r="T23" s="2"/>
    </row>
    <row r="24" spans="1:23" ht="15.6" x14ac:dyDescent="0.3">
      <c r="A24" s="117"/>
      <c r="B24" s="113" t="s">
        <v>197</v>
      </c>
      <c r="C24" s="119"/>
      <c r="D24" s="114" t="s">
        <v>199</v>
      </c>
      <c r="E24" s="114"/>
      <c r="F24" s="114" t="s">
        <v>199</v>
      </c>
      <c r="G24" s="114"/>
      <c r="H24" s="114" t="s">
        <v>200</v>
      </c>
      <c r="I24" s="114"/>
      <c r="J24" s="114" t="s">
        <v>201</v>
      </c>
      <c r="K24" s="114"/>
      <c r="L24" s="114" t="s">
        <v>153</v>
      </c>
      <c r="M24" s="114"/>
      <c r="N24" s="114"/>
      <c r="O24" s="119"/>
      <c r="P24" s="114"/>
      <c r="Q24" s="115"/>
      <c r="R24" s="115"/>
      <c r="S24" s="116"/>
      <c r="T24" s="2"/>
    </row>
    <row r="25" spans="1:23" ht="15.6" x14ac:dyDescent="0.3">
      <c r="A25" s="120"/>
      <c r="B25" s="124" t="s">
        <v>227</v>
      </c>
      <c r="C25" s="119"/>
      <c r="D25" s="119" t="s">
        <v>112</v>
      </c>
      <c r="E25" s="119"/>
      <c r="F25" s="119" t="s">
        <v>112</v>
      </c>
      <c r="G25" s="119"/>
      <c r="H25" s="119" t="s">
        <v>178</v>
      </c>
      <c r="I25" s="119"/>
      <c r="J25" s="119" t="s">
        <v>249</v>
      </c>
      <c r="K25" s="119"/>
      <c r="L25" s="119" t="s">
        <v>153</v>
      </c>
      <c r="M25" s="119"/>
      <c r="N25" s="119"/>
      <c r="O25" s="119"/>
      <c r="P25" s="114"/>
      <c r="Q25" s="115"/>
      <c r="R25" s="115"/>
      <c r="S25" s="116"/>
      <c r="T25" s="2"/>
      <c r="U25" s="211"/>
      <c r="W25" s="212"/>
    </row>
    <row r="26" spans="1:23" ht="15.6" x14ac:dyDescent="0.3">
      <c r="A26" s="122"/>
      <c r="B26" s="124" t="s">
        <v>198</v>
      </c>
      <c r="C26" s="114"/>
      <c r="D26" s="119" t="s">
        <v>199</v>
      </c>
      <c r="E26" s="119"/>
      <c r="F26" s="119" t="s">
        <v>199</v>
      </c>
      <c r="G26" s="119"/>
      <c r="H26" s="119" t="s">
        <v>200</v>
      </c>
      <c r="I26" s="119"/>
      <c r="J26" s="119" t="s">
        <v>201</v>
      </c>
      <c r="K26" s="119"/>
      <c r="L26" s="119" t="s">
        <v>153</v>
      </c>
      <c r="M26" s="119"/>
      <c r="N26" s="119"/>
      <c r="O26" s="114"/>
      <c r="P26" s="123"/>
      <c r="Q26" s="115"/>
      <c r="R26" s="115"/>
      <c r="S26" s="116"/>
      <c r="T26" s="2"/>
      <c r="U26" s="211"/>
      <c r="W26" s="212"/>
    </row>
    <row r="27" spans="1:23" ht="15.6" x14ac:dyDescent="0.3">
      <c r="A27" s="122"/>
      <c r="B27" s="113" t="s">
        <v>7</v>
      </c>
      <c r="C27" s="125"/>
      <c r="D27" s="114" t="s">
        <v>228</v>
      </c>
      <c r="E27" s="114"/>
      <c r="F27" s="114" t="s">
        <v>242</v>
      </c>
      <c r="G27" s="114"/>
      <c r="H27" s="114" t="s">
        <v>243</v>
      </c>
      <c r="I27" s="114"/>
      <c r="J27" s="114" t="s">
        <v>244</v>
      </c>
      <c r="K27" s="114"/>
      <c r="L27" s="114" t="s">
        <v>245</v>
      </c>
      <c r="M27" s="114"/>
      <c r="N27" s="114"/>
      <c r="O27" s="126"/>
      <c r="P27" s="126"/>
      <c r="Q27" s="127"/>
      <c r="R27" s="126"/>
      <c r="S27" s="128"/>
      <c r="T27" s="2"/>
      <c r="U27" s="211"/>
      <c r="W27" s="212"/>
    </row>
    <row r="28" spans="1:23" ht="15.6" x14ac:dyDescent="0.3">
      <c r="A28" s="120"/>
      <c r="B28" s="113" t="s">
        <v>106</v>
      </c>
      <c r="C28" s="129"/>
      <c r="D28" s="235">
        <v>164000</v>
      </c>
      <c r="E28" s="130"/>
      <c r="F28" s="201">
        <v>151700</v>
      </c>
      <c r="G28" s="198"/>
      <c r="H28" s="201">
        <v>12000</v>
      </c>
      <c r="I28" s="198"/>
      <c r="J28" s="201">
        <v>12000</v>
      </c>
      <c r="K28" s="126"/>
      <c r="L28" s="201">
        <v>7500</v>
      </c>
      <c r="M28" s="126"/>
      <c r="N28" s="130"/>
      <c r="O28" s="131"/>
      <c r="P28" s="131"/>
      <c r="Q28" s="132"/>
      <c r="R28" s="126"/>
      <c r="S28" s="128"/>
      <c r="T28" s="2"/>
    </row>
    <row r="29" spans="1:23" ht="15.6" x14ac:dyDescent="0.3">
      <c r="A29" s="122"/>
      <c r="B29" s="113" t="s">
        <v>105</v>
      </c>
      <c r="C29" s="125"/>
      <c r="D29" s="235">
        <f>D28*D35</f>
        <v>156004.70480000001</v>
      </c>
      <c r="E29" s="130"/>
      <c r="F29" s="201">
        <f>F28*F35</f>
        <v>144304.35193999999</v>
      </c>
      <c r="G29" s="201"/>
      <c r="H29" s="201">
        <f>H28</f>
        <v>12000</v>
      </c>
      <c r="I29" s="201"/>
      <c r="J29" s="201">
        <f>J28</f>
        <v>12000</v>
      </c>
      <c r="K29" s="126"/>
      <c r="L29" s="201">
        <f>L28</f>
        <v>7500</v>
      </c>
      <c r="M29" s="126"/>
      <c r="N29" s="130"/>
      <c r="O29" s="126"/>
      <c r="P29" s="126"/>
      <c r="Q29" s="127"/>
      <c r="R29" s="126"/>
      <c r="S29" s="128"/>
      <c r="T29" s="2"/>
    </row>
    <row r="30" spans="1:23" ht="15.6" x14ac:dyDescent="0.3">
      <c r="A30" s="122"/>
      <c r="B30" s="121" t="s">
        <v>107</v>
      </c>
      <c r="C30" s="125"/>
      <c r="D30" s="236">
        <f>D28*D34</f>
        <v>153854.8616</v>
      </c>
      <c r="E30" s="202"/>
      <c r="F30" s="202">
        <f t="shared" ref="F30" si="0">F28*F34</f>
        <v>142315.74698</v>
      </c>
      <c r="G30" s="202"/>
      <c r="H30" s="202">
        <f t="shared" ref="H30" si="1">H28*H34</f>
        <v>12000</v>
      </c>
      <c r="I30" s="202"/>
      <c r="J30" s="202">
        <f t="shared" ref="J30" si="2">J28*J34</f>
        <v>12000</v>
      </c>
      <c r="K30" s="202"/>
      <c r="L30" s="202">
        <f t="shared" ref="L30" si="3">L28*L34</f>
        <v>7500</v>
      </c>
      <c r="M30" s="131"/>
      <c r="N30" s="133"/>
      <c r="O30" s="126"/>
      <c r="P30" s="126"/>
      <c r="Q30" s="127"/>
      <c r="R30" s="203"/>
      <c r="S30" s="128"/>
      <c r="T30" s="2"/>
    </row>
    <row r="31" spans="1:23" ht="15.6" x14ac:dyDescent="0.3">
      <c r="A31" s="122"/>
      <c r="B31" s="113" t="s">
        <v>229</v>
      </c>
      <c r="C31" s="125"/>
      <c r="D31" s="201">
        <v>116809</v>
      </c>
      <c r="E31" s="201"/>
      <c r="F31" s="201">
        <v>151700</v>
      </c>
      <c r="G31" s="201"/>
      <c r="H31" s="201">
        <v>12000</v>
      </c>
      <c r="I31" s="201"/>
      <c r="J31" s="201">
        <v>12000</v>
      </c>
      <c r="K31" s="201"/>
      <c r="L31" s="201">
        <v>7500</v>
      </c>
      <c r="M31" s="126"/>
      <c r="N31" s="133"/>
      <c r="O31" s="126"/>
      <c r="P31" s="126"/>
      <c r="Q31" s="127"/>
      <c r="R31" s="126">
        <f>SUM(D31:L31)</f>
        <v>300009</v>
      </c>
      <c r="S31" s="128"/>
      <c r="T31" s="2"/>
    </row>
    <row r="32" spans="1:23" ht="15.6" x14ac:dyDescent="0.3">
      <c r="A32" s="122"/>
      <c r="B32" s="113" t="s">
        <v>230</v>
      </c>
      <c r="C32" s="125"/>
      <c r="D32" s="201">
        <f>D31*D35</f>
        <v>111114.35099379999</v>
      </c>
      <c r="E32" s="201"/>
      <c r="F32" s="201">
        <f>F31*F35</f>
        <v>144304.35193999999</v>
      </c>
      <c r="G32" s="201"/>
      <c r="H32" s="201">
        <f>H31</f>
        <v>12000</v>
      </c>
      <c r="I32" s="201"/>
      <c r="J32" s="201">
        <f>+J31</f>
        <v>12000</v>
      </c>
      <c r="K32" s="201"/>
      <c r="L32" s="201">
        <f>L31</f>
        <v>7500</v>
      </c>
      <c r="M32" s="126"/>
      <c r="N32" s="133"/>
      <c r="O32" s="126"/>
      <c r="P32" s="126"/>
      <c r="Q32" s="127"/>
      <c r="R32" s="126">
        <f>SUM(D32:L32)</f>
        <v>286918.7029338</v>
      </c>
      <c r="S32" s="128"/>
      <c r="T32" s="2"/>
    </row>
    <row r="33" spans="1:20" ht="15.6" x14ac:dyDescent="0.3">
      <c r="A33" s="122"/>
      <c r="B33" s="124" t="s">
        <v>231</v>
      </c>
      <c r="C33" s="125"/>
      <c r="D33" s="237">
        <f>D31*D34</f>
        <v>109583.12517459999</v>
      </c>
      <c r="E33" s="237"/>
      <c r="F33" s="237">
        <f>F31*F34</f>
        <v>142315.74698</v>
      </c>
      <c r="G33" s="237"/>
      <c r="H33" s="237">
        <f t="shared" ref="H33:L33" si="4">H31*H34</f>
        <v>12000</v>
      </c>
      <c r="I33" s="237"/>
      <c r="J33" s="237">
        <f t="shared" si="4"/>
        <v>12000</v>
      </c>
      <c r="K33" s="237"/>
      <c r="L33" s="237">
        <f t="shared" si="4"/>
        <v>7500</v>
      </c>
      <c r="M33" s="131"/>
      <c r="N33" s="133"/>
      <c r="O33" s="126"/>
      <c r="P33" s="126"/>
      <c r="Q33" s="127"/>
      <c r="R33" s="203">
        <f>SUM(D33:L33)</f>
        <v>283398.87215459999</v>
      </c>
      <c r="S33" s="128"/>
      <c r="T33" s="2"/>
    </row>
    <row r="34" spans="1:20" ht="15.6" x14ac:dyDescent="0.3">
      <c r="A34" s="112"/>
      <c r="B34" s="134" t="s">
        <v>103</v>
      </c>
      <c r="C34" s="135"/>
      <c r="D34" s="136">
        <v>0.93813939999999996</v>
      </c>
      <c r="E34" s="136"/>
      <c r="F34" s="136">
        <v>0.93813939999999996</v>
      </c>
      <c r="G34" s="136"/>
      <c r="H34" s="136">
        <v>1</v>
      </c>
      <c r="I34" s="136"/>
      <c r="J34" s="136">
        <v>1</v>
      </c>
      <c r="K34" s="136"/>
      <c r="L34" s="136">
        <v>1</v>
      </c>
      <c r="M34" s="136"/>
      <c r="N34" s="136"/>
      <c r="O34" s="137"/>
      <c r="P34" s="137"/>
      <c r="Q34" s="138"/>
      <c r="R34" s="204"/>
      <c r="S34" s="139"/>
      <c r="T34" s="2"/>
    </row>
    <row r="35" spans="1:20" ht="15.6" x14ac:dyDescent="0.3">
      <c r="A35" s="112"/>
      <c r="B35" s="134" t="s">
        <v>104</v>
      </c>
      <c r="C35" s="135"/>
      <c r="D35" s="136">
        <v>0.95124819999999999</v>
      </c>
      <c r="E35" s="136"/>
      <c r="F35" s="136">
        <v>0.95124819999999999</v>
      </c>
      <c r="G35" s="136"/>
      <c r="H35" s="136">
        <v>1</v>
      </c>
      <c r="I35" s="136"/>
      <c r="J35" s="136">
        <v>1</v>
      </c>
      <c r="K35" s="136"/>
      <c r="L35" s="136">
        <v>1</v>
      </c>
      <c r="M35" s="136"/>
      <c r="N35" s="136"/>
      <c r="O35" s="140"/>
      <c r="P35" s="141"/>
      <c r="Q35" s="138"/>
      <c r="R35" s="140"/>
      <c r="S35" s="139"/>
      <c r="T35" s="2"/>
    </row>
    <row r="36" spans="1:20" ht="15.6" x14ac:dyDescent="0.3">
      <c r="A36" s="112"/>
      <c r="B36" s="113" t="s">
        <v>8</v>
      </c>
      <c r="C36" s="113"/>
      <c r="D36" s="123" t="s">
        <v>240</v>
      </c>
      <c r="E36" s="123"/>
      <c r="F36" s="123" t="s">
        <v>220</v>
      </c>
      <c r="G36" s="123"/>
      <c r="H36" s="123" t="s">
        <v>247</v>
      </c>
      <c r="I36" s="123"/>
      <c r="J36" s="123" t="s">
        <v>250</v>
      </c>
      <c r="K36" s="123"/>
      <c r="L36" s="123" t="s">
        <v>252</v>
      </c>
      <c r="M36" s="123"/>
      <c r="N36" s="123"/>
      <c r="O36" s="142"/>
      <c r="P36" s="143"/>
      <c r="Q36" s="115"/>
      <c r="R36" s="115"/>
      <c r="S36" s="116"/>
      <c r="T36" s="2"/>
    </row>
    <row r="37" spans="1:20" ht="15.6" x14ac:dyDescent="0.3">
      <c r="A37" s="112"/>
      <c r="B37" s="113" t="s">
        <v>9</v>
      </c>
      <c r="C37" s="144"/>
      <c r="D37" s="143">
        <v>2.7499999999999998E-3</v>
      </c>
      <c r="E37" s="143"/>
      <c r="F37" s="143">
        <v>1.39125E-2</v>
      </c>
      <c r="G37" s="143"/>
      <c r="H37" s="143">
        <v>1.9412499999999999E-2</v>
      </c>
      <c r="I37" s="143"/>
      <c r="J37" s="143">
        <v>2.2412499999999998E-2</v>
      </c>
      <c r="K37" s="143"/>
      <c r="L37" s="143">
        <v>2.5912500000000002E-2</v>
      </c>
      <c r="M37" s="142"/>
      <c r="N37" s="143"/>
      <c r="O37" s="123"/>
      <c r="P37" s="123"/>
      <c r="Q37" s="115"/>
      <c r="R37" s="142"/>
      <c r="S37" s="116"/>
      <c r="T37" s="2"/>
    </row>
    <row r="38" spans="1:20" ht="15.6" x14ac:dyDescent="0.3">
      <c r="A38" s="112"/>
      <c r="B38" s="113" t="s">
        <v>10</v>
      </c>
      <c r="C38" s="144"/>
      <c r="D38" s="143">
        <v>3.7200000000000002E-3</v>
      </c>
      <c r="E38" s="143"/>
      <c r="F38" s="143">
        <v>1.38338E-2</v>
      </c>
      <c r="G38" s="143"/>
      <c r="H38" s="143">
        <v>1.9333800000000002E-2</v>
      </c>
      <c r="I38" s="143"/>
      <c r="J38" s="143">
        <v>2.2333800000000001E-2</v>
      </c>
      <c r="K38" s="143"/>
      <c r="L38" s="143">
        <v>2.5833800000000001E-2</v>
      </c>
      <c r="M38" s="142"/>
      <c r="N38" s="143"/>
      <c r="O38" s="123"/>
      <c r="P38" s="123"/>
      <c r="Q38" s="115"/>
      <c r="R38" s="115"/>
      <c r="S38" s="116"/>
      <c r="T38" s="2"/>
    </row>
    <row r="39" spans="1:20" ht="15.6" x14ac:dyDescent="0.3">
      <c r="A39" s="112"/>
      <c r="B39" s="113" t="s">
        <v>235</v>
      </c>
      <c r="C39" s="144"/>
      <c r="D39" s="240" t="s">
        <v>260</v>
      </c>
      <c r="E39" s="143"/>
      <c r="F39" s="143" t="s">
        <v>220</v>
      </c>
      <c r="G39" s="143"/>
      <c r="H39" s="143" t="s">
        <v>247</v>
      </c>
      <c r="I39" s="143"/>
      <c r="J39" s="123" t="s">
        <v>250</v>
      </c>
      <c r="K39" s="143"/>
      <c r="L39" s="143" t="s">
        <v>252</v>
      </c>
      <c r="M39" s="142"/>
      <c r="N39" s="143"/>
      <c r="O39" s="123"/>
      <c r="P39" s="123"/>
      <c r="Q39" s="115"/>
      <c r="R39" s="115"/>
      <c r="S39" s="116"/>
      <c r="T39" s="2"/>
    </row>
    <row r="40" spans="1:20" ht="15.6" x14ac:dyDescent="0.3">
      <c r="A40" s="112"/>
      <c r="B40" s="113" t="s">
        <v>236</v>
      </c>
      <c r="C40" s="144"/>
      <c r="D40" s="143">
        <v>1.6312500000000001E-2</v>
      </c>
      <c r="E40" s="143"/>
      <c r="F40" s="143">
        <f>+F37</f>
        <v>1.39125E-2</v>
      </c>
      <c r="G40" s="143"/>
      <c r="H40" s="143">
        <f>+H37</f>
        <v>1.9412499999999999E-2</v>
      </c>
      <c r="I40" s="143"/>
      <c r="J40" s="143">
        <f>+J37</f>
        <v>2.2412499999999998E-2</v>
      </c>
      <c r="K40" s="143"/>
      <c r="L40" s="143">
        <f>+L37</f>
        <v>2.5912500000000002E-2</v>
      </c>
      <c r="M40" s="142"/>
      <c r="N40" s="143"/>
      <c r="O40" s="123"/>
      <c r="P40" s="123"/>
      <c r="Q40" s="115"/>
      <c r="R40" s="142">
        <f>SUMPRODUCT(D40:L40,D32:L32)/R32</f>
        <v>1.5741151938755547E-2</v>
      </c>
      <c r="S40" s="116"/>
      <c r="T40" s="2"/>
    </row>
    <row r="41" spans="1:20" ht="15.6" x14ac:dyDescent="0.3">
      <c r="A41" s="112"/>
      <c r="B41" s="113" t="s">
        <v>237</v>
      </c>
      <c r="C41" s="144"/>
      <c r="D41" s="143">
        <v>1.62338E-2</v>
      </c>
      <c r="E41" s="143"/>
      <c r="F41" s="143">
        <f>+F38</f>
        <v>1.38338E-2</v>
      </c>
      <c r="G41" s="143"/>
      <c r="H41" s="143">
        <f>+H38</f>
        <v>1.9333800000000002E-2</v>
      </c>
      <c r="I41" s="143"/>
      <c r="J41" s="143">
        <f>+J38</f>
        <v>2.2333800000000001E-2</v>
      </c>
      <c r="K41" s="143"/>
      <c r="L41" s="143">
        <f>+L38</f>
        <v>2.5833800000000001E-2</v>
      </c>
      <c r="M41" s="142"/>
      <c r="N41" s="143"/>
      <c r="O41" s="123"/>
      <c r="P41" s="123"/>
      <c r="Q41" s="115"/>
      <c r="R41" s="115"/>
      <c r="S41" s="116"/>
      <c r="T41" s="2"/>
    </row>
    <row r="42" spans="1:20" ht="15.6" x14ac:dyDescent="0.3">
      <c r="A42" s="112"/>
      <c r="B42" s="113" t="s">
        <v>238</v>
      </c>
      <c r="C42" s="113"/>
      <c r="D42" s="144">
        <v>43631</v>
      </c>
      <c r="E42" s="144"/>
      <c r="F42" s="144">
        <v>43631</v>
      </c>
      <c r="G42" s="144"/>
      <c r="H42" s="144">
        <v>43631</v>
      </c>
      <c r="I42" s="144"/>
      <c r="J42" s="144">
        <v>43631</v>
      </c>
      <c r="K42" s="144"/>
      <c r="L42" s="144">
        <v>43631</v>
      </c>
      <c r="M42" s="144"/>
      <c r="N42" s="144"/>
      <c r="O42" s="123"/>
      <c r="P42" s="123"/>
      <c r="Q42" s="115"/>
      <c r="R42" s="115"/>
      <c r="S42" s="116"/>
      <c r="T42" s="2"/>
    </row>
    <row r="43" spans="1:20" ht="15.6" x14ac:dyDescent="0.3">
      <c r="A43" s="112"/>
      <c r="B43" s="113" t="s">
        <v>11</v>
      </c>
      <c r="C43" s="113"/>
      <c r="D43" s="144">
        <v>43631</v>
      </c>
      <c r="E43" s="144"/>
      <c r="F43" s="144">
        <v>43631</v>
      </c>
      <c r="G43" s="123"/>
      <c r="H43" s="144">
        <v>43631</v>
      </c>
      <c r="I43" s="123"/>
      <c r="J43" s="144">
        <v>43631</v>
      </c>
      <c r="K43" s="123"/>
      <c r="L43" s="144" t="s">
        <v>97</v>
      </c>
      <c r="M43" s="123"/>
      <c r="N43" s="144"/>
      <c r="O43" s="123"/>
      <c r="P43" s="123"/>
      <c r="Q43" s="115"/>
      <c r="R43" s="115"/>
      <c r="S43" s="116"/>
      <c r="T43" s="2"/>
    </row>
    <row r="44" spans="1:20" ht="15.6" x14ac:dyDescent="0.3">
      <c r="A44" s="112"/>
      <c r="B44" s="113" t="s">
        <v>98</v>
      </c>
      <c r="C44" s="113"/>
      <c r="D44" s="123" t="s">
        <v>241</v>
      </c>
      <c r="E44" s="123"/>
      <c r="F44" s="123" t="s">
        <v>246</v>
      </c>
      <c r="G44" s="123"/>
      <c r="H44" s="123" t="s">
        <v>248</v>
      </c>
      <c r="I44" s="123"/>
      <c r="J44" s="123" t="s">
        <v>251</v>
      </c>
      <c r="K44" s="123"/>
      <c r="L44" s="123" t="s">
        <v>97</v>
      </c>
      <c r="M44" s="123"/>
      <c r="N44" s="123"/>
      <c r="O44" s="145"/>
      <c r="P44" s="145"/>
      <c r="Q44" s="145"/>
      <c r="R44" s="145"/>
      <c r="S44" s="116"/>
      <c r="T44" s="2"/>
    </row>
    <row r="45" spans="1:20" ht="15.6" x14ac:dyDescent="0.3">
      <c r="A45" s="112"/>
      <c r="B45" s="113" t="s">
        <v>239</v>
      </c>
      <c r="C45" s="113"/>
      <c r="D45" s="123" t="s">
        <v>273</v>
      </c>
      <c r="E45" s="123"/>
      <c r="F45" s="123" t="s">
        <v>246</v>
      </c>
      <c r="G45" s="123"/>
      <c r="H45" s="123" t="s">
        <v>248</v>
      </c>
      <c r="I45" s="123"/>
      <c r="J45" s="123" t="s">
        <v>251</v>
      </c>
      <c r="K45" s="123"/>
      <c r="L45" s="123" t="s">
        <v>97</v>
      </c>
      <c r="M45" s="123"/>
      <c r="N45" s="123"/>
      <c r="O45" s="145"/>
      <c r="P45" s="145"/>
      <c r="Q45" s="145"/>
      <c r="R45" s="145"/>
      <c r="S45" s="116"/>
      <c r="T45" s="2"/>
    </row>
    <row r="46" spans="1:20" ht="15.6" x14ac:dyDescent="0.3">
      <c r="A46" s="112"/>
      <c r="B46" s="113"/>
      <c r="C46" s="113"/>
      <c r="D46" s="123"/>
      <c r="E46" s="123"/>
      <c r="F46" s="123"/>
      <c r="G46" s="123"/>
      <c r="H46" s="123"/>
      <c r="I46" s="123"/>
      <c r="J46" s="123"/>
      <c r="K46" s="123"/>
      <c r="L46" s="123"/>
      <c r="M46" s="123"/>
      <c r="N46" s="123"/>
      <c r="O46" s="113"/>
      <c r="P46" s="113"/>
      <c r="Q46" s="113"/>
      <c r="R46" s="142" t="s">
        <v>130</v>
      </c>
      <c r="S46" s="116"/>
      <c r="T46" s="2"/>
    </row>
    <row r="47" spans="1:20" ht="15.6" x14ac:dyDescent="0.3">
      <c r="A47" s="112"/>
      <c r="B47" s="113" t="s">
        <v>253</v>
      </c>
      <c r="C47" s="113"/>
      <c r="D47" s="123"/>
      <c r="E47" s="123"/>
      <c r="F47" s="123"/>
      <c r="G47" s="123"/>
      <c r="H47" s="123"/>
      <c r="I47" s="123"/>
      <c r="J47" s="123"/>
      <c r="K47" s="123"/>
      <c r="L47" s="123"/>
      <c r="M47" s="123"/>
      <c r="N47" s="123"/>
      <c r="O47" s="113"/>
      <c r="P47" s="113"/>
      <c r="Q47" s="113"/>
      <c r="R47" s="238">
        <f>SUM(H31:L31)/(D31+F31)</f>
        <v>0.11731450342446621</v>
      </c>
      <c r="S47" s="116"/>
      <c r="T47" s="2"/>
    </row>
    <row r="48" spans="1:20" ht="15.6" x14ac:dyDescent="0.3">
      <c r="A48" s="112"/>
      <c r="B48" s="113" t="s">
        <v>254</v>
      </c>
      <c r="C48" s="113"/>
      <c r="D48" s="113"/>
      <c r="E48" s="113"/>
      <c r="F48" s="113"/>
      <c r="G48" s="113"/>
      <c r="H48" s="113"/>
      <c r="I48" s="113"/>
      <c r="J48" s="113"/>
      <c r="K48" s="113"/>
      <c r="L48" s="113"/>
      <c r="M48" s="113"/>
      <c r="N48" s="113"/>
      <c r="O48" s="113"/>
      <c r="P48" s="113"/>
      <c r="Q48" s="113"/>
      <c r="R48" s="238">
        <f>SUM(H33:L33)/(D33+F33)</f>
        <v>0.1250501827601167</v>
      </c>
      <c r="S48" s="116"/>
      <c r="T48" s="2"/>
    </row>
    <row r="49" spans="1:21" ht="15.6" x14ac:dyDescent="0.3">
      <c r="A49" s="112"/>
      <c r="B49" s="113" t="s">
        <v>255</v>
      </c>
      <c r="C49" s="113"/>
      <c r="D49" s="113"/>
      <c r="E49" s="113"/>
      <c r="F49" s="113"/>
      <c r="G49" s="113"/>
      <c r="H49" s="113"/>
      <c r="I49" s="113"/>
      <c r="J49" s="113"/>
      <c r="K49" s="113"/>
      <c r="L49" s="113"/>
      <c r="M49" s="113"/>
      <c r="N49" s="113"/>
      <c r="O49" s="113"/>
      <c r="P49" s="123"/>
      <c r="Q49" s="123"/>
      <c r="R49" s="126" t="s">
        <v>149</v>
      </c>
      <c r="S49" s="116"/>
      <c r="T49" s="2"/>
    </row>
    <row r="50" spans="1:21" ht="15.6" x14ac:dyDescent="0.3">
      <c r="A50" s="112"/>
      <c r="B50" s="113"/>
      <c r="C50" s="113"/>
      <c r="D50" s="113"/>
      <c r="E50" s="113"/>
      <c r="F50" s="113"/>
      <c r="G50" s="113"/>
      <c r="H50" s="113"/>
      <c r="I50" s="113"/>
      <c r="J50" s="113"/>
      <c r="K50" s="113"/>
      <c r="L50" s="113"/>
      <c r="M50" s="113"/>
      <c r="N50" s="113"/>
      <c r="O50" s="113"/>
      <c r="P50" s="113"/>
      <c r="Q50" s="113"/>
      <c r="R50" s="146"/>
      <c r="S50" s="116"/>
      <c r="T50" s="2"/>
    </row>
    <row r="51" spans="1:21" ht="15.6" x14ac:dyDescent="0.3">
      <c r="A51" s="112"/>
      <c r="B51" s="113" t="s">
        <v>225</v>
      </c>
      <c r="C51" s="113"/>
      <c r="D51" s="113"/>
      <c r="E51" s="113"/>
      <c r="F51" s="113"/>
      <c r="G51" s="113"/>
      <c r="H51" s="113"/>
      <c r="I51" s="113"/>
      <c r="J51" s="113"/>
      <c r="K51" s="113"/>
      <c r="L51" s="113"/>
      <c r="M51" s="113"/>
      <c r="N51" s="113"/>
      <c r="O51" s="113"/>
      <c r="P51" s="113"/>
      <c r="Q51" s="113"/>
      <c r="R51" s="147" t="s">
        <v>91</v>
      </c>
      <c r="S51" s="116"/>
      <c r="T51" s="2"/>
    </row>
    <row r="52" spans="1:21" ht="15.6" x14ac:dyDescent="0.3">
      <c r="A52" s="112"/>
      <c r="B52" s="121" t="s">
        <v>131</v>
      </c>
      <c r="C52" s="121"/>
      <c r="D52" s="121"/>
      <c r="E52" s="121"/>
      <c r="F52" s="121"/>
      <c r="G52" s="121"/>
      <c r="H52" s="121"/>
      <c r="I52" s="121"/>
      <c r="J52" s="121"/>
      <c r="K52" s="121"/>
      <c r="L52" s="121"/>
      <c r="M52" s="121"/>
      <c r="N52" s="121"/>
      <c r="O52" s="121"/>
      <c r="P52" s="148"/>
      <c r="Q52" s="148"/>
      <c r="R52" s="149">
        <v>42536</v>
      </c>
      <c r="S52" s="116"/>
      <c r="T52" s="2"/>
    </row>
    <row r="53" spans="1:21" ht="15.6" x14ac:dyDescent="0.3">
      <c r="A53" s="112"/>
      <c r="B53" s="113" t="s">
        <v>99</v>
      </c>
      <c r="C53" s="113"/>
      <c r="D53" s="150"/>
      <c r="E53" s="150"/>
      <c r="F53" s="150"/>
      <c r="G53" s="150"/>
      <c r="H53" s="150"/>
      <c r="I53" s="150"/>
      <c r="J53" s="150"/>
      <c r="K53" s="150"/>
      <c r="L53" s="150"/>
      <c r="M53" s="150"/>
      <c r="N53" s="113">
        <f>+R53-P53+1</f>
        <v>91</v>
      </c>
      <c r="O53" s="113"/>
      <c r="P53" s="151">
        <v>42353</v>
      </c>
      <c r="Q53" s="152"/>
      <c r="R53" s="151">
        <v>42443</v>
      </c>
      <c r="S53" s="116"/>
      <c r="T53" s="2"/>
    </row>
    <row r="54" spans="1:21" ht="15.6" x14ac:dyDescent="0.3">
      <c r="A54" s="112"/>
      <c r="B54" s="113" t="s">
        <v>100</v>
      </c>
      <c r="C54" s="113"/>
      <c r="D54" s="113"/>
      <c r="E54" s="113"/>
      <c r="F54" s="113"/>
      <c r="G54" s="113"/>
      <c r="H54" s="113"/>
      <c r="I54" s="113"/>
      <c r="J54" s="113"/>
      <c r="K54" s="113"/>
      <c r="L54" s="113"/>
      <c r="M54" s="113"/>
      <c r="N54" s="113">
        <f>+R54-P54+1</f>
        <v>92</v>
      </c>
      <c r="O54" s="113"/>
      <c r="P54" s="151">
        <v>42444</v>
      </c>
      <c r="Q54" s="152"/>
      <c r="R54" s="151">
        <v>42535</v>
      </c>
      <c r="S54" s="116"/>
      <c r="T54" s="2"/>
    </row>
    <row r="55" spans="1:21" ht="15.6" x14ac:dyDescent="0.3">
      <c r="A55" s="112"/>
      <c r="B55" s="113" t="s">
        <v>261</v>
      </c>
      <c r="C55" s="113"/>
      <c r="D55" s="113"/>
      <c r="E55" s="113"/>
      <c r="F55" s="113"/>
      <c r="G55" s="113"/>
      <c r="H55" s="113"/>
      <c r="I55" s="113"/>
      <c r="J55" s="113"/>
      <c r="K55" s="113"/>
      <c r="L55" s="113"/>
      <c r="M55" s="113"/>
      <c r="N55" s="113"/>
      <c r="O55" s="113"/>
      <c r="P55" s="151"/>
      <c r="Q55" s="152"/>
      <c r="R55" s="151" t="s">
        <v>263</v>
      </c>
      <c r="S55" s="116"/>
      <c r="T55" s="2"/>
    </row>
    <row r="56" spans="1:21" ht="15.6" x14ac:dyDescent="0.3">
      <c r="A56" s="112"/>
      <c r="B56" s="113" t="s">
        <v>262</v>
      </c>
      <c r="C56" s="113"/>
      <c r="D56" s="113"/>
      <c r="E56" s="113"/>
      <c r="F56" s="113"/>
      <c r="G56" s="113"/>
      <c r="H56" s="113"/>
      <c r="I56" s="113"/>
      <c r="J56" s="113"/>
      <c r="K56" s="113"/>
      <c r="L56" s="113"/>
      <c r="M56" s="113"/>
      <c r="N56" s="113"/>
      <c r="O56" s="113"/>
      <c r="P56" s="151"/>
      <c r="Q56" s="152"/>
      <c r="R56" s="151" t="s">
        <v>118</v>
      </c>
      <c r="S56" s="116"/>
      <c r="T56" s="2"/>
      <c r="U56" s="5"/>
    </row>
    <row r="57" spans="1:21" ht="15.6" x14ac:dyDescent="0.3">
      <c r="A57" s="112"/>
      <c r="B57" s="113" t="s">
        <v>12</v>
      </c>
      <c r="C57" s="113"/>
      <c r="D57" s="113"/>
      <c r="E57" s="113"/>
      <c r="F57" s="113"/>
      <c r="G57" s="113"/>
      <c r="H57" s="113"/>
      <c r="I57" s="113"/>
      <c r="J57" s="113"/>
      <c r="K57" s="113"/>
      <c r="L57" s="113"/>
      <c r="M57" s="113"/>
      <c r="N57" s="113"/>
      <c r="O57" s="113"/>
      <c r="P57" s="151"/>
      <c r="Q57" s="152"/>
      <c r="R57" s="239">
        <v>42522</v>
      </c>
      <c r="S57" s="116"/>
      <c r="T57" s="2"/>
    </row>
    <row r="58" spans="1:21" ht="15.6" x14ac:dyDescent="0.3">
      <c r="A58" s="12"/>
      <c r="B58" s="43"/>
      <c r="C58" s="43"/>
      <c r="D58" s="43"/>
      <c r="E58" s="43"/>
      <c r="F58" s="43"/>
      <c r="G58" s="43"/>
      <c r="H58" s="43"/>
      <c r="I58" s="43"/>
      <c r="J58" s="43"/>
      <c r="K58" s="43"/>
      <c r="L58" s="43"/>
      <c r="M58" s="43"/>
      <c r="N58" s="43"/>
      <c r="O58" s="43"/>
      <c r="P58" s="110"/>
      <c r="Q58" s="111"/>
      <c r="R58" s="110"/>
      <c r="S58" s="217"/>
      <c r="T58" s="2"/>
    </row>
    <row r="59" spans="1:21" ht="15.6" x14ac:dyDescent="0.3">
      <c r="A59" s="12"/>
      <c r="B59" s="14"/>
      <c r="C59" s="14"/>
      <c r="D59" s="14"/>
      <c r="E59" s="14"/>
      <c r="F59" s="14"/>
      <c r="G59" s="14"/>
      <c r="H59" s="14"/>
      <c r="I59" s="14"/>
      <c r="J59" s="14"/>
      <c r="K59" s="14"/>
      <c r="L59" s="14"/>
      <c r="M59" s="14"/>
      <c r="N59" s="14"/>
      <c r="O59" s="14"/>
      <c r="P59" s="26"/>
      <c r="Q59" s="27"/>
      <c r="R59" s="26"/>
      <c r="S59" s="217"/>
      <c r="T59" s="2"/>
    </row>
    <row r="60" spans="1:21" ht="18" thickBot="1" x14ac:dyDescent="0.35">
      <c r="A60" s="28"/>
      <c r="B60" s="97" t="s">
        <v>281</v>
      </c>
      <c r="C60" s="29"/>
      <c r="D60" s="29"/>
      <c r="E60" s="29"/>
      <c r="F60" s="29"/>
      <c r="G60" s="29"/>
      <c r="H60" s="29"/>
      <c r="I60" s="29"/>
      <c r="J60" s="29"/>
      <c r="K60" s="29"/>
      <c r="L60" s="29"/>
      <c r="M60" s="29"/>
      <c r="N60" s="29"/>
      <c r="O60" s="29"/>
      <c r="P60" s="29"/>
      <c r="Q60" s="29"/>
      <c r="R60" s="30"/>
      <c r="S60" s="31"/>
      <c r="T60" s="2"/>
    </row>
    <row r="61" spans="1:21" ht="15.6" x14ac:dyDescent="0.3">
      <c r="A61" s="53"/>
      <c r="B61" s="59" t="s">
        <v>13</v>
      </c>
      <c r="C61" s="54"/>
      <c r="D61" s="54"/>
      <c r="E61" s="54"/>
      <c r="F61" s="54"/>
      <c r="G61" s="54"/>
      <c r="H61" s="54"/>
      <c r="I61" s="54"/>
      <c r="J61" s="54"/>
      <c r="K61" s="54"/>
      <c r="L61" s="54"/>
      <c r="M61" s="54"/>
      <c r="N61" s="54"/>
      <c r="O61" s="54"/>
      <c r="P61" s="54"/>
      <c r="Q61" s="54"/>
      <c r="R61" s="60"/>
      <c r="S61" s="54"/>
      <c r="T61" s="2"/>
    </row>
    <row r="62" spans="1:21" ht="15.6" x14ac:dyDescent="0.3">
      <c r="A62" s="12"/>
      <c r="B62" s="20"/>
      <c r="C62" s="14"/>
      <c r="D62" s="14"/>
      <c r="E62" s="14"/>
      <c r="F62" s="14"/>
      <c r="G62" s="14"/>
      <c r="H62" s="14"/>
      <c r="I62" s="14"/>
      <c r="J62" s="14"/>
      <c r="K62" s="14"/>
      <c r="L62" s="14"/>
      <c r="M62" s="14"/>
      <c r="N62" s="14"/>
      <c r="O62" s="14"/>
      <c r="P62" s="14"/>
      <c r="Q62" s="14"/>
      <c r="R62" s="33"/>
      <c r="S62" s="217"/>
      <c r="T62" s="2"/>
    </row>
    <row r="63" spans="1:21" ht="46.8" x14ac:dyDescent="0.3">
      <c r="A63" s="12"/>
      <c r="B63" s="34" t="s">
        <v>14</v>
      </c>
      <c r="C63" s="35"/>
      <c r="D63" s="35"/>
      <c r="E63" s="35"/>
      <c r="F63" s="35" t="s">
        <v>76</v>
      </c>
      <c r="G63" s="35"/>
      <c r="H63" s="35" t="s">
        <v>78</v>
      </c>
      <c r="I63" s="35"/>
      <c r="J63" s="35" t="s">
        <v>162</v>
      </c>
      <c r="K63" s="35"/>
      <c r="L63" s="35" t="s">
        <v>163</v>
      </c>
      <c r="M63" s="35"/>
      <c r="N63" s="35" t="s">
        <v>81</v>
      </c>
      <c r="O63" s="35"/>
      <c r="P63" s="35" t="s">
        <v>86</v>
      </c>
      <c r="Q63" s="35"/>
      <c r="R63" s="36" t="s">
        <v>92</v>
      </c>
      <c r="S63" s="221"/>
      <c r="T63" s="2"/>
    </row>
    <row r="64" spans="1:21" ht="15.6" x14ac:dyDescent="0.3">
      <c r="A64" s="112"/>
      <c r="B64" s="113" t="s">
        <v>15</v>
      </c>
      <c r="C64" s="155"/>
      <c r="D64" s="155"/>
      <c r="E64" s="155"/>
      <c r="F64" s="155">
        <v>244234</v>
      </c>
      <c r="G64" s="155"/>
      <c r="H64" s="156">
        <v>285441</v>
      </c>
      <c r="I64" s="155"/>
      <c r="J64" s="156">
        <v>206</v>
      </c>
      <c r="K64" s="155"/>
      <c r="L64" s="155">
        <f>3355+208-206</f>
        <v>3357</v>
      </c>
      <c r="M64" s="155"/>
      <c r="N64" s="155">
        <f>134+43</f>
        <v>177</v>
      </c>
      <c r="O64" s="155"/>
      <c r="P64" s="155">
        <v>0</v>
      </c>
      <c r="Q64" s="155"/>
      <c r="R64" s="156">
        <f>H64-J64-L64+N64-P64</f>
        <v>282055</v>
      </c>
      <c r="S64" s="116"/>
      <c r="T64" s="2"/>
    </row>
    <row r="65" spans="1:20" ht="15.6" x14ac:dyDescent="0.3">
      <c r="A65" s="112"/>
      <c r="B65" s="113" t="s">
        <v>16</v>
      </c>
      <c r="C65" s="155"/>
      <c r="D65" s="155"/>
      <c r="E65" s="155"/>
      <c r="F65" s="155">
        <v>0</v>
      </c>
      <c r="G65" s="155"/>
      <c r="H65" s="156">
        <v>0</v>
      </c>
      <c r="I65" s="155"/>
      <c r="J65" s="156">
        <v>0</v>
      </c>
      <c r="K65" s="155"/>
      <c r="L65" s="155">
        <v>0</v>
      </c>
      <c r="M65" s="155"/>
      <c r="N65" s="155">
        <v>0</v>
      </c>
      <c r="O65" s="155"/>
      <c r="P65" s="155">
        <v>0</v>
      </c>
      <c r="Q65" s="155"/>
      <c r="R65" s="156">
        <f>F65-J65-L65</f>
        <v>0</v>
      </c>
      <c r="S65" s="116"/>
      <c r="T65" s="2"/>
    </row>
    <row r="66" spans="1:20" ht="15.6" x14ac:dyDescent="0.3">
      <c r="A66" s="112"/>
      <c r="B66" s="113"/>
      <c r="C66" s="155"/>
      <c r="D66" s="155"/>
      <c r="E66" s="155"/>
      <c r="F66" s="155"/>
      <c r="G66" s="155"/>
      <c r="H66" s="156"/>
      <c r="I66" s="155"/>
      <c r="J66" s="156"/>
      <c r="K66" s="155"/>
      <c r="L66" s="155"/>
      <c r="M66" s="155"/>
      <c r="N66" s="155"/>
      <c r="O66" s="155"/>
      <c r="P66" s="155"/>
      <c r="Q66" s="155"/>
      <c r="R66" s="156"/>
      <c r="S66" s="116"/>
      <c r="T66" s="2"/>
    </row>
    <row r="67" spans="1:20" ht="15.6" x14ac:dyDescent="0.3">
      <c r="A67" s="112"/>
      <c r="B67" s="113" t="s">
        <v>17</v>
      </c>
      <c r="C67" s="155"/>
      <c r="D67" s="155"/>
      <c r="E67" s="155"/>
      <c r="F67" s="155">
        <f>SUM(F64:F66)</f>
        <v>244234</v>
      </c>
      <c r="G67" s="155"/>
      <c r="H67" s="155">
        <f>H64+H65</f>
        <v>285441</v>
      </c>
      <c r="I67" s="155"/>
      <c r="J67" s="155">
        <f>J64+J65</f>
        <v>206</v>
      </c>
      <c r="K67" s="155"/>
      <c r="L67" s="155">
        <f>SUM(L64:L66)</f>
        <v>3357</v>
      </c>
      <c r="M67" s="155"/>
      <c r="N67" s="155">
        <f>SUM(N64:N66)</f>
        <v>177</v>
      </c>
      <c r="O67" s="155"/>
      <c r="P67" s="155">
        <f>SUM(P64:P66)</f>
        <v>0</v>
      </c>
      <c r="Q67" s="155"/>
      <c r="R67" s="155">
        <f>SUM(R64:R66)</f>
        <v>282055</v>
      </c>
      <c r="S67" s="116"/>
      <c r="T67" s="2"/>
    </row>
    <row r="68" spans="1:20" ht="15.6" x14ac:dyDescent="0.3">
      <c r="A68" s="12"/>
      <c r="B68" s="43"/>
      <c r="C68" s="153"/>
      <c r="D68" s="153"/>
      <c r="E68" s="153"/>
      <c r="F68" s="153"/>
      <c r="G68" s="153"/>
      <c r="H68" s="153"/>
      <c r="I68" s="153"/>
      <c r="J68" s="153"/>
      <c r="K68" s="153"/>
      <c r="L68" s="153"/>
      <c r="M68" s="153"/>
      <c r="N68" s="153"/>
      <c r="O68" s="153"/>
      <c r="P68" s="153"/>
      <c r="Q68" s="153"/>
      <c r="R68" s="154"/>
      <c r="S68" s="217"/>
      <c r="T68" s="2"/>
    </row>
    <row r="69" spans="1:20" ht="15.6" x14ac:dyDescent="0.3">
      <c r="A69" s="12"/>
      <c r="B69" s="16" t="s">
        <v>18</v>
      </c>
      <c r="C69" s="38"/>
      <c r="D69" s="38"/>
      <c r="E69" s="38"/>
      <c r="F69" s="38"/>
      <c r="G69" s="38"/>
      <c r="H69" s="38"/>
      <c r="I69" s="38"/>
      <c r="J69" s="38"/>
      <c r="K69" s="38"/>
      <c r="L69" s="38"/>
      <c r="M69" s="38"/>
      <c r="N69" s="38"/>
      <c r="O69" s="38"/>
      <c r="P69" s="38"/>
      <c r="Q69" s="38"/>
      <c r="R69" s="39"/>
      <c r="S69" s="217"/>
      <c r="T69" s="2"/>
    </row>
    <row r="70" spans="1:20" ht="15.6" x14ac:dyDescent="0.3">
      <c r="A70" s="12"/>
      <c r="B70" s="14"/>
      <c r="C70" s="38"/>
      <c r="D70" s="38"/>
      <c r="E70" s="38"/>
      <c r="F70" s="38"/>
      <c r="G70" s="38"/>
      <c r="H70" s="38"/>
      <c r="I70" s="38"/>
      <c r="J70" s="38"/>
      <c r="K70" s="38"/>
      <c r="L70" s="38"/>
      <c r="M70" s="38"/>
      <c r="N70" s="38"/>
      <c r="O70" s="38"/>
      <c r="P70" s="38"/>
      <c r="Q70" s="38"/>
      <c r="R70" s="39"/>
      <c r="S70" s="217"/>
      <c r="T70" s="2"/>
    </row>
    <row r="71" spans="1:20" ht="15.6" x14ac:dyDescent="0.3">
      <c r="A71" s="112"/>
      <c r="B71" s="113" t="s">
        <v>15</v>
      </c>
      <c r="C71" s="155"/>
      <c r="D71" s="155"/>
      <c r="E71" s="155"/>
      <c r="F71" s="155"/>
      <c r="G71" s="155"/>
      <c r="H71" s="155"/>
      <c r="I71" s="155"/>
      <c r="J71" s="155"/>
      <c r="K71" s="155"/>
      <c r="L71" s="155"/>
      <c r="M71" s="155"/>
      <c r="N71" s="155"/>
      <c r="O71" s="155"/>
      <c r="P71" s="155"/>
      <c r="Q71" s="155"/>
      <c r="R71" s="155"/>
      <c r="S71" s="116"/>
      <c r="T71" s="2"/>
    </row>
    <row r="72" spans="1:20" ht="15.6" x14ac:dyDescent="0.3">
      <c r="A72" s="112"/>
      <c r="B72" s="113" t="s">
        <v>16</v>
      </c>
      <c r="C72" s="155"/>
      <c r="D72" s="155"/>
      <c r="E72" s="155"/>
      <c r="F72" s="155"/>
      <c r="G72" s="155"/>
      <c r="H72" s="155"/>
      <c r="I72" s="155"/>
      <c r="J72" s="155"/>
      <c r="K72" s="155"/>
      <c r="L72" s="155"/>
      <c r="M72" s="155"/>
      <c r="N72" s="155"/>
      <c r="O72" s="155"/>
      <c r="P72" s="155"/>
      <c r="Q72" s="155"/>
      <c r="R72" s="155"/>
      <c r="S72" s="116"/>
      <c r="T72" s="2"/>
    </row>
    <row r="73" spans="1:20" ht="15.6" x14ac:dyDescent="0.3">
      <c r="A73" s="112"/>
      <c r="B73" s="113"/>
      <c r="C73" s="155"/>
      <c r="D73" s="155"/>
      <c r="E73" s="155"/>
      <c r="F73" s="155"/>
      <c r="G73" s="155"/>
      <c r="H73" s="155"/>
      <c r="I73" s="155"/>
      <c r="J73" s="155"/>
      <c r="K73" s="155"/>
      <c r="L73" s="155"/>
      <c r="M73" s="155"/>
      <c r="N73" s="155"/>
      <c r="O73" s="155"/>
      <c r="P73" s="155"/>
      <c r="Q73" s="155"/>
      <c r="R73" s="155"/>
      <c r="S73" s="116"/>
      <c r="T73" s="2"/>
    </row>
    <row r="74" spans="1:20" ht="15.6" x14ac:dyDescent="0.3">
      <c r="A74" s="112"/>
      <c r="B74" s="113" t="s">
        <v>17</v>
      </c>
      <c r="C74" s="155"/>
      <c r="D74" s="155"/>
      <c r="E74" s="155"/>
      <c r="F74" s="155"/>
      <c r="G74" s="155"/>
      <c r="H74" s="155"/>
      <c r="I74" s="155"/>
      <c r="J74" s="155"/>
      <c r="K74" s="155"/>
      <c r="L74" s="155"/>
      <c r="M74" s="155"/>
      <c r="N74" s="155"/>
      <c r="O74" s="155"/>
      <c r="P74" s="155"/>
      <c r="Q74" s="155"/>
      <c r="R74" s="155"/>
      <c r="S74" s="116"/>
      <c r="T74" s="2"/>
    </row>
    <row r="75" spans="1:20" ht="15.6" x14ac:dyDescent="0.3">
      <c r="A75" s="112"/>
      <c r="B75" s="113"/>
      <c r="C75" s="155"/>
      <c r="D75" s="155"/>
      <c r="E75" s="155"/>
      <c r="F75" s="155"/>
      <c r="G75" s="155"/>
      <c r="H75" s="155"/>
      <c r="I75" s="155"/>
      <c r="J75" s="155"/>
      <c r="K75" s="155"/>
      <c r="L75" s="155"/>
      <c r="M75" s="155"/>
      <c r="N75" s="155"/>
      <c r="O75" s="155"/>
      <c r="P75" s="155"/>
      <c r="Q75" s="155"/>
      <c r="R75" s="155"/>
      <c r="S75" s="116"/>
      <c r="T75" s="2"/>
    </row>
    <row r="76" spans="1:20" ht="15.6" x14ac:dyDescent="0.3">
      <c r="A76" s="112"/>
      <c r="B76" s="113" t="s">
        <v>19</v>
      </c>
      <c r="C76" s="155"/>
      <c r="D76" s="155"/>
      <c r="E76" s="155"/>
      <c r="F76" s="155">
        <v>0</v>
      </c>
      <c r="G76" s="155"/>
      <c r="H76" s="155">
        <v>0</v>
      </c>
      <c r="I76" s="155"/>
      <c r="J76" s="155"/>
      <c r="K76" s="155"/>
      <c r="L76" s="155"/>
      <c r="M76" s="155"/>
      <c r="N76" s="155"/>
      <c r="O76" s="155"/>
      <c r="P76" s="155"/>
      <c r="Q76" s="155"/>
      <c r="R76" s="156">
        <v>0</v>
      </c>
      <c r="S76" s="116"/>
      <c r="T76" s="2"/>
    </row>
    <row r="77" spans="1:20" ht="15.6" x14ac:dyDescent="0.3">
      <c r="A77" s="112"/>
      <c r="B77" s="113" t="s">
        <v>196</v>
      </c>
      <c r="C77" s="155"/>
      <c r="D77" s="155"/>
      <c r="E77" s="155"/>
      <c r="F77" s="155">
        <v>53165</v>
      </c>
      <c r="G77" s="155"/>
      <c r="H77" s="155">
        <v>0</v>
      </c>
      <c r="I77" s="155"/>
      <c r="J77" s="155">
        <v>0</v>
      </c>
      <c r="K77" s="155"/>
      <c r="L77" s="155">
        <v>0</v>
      </c>
      <c r="M77" s="155"/>
      <c r="N77" s="155"/>
      <c r="O77" s="155"/>
      <c r="P77" s="155"/>
      <c r="Q77" s="155"/>
      <c r="R77" s="155">
        <v>0</v>
      </c>
      <c r="S77" s="116"/>
      <c r="T77" s="2"/>
    </row>
    <row r="78" spans="1:20" ht="15.6" x14ac:dyDescent="0.3">
      <c r="A78" s="112"/>
      <c r="B78" s="113" t="s">
        <v>206</v>
      </c>
      <c r="C78" s="155"/>
      <c r="D78" s="155"/>
      <c r="E78" s="155"/>
      <c r="F78" s="155">
        <v>2610</v>
      </c>
      <c r="G78" s="155"/>
      <c r="H78" s="155">
        <v>1478</v>
      </c>
      <c r="I78" s="155"/>
      <c r="J78" s="155"/>
      <c r="K78" s="155"/>
      <c r="L78" s="155"/>
      <c r="M78" s="155"/>
      <c r="N78" s="155">
        <v>-134</v>
      </c>
      <c r="O78" s="155"/>
      <c r="P78" s="155"/>
      <c r="Q78" s="155"/>
      <c r="R78" s="155">
        <f>H78+N78</f>
        <v>1344</v>
      </c>
      <c r="S78" s="116"/>
      <c r="T78" s="2"/>
    </row>
    <row r="79" spans="1:20" ht="15.6" x14ac:dyDescent="0.3">
      <c r="A79" s="112"/>
      <c r="B79" s="113" t="s">
        <v>20</v>
      </c>
      <c r="C79" s="155"/>
      <c r="D79" s="155"/>
      <c r="E79" s="155"/>
      <c r="F79" s="155">
        <v>0</v>
      </c>
      <c r="G79" s="155"/>
      <c r="H79" s="155">
        <v>0</v>
      </c>
      <c r="I79" s="155"/>
      <c r="J79" s="155"/>
      <c r="K79" s="155"/>
      <c r="L79" s="155"/>
      <c r="M79" s="155"/>
      <c r="N79" s="155"/>
      <c r="O79" s="155"/>
      <c r="P79" s="155"/>
      <c r="Q79" s="155"/>
      <c r="R79" s="155">
        <v>0</v>
      </c>
      <c r="S79" s="116"/>
      <c r="T79" s="2"/>
    </row>
    <row r="80" spans="1:20" ht="15.6" x14ac:dyDescent="0.3">
      <c r="A80" s="112"/>
      <c r="B80" s="113" t="s">
        <v>21</v>
      </c>
      <c r="C80" s="155"/>
      <c r="D80" s="155"/>
      <c r="E80" s="155"/>
      <c r="F80" s="155">
        <f>SUM(F67:F79)</f>
        <v>300009</v>
      </c>
      <c r="G80" s="155"/>
      <c r="H80" s="155">
        <f>SUM(H67:H79)</f>
        <v>286919</v>
      </c>
      <c r="I80" s="155"/>
      <c r="J80" s="155"/>
      <c r="K80" s="155"/>
      <c r="L80" s="155"/>
      <c r="M80" s="155"/>
      <c r="N80" s="155"/>
      <c r="O80" s="155"/>
      <c r="P80" s="155"/>
      <c r="Q80" s="155"/>
      <c r="R80" s="155">
        <f>SUM(R67:R79)</f>
        <v>283399</v>
      </c>
      <c r="S80" s="116"/>
      <c r="T80" s="2"/>
    </row>
    <row r="81" spans="1:20" ht="15.6" x14ac:dyDescent="0.3">
      <c r="A81" s="12"/>
      <c r="B81" s="43"/>
      <c r="C81" s="153"/>
      <c r="D81" s="153"/>
      <c r="E81" s="153"/>
      <c r="F81" s="153"/>
      <c r="G81" s="153"/>
      <c r="H81" s="153"/>
      <c r="I81" s="153"/>
      <c r="J81" s="153"/>
      <c r="K81" s="153"/>
      <c r="L81" s="153"/>
      <c r="M81" s="153"/>
      <c r="N81" s="153"/>
      <c r="O81" s="153"/>
      <c r="P81" s="153"/>
      <c r="Q81" s="153"/>
      <c r="R81" s="154"/>
      <c r="S81" s="217"/>
      <c r="T81" s="2"/>
    </row>
    <row r="82" spans="1:20" ht="15.6" x14ac:dyDescent="0.3">
      <c r="A82" s="12"/>
      <c r="B82" s="14"/>
      <c r="C82" s="14"/>
      <c r="D82" s="14"/>
      <c r="E82" s="14"/>
      <c r="F82" s="14"/>
      <c r="G82" s="14"/>
      <c r="H82" s="14"/>
      <c r="I82" s="14"/>
      <c r="J82" s="14"/>
      <c r="K82" s="14"/>
      <c r="L82" s="14"/>
      <c r="M82" s="14"/>
      <c r="N82" s="14"/>
      <c r="O82" s="14"/>
      <c r="P82" s="14"/>
      <c r="Q82" s="14"/>
      <c r="R82" s="14"/>
      <c r="S82" s="217"/>
      <c r="T82" s="2"/>
    </row>
    <row r="83" spans="1:20" ht="15.6" x14ac:dyDescent="0.3">
      <c r="A83" s="53"/>
      <c r="B83" s="61" t="s">
        <v>22</v>
      </c>
      <c r="C83" s="61"/>
      <c r="D83" s="62"/>
      <c r="E83" s="62"/>
      <c r="F83" s="62"/>
      <c r="G83" s="62"/>
      <c r="H83" s="63" t="s">
        <v>77</v>
      </c>
      <c r="I83" s="62"/>
      <c r="J83" s="64">
        <f>+P205</f>
        <v>42521</v>
      </c>
      <c r="K83" s="62"/>
      <c r="L83" s="62"/>
      <c r="M83" s="62"/>
      <c r="N83" s="62"/>
      <c r="O83" s="62"/>
      <c r="P83" s="62" t="s">
        <v>87</v>
      </c>
      <c r="Q83" s="62"/>
      <c r="R83" s="62" t="s">
        <v>93</v>
      </c>
      <c r="S83" s="219"/>
      <c r="T83" s="2"/>
    </row>
    <row r="84" spans="1:20" ht="15.6" x14ac:dyDescent="0.3">
      <c r="A84" s="77"/>
      <c r="B84" s="79" t="s">
        <v>23</v>
      </c>
      <c r="C84" s="25"/>
      <c r="D84" s="25"/>
      <c r="E84" s="25"/>
      <c r="F84" s="25"/>
      <c r="G84" s="25"/>
      <c r="H84" s="25"/>
      <c r="I84" s="25"/>
      <c r="J84" s="25"/>
      <c r="K84" s="25"/>
      <c r="L84" s="25"/>
      <c r="M84" s="25"/>
      <c r="N84" s="25"/>
      <c r="O84" s="25"/>
      <c r="P84" s="78">
        <v>0</v>
      </c>
      <c r="Q84" s="79"/>
      <c r="R84" s="82">
        <v>0</v>
      </c>
      <c r="S84" s="222"/>
      <c r="T84" s="2"/>
    </row>
    <row r="85" spans="1:20" ht="15.6" x14ac:dyDescent="0.3">
      <c r="A85" s="122"/>
      <c r="B85" s="113" t="s">
        <v>218</v>
      </c>
      <c r="C85" s="135"/>
      <c r="D85" s="157"/>
      <c r="E85" s="157"/>
      <c r="F85" s="157"/>
      <c r="G85" s="158"/>
      <c r="H85" s="157"/>
      <c r="I85" s="135"/>
      <c r="J85" s="159"/>
      <c r="K85" s="135"/>
      <c r="L85" s="135"/>
      <c r="M85" s="135"/>
      <c r="N85" s="135"/>
      <c r="O85" s="135"/>
      <c r="P85" s="155">
        <f>-N78</f>
        <v>134</v>
      </c>
      <c r="Q85" s="113"/>
      <c r="R85" s="156"/>
      <c r="S85" s="139"/>
      <c r="T85" s="2"/>
    </row>
    <row r="86" spans="1:20" ht="15.6" x14ac:dyDescent="0.3">
      <c r="A86" s="122"/>
      <c r="B86" s="113" t="s">
        <v>219</v>
      </c>
      <c r="C86" s="135"/>
      <c r="D86" s="157"/>
      <c r="E86" s="157"/>
      <c r="F86" s="157"/>
      <c r="G86" s="158"/>
      <c r="H86" s="157"/>
      <c r="I86" s="135"/>
      <c r="J86" s="159"/>
      <c r="K86" s="135"/>
      <c r="L86" s="135"/>
      <c r="M86" s="135"/>
      <c r="N86" s="135"/>
      <c r="O86" s="135"/>
      <c r="P86" s="155">
        <f>-P85</f>
        <v>-134</v>
      </c>
      <c r="Q86" s="113"/>
      <c r="R86" s="156"/>
      <c r="S86" s="139"/>
      <c r="T86" s="2"/>
    </row>
    <row r="87" spans="1:20" ht="15.6" x14ac:dyDescent="0.3">
      <c r="A87" s="122"/>
      <c r="B87" s="113" t="s">
        <v>24</v>
      </c>
      <c r="C87" s="135"/>
      <c r="D87" s="157"/>
      <c r="E87" s="157"/>
      <c r="F87" s="157"/>
      <c r="G87" s="158"/>
      <c r="H87" s="157"/>
      <c r="I87" s="135"/>
      <c r="J87" s="159"/>
      <c r="K87" s="135"/>
      <c r="L87" s="135"/>
      <c r="M87" s="135"/>
      <c r="N87" s="135"/>
      <c r="O87" s="135"/>
      <c r="P87" s="155">
        <f>+J64+L64</f>
        <v>3563</v>
      </c>
      <c r="Q87" s="113"/>
      <c r="R87" s="156"/>
      <c r="S87" s="139"/>
      <c r="T87" s="2"/>
    </row>
    <row r="88" spans="1:20" ht="15.6" x14ac:dyDescent="0.3">
      <c r="A88" s="122"/>
      <c r="B88" s="113" t="s">
        <v>135</v>
      </c>
      <c r="C88" s="135"/>
      <c r="D88" s="157"/>
      <c r="E88" s="157"/>
      <c r="F88" s="157"/>
      <c r="G88" s="158"/>
      <c r="H88" s="157"/>
      <c r="I88" s="135"/>
      <c r="J88" s="159"/>
      <c r="K88" s="135"/>
      <c r="L88" s="135"/>
      <c r="M88" s="135"/>
      <c r="N88" s="135"/>
      <c r="O88" s="135"/>
      <c r="P88" s="155"/>
      <c r="Q88" s="113"/>
      <c r="R88" s="156">
        <f>3071-208</f>
        <v>2863</v>
      </c>
      <c r="S88" s="139"/>
      <c r="T88" s="2"/>
    </row>
    <row r="89" spans="1:20" ht="15.6" x14ac:dyDescent="0.3">
      <c r="A89" s="122"/>
      <c r="B89" s="113" t="s">
        <v>133</v>
      </c>
      <c r="C89" s="135"/>
      <c r="D89" s="157"/>
      <c r="E89" s="157"/>
      <c r="F89" s="157"/>
      <c r="G89" s="158"/>
      <c r="H89" s="157"/>
      <c r="I89" s="135"/>
      <c r="J89" s="159"/>
      <c r="K89" s="135"/>
      <c r="L89" s="135"/>
      <c r="M89" s="135"/>
      <c r="N89" s="135"/>
      <c r="O89" s="135"/>
      <c r="P89" s="155"/>
      <c r="Q89" s="113"/>
      <c r="R89" s="156">
        <v>111</v>
      </c>
      <c r="S89" s="139"/>
      <c r="T89" s="2"/>
    </row>
    <row r="90" spans="1:20" ht="15.6" x14ac:dyDescent="0.3">
      <c r="A90" s="122"/>
      <c r="B90" s="113" t="s">
        <v>134</v>
      </c>
      <c r="C90" s="135"/>
      <c r="D90" s="157"/>
      <c r="E90" s="157"/>
      <c r="F90" s="157"/>
      <c r="G90" s="158"/>
      <c r="H90" s="157"/>
      <c r="I90" s="135"/>
      <c r="J90" s="159"/>
      <c r="K90" s="135"/>
      <c r="L90" s="135"/>
      <c r="M90" s="135"/>
      <c r="N90" s="135"/>
      <c r="O90" s="135"/>
      <c r="P90" s="155"/>
      <c r="Q90" s="113"/>
      <c r="R90" s="156">
        <v>17</v>
      </c>
      <c r="S90" s="139"/>
      <c r="T90" s="2"/>
    </row>
    <row r="91" spans="1:20" ht="15.6" x14ac:dyDescent="0.3">
      <c r="A91" s="122"/>
      <c r="B91" s="113" t="s">
        <v>143</v>
      </c>
      <c r="C91" s="135"/>
      <c r="D91" s="157"/>
      <c r="E91" s="157"/>
      <c r="F91" s="157"/>
      <c r="G91" s="158"/>
      <c r="H91" s="157"/>
      <c r="I91" s="135"/>
      <c r="J91" s="159"/>
      <c r="K91" s="135"/>
      <c r="L91" s="135"/>
      <c r="M91" s="135"/>
      <c r="N91" s="135"/>
      <c r="O91" s="135"/>
      <c r="P91" s="155"/>
      <c r="Q91" s="113"/>
      <c r="R91" s="156">
        <v>0</v>
      </c>
      <c r="S91" s="139"/>
      <c r="T91" s="2"/>
    </row>
    <row r="92" spans="1:20" ht="15.6" x14ac:dyDescent="0.3">
      <c r="A92" s="122"/>
      <c r="B92" s="113" t="s">
        <v>145</v>
      </c>
      <c r="C92" s="135"/>
      <c r="D92" s="157"/>
      <c r="E92" s="157"/>
      <c r="F92" s="157"/>
      <c r="G92" s="158"/>
      <c r="H92" s="157"/>
      <c r="I92" s="135"/>
      <c r="J92" s="159"/>
      <c r="K92" s="135"/>
      <c r="L92" s="135"/>
      <c r="M92" s="135"/>
      <c r="N92" s="135"/>
      <c r="O92" s="135"/>
      <c r="P92" s="155"/>
      <c r="Q92" s="113"/>
      <c r="R92" s="156">
        <v>23</v>
      </c>
      <c r="S92" s="139"/>
      <c r="T92" s="2"/>
    </row>
    <row r="93" spans="1:20" ht="15.6" x14ac:dyDescent="0.3">
      <c r="A93" s="122"/>
      <c r="B93" s="113" t="s">
        <v>164</v>
      </c>
      <c r="C93" s="135"/>
      <c r="D93" s="157"/>
      <c r="E93" s="157"/>
      <c r="F93" s="157"/>
      <c r="G93" s="158"/>
      <c r="H93" s="157"/>
      <c r="I93" s="135"/>
      <c r="J93" s="159"/>
      <c r="K93" s="135"/>
      <c r="L93" s="135"/>
      <c r="M93" s="135"/>
      <c r="N93" s="135"/>
      <c r="O93" s="135"/>
      <c r="P93" s="155"/>
      <c r="Q93" s="113"/>
      <c r="R93" s="156">
        <v>0</v>
      </c>
      <c r="S93" s="139"/>
      <c r="T93" s="2"/>
    </row>
    <row r="94" spans="1:20" ht="15.6" x14ac:dyDescent="0.3">
      <c r="A94" s="122"/>
      <c r="B94" s="113" t="s">
        <v>165</v>
      </c>
      <c r="C94" s="135"/>
      <c r="D94" s="157"/>
      <c r="E94" s="157"/>
      <c r="F94" s="157"/>
      <c r="G94" s="158"/>
      <c r="H94" s="157"/>
      <c r="I94" s="135"/>
      <c r="J94" s="159"/>
      <c r="K94" s="135"/>
      <c r="L94" s="135"/>
      <c r="M94" s="135"/>
      <c r="N94" s="135"/>
      <c r="O94" s="135"/>
      <c r="P94" s="155"/>
      <c r="Q94" s="113"/>
      <c r="R94" s="156">
        <v>0</v>
      </c>
      <c r="S94" s="139"/>
      <c r="T94" s="2"/>
    </row>
    <row r="95" spans="1:20" ht="15.6" x14ac:dyDescent="0.3">
      <c r="A95" s="122"/>
      <c r="B95" s="113" t="s">
        <v>166</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c r="B96" s="113" t="s">
        <v>264</v>
      </c>
      <c r="C96" s="135"/>
      <c r="D96" s="135"/>
      <c r="E96" s="135"/>
      <c r="F96" s="135"/>
      <c r="G96" s="135"/>
      <c r="H96" s="135"/>
      <c r="I96" s="135"/>
      <c r="J96" s="135"/>
      <c r="K96" s="135"/>
      <c r="L96" s="135"/>
      <c r="M96" s="135"/>
      <c r="N96" s="135"/>
      <c r="O96" s="135"/>
      <c r="P96" s="155"/>
      <c r="Q96" s="113"/>
      <c r="R96" s="156">
        <v>527</v>
      </c>
      <c r="S96" s="139"/>
      <c r="T96" s="2"/>
    </row>
    <row r="97" spans="1:21" ht="15.6" x14ac:dyDescent="0.3">
      <c r="A97" s="122"/>
      <c r="B97" s="113" t="s">
        <v>25</v>
      </c>
      <c r="C97" s="135"/>
      <c r="D97" s="135"/>
      <c r="E97" s="135"/>
      <c r="F97" s="135"/>
      <c r="G97" s="135"/>
      <c r="H97" s="135"/>
      <c r="I97" s="135"/>
      <c r="J97" s="135"/>
      <c r="K97" s="135"/>
      <c r="L97" s="135"/>
      <c r="M97" s="135"/>
      <c r="N97" s="135"/>
      <c r="O97" s="135"/>
      <c r="P97" s="155">
        <f>SUM(P84:P96)</f>
        <v>3563</v>
      </c>
      <c r="Q97" s="113"/>
      <c r="R97" s="155">
        <f>SUM(R84:R96)</f>
        <v>3541</v>
      </c>
      <c r="S97" s="139"/>
      <c r="T97" s="2"/>
    </row>
    <row r="98" spans="1:21" ht="15.6" x14ac:dyDescent="0.3">
      <c r="A98" s="122"/>
      <c r="B98" s="113" t="s">
        <v>26</v>
      </c>
      <c r="C98" s="135"/>
      <c r="D98" s="135"/>
      <c r="E98" s="135"/>
      <c r="F98" s="135"/>
      <c r="G98" s="135"/>
      <c r="H98" s="135"/>
      <c r="I98" s="135"/>
      <c r="J98" s="135"/>
      <c r="K98" s="135"/>
      <c r="L98" s="135"/>
      <c r="M98" s="135"/>
      <c r="N98" s="135"/>
      <c r="O98" s="135"/>
      <c r="P98" s="155">
        <f>-R98</f>
        <v>0</v>
      </c>
      <c r="Q98" s="113"/>
      <c r="R98" s="156">
        <v>0</v>
      </c>
      <c r="S98" s="139"/>
      <c r="T98" s="2"/>
    </row>
    <row r="99" spans="1:21" ht="15.6" x14ac:dyDescent="0.3">
      <c r="A99" s="122"/>
      <c r="B99" s="113" t="s">
        <v>150</v>
      </c>
      <c r="C99" s="135"/>
      <c r="D99" s="135"/>
      <c r="E99" s="135"/>
      <c r="F99" s="135"/>
      <c r="G99" s="135"/>
      <c r="H99" s="135"/>
      <c r="I99" s="135"/>
      <c r="J99" s="135"/>
      <c r="K99" s="135"/>
      <c r="L99" s="135"/>
      <c r="M99" s="135"/>
      <c r="N99" s="135"/>
      <c r="O99" s="135"/>
      <c r="P99" s="155"/>
      <c r="Q99" s="113"/>
      <c r="R99" s="156">
        <v>0</v>
      </c>
      <c r="S99" s="139"/>
      <c r="T99" s="2"/>
    </row>
    <row r="100" spans="1:21" ht="15.6" x14ac:dyDescent="0.3">
      <c r="A100" s="122"/>
      <c r="B100" s="113" t="s">
        <v>27</v>
      </c>
      <c r="C100" s="135"/>
      <c r="D100" s="135"/>
      <c r="E100" s="135"/>
      <c r="F100" s="135"/>
      <c r="G100" s="135"/>
      <c r="H100" s="135"/>
      <c r="I100" s="135"/>
      <c r="J100" s="135"/>
      <c r="K100" s="135"/>
      <c r="L100" s="135"/>
      <c r="M100" s="135"/>
      <c r="N100" s="135"/>
      <c r="O100" s="135"/>
      <c r="P100" s="155">
        <f>P97+P98</f>
        <v>3563</v>
      </c>
      <c r="Q100" s="113"/>
      <c r="R100" s="155">
        <f>R97+R98+R99</f>
        <v>3541</v>
      </c>
      <c r="S100" s="139"/>
      <c r="T100" s="2"/>
    </row>
    <row r="101" spans="1:21" ht="15.6" x14ac:dyDescent="0.3">
      <c r="A101" s="112"/>
      <c r="B101" s="160" t="s">
        <v>28</v>
      </c>
      <c r="C101" s="135"/>
      <c r="D101" s="135"/>
      <c r="E101" s="135"/>
      <c r="F101" s="135"/>
      <c r="G101" s="135"/>
      <c r="H101" s="135"/>
      <c r="I101" s="135"/>
      <c r="J101" s="135"/>
      <c r="K101" s="135"/>
      <c r="L101" s="135"/>
      <c r="M101" s="135"/>
      <c r="N101" s="135"/>
      <c r="O101" s="135"/>
      <c r="P101" s="155"/>
      <c r="Q101" s="113"/>
      <c r="R101" s="156"/>
      <c r="S101" s="139"/>
      <c r="T101" s="2"/>
    </row>
    <row r="102" spans="1:21" ht="15.6" x14ac:dyDescent="0.3">
      <c r="A102" s="122">
        <v>1</v>
      </c>
      <c r="B102" s="113" t="s">
        <v>175</v>
      </c>
      <c r="C102" s="135"/>
      <c r="D102" s="135"/>
      <c r="E102" s="135"/>
      <c r="F102" s="135"/>
      <c r="G102" s="135"/>
      <c r="H102" s="135"/>
      <c r="I102" s="135"/>
      <c r="J102" s="135"/>
      <c r="K102" s="135"/>
      <c r="L102" s="135"/>
      <c r="M102" s="135"/>
      <c r="N102" s="135"/>
      <c r="O102" s="135"/>
      <c r="P102" s="155"/>
      <c r="Q102" s="113"/>
      <c r="R102" s="156">
        <v>0</v>
      </c>
      <c r="S102" s="139"/>
      <c r="T102" s="2"/>
    </row>
    <row r="103" spans="1:21" ht="15.6" x14ac:dyDescent="0.3">
      <c r="A103" s="122">
        <v>2</v>
      </c>
      <c r="B103" s="113" t="s">
        <v>195</v>
      </c>
      <c r="C103" s="113"/>
      <c r="D103" s="135"/>
      <c r="E103" s="135"/>
      <c r="F103" s="135"/>
      <c r="G103" s="135"/>
      <c r="H103" s="135"/>
      <c r="I103" s="135"/>
      <c r="J103" s="135"/>
      <c r="K103" s="135"/>
      <c r="L103" s="135"/>
      <c r="M103" s="135"/>
      <c r="N103" s="135"/>
      <c r="O103" s="135"/>
      <c r="P103" s="113"/>
      <c r="Q103" s="113"/>
      <c r="R103" s="156">
        <v>-3</v>
      </c>
      <c r="S103" s="139"/>
      <c r="T103" s="2"/>
    </row>
    <row r="104" spans="1:21" ht="15.6" x14ac:dyDescent="0.3">
      <c r="A104" s="122">
        <v>3</v>
      </c>
      <c r="B104" s="113" t="s">
        <v>265</v>
      </c>
      <c r="C104" s="113"/>
      <c r="D104" s="135"/>
      <c r="E104" s="135"/>
      <c r="F104" s="135"/>
      <c r="G104" s="135"/>
      <c r="H104" s="135"/>
      <c r="I104" s="135"/>
      <c r="J104" s="135"/>
      <c r="K104" s="135"/>
      <c r="L104" s="135"/>
      <c r="M104" s="135"/>
      <c r="N104" s="135"/>
      <c r="O104" s="135"/>
      <c r="P104" s="113"/>
      <c r="Q104" s="113"/>
      <c r="R104" s="156">
        <f>-108-3-3</f>
        <v>-114</v>
      </c>
      <c r="S104" s="139"/>
      <c r="T104" s="2"/>
    </row>
    <row r="105" spans="1:21" ht="15.6" x14ac:dyDescent="0.3">
      <c r="A105" s="122">
        <v>4</v>
      </c>
      <c r="B105" s="113" t="s">
        <v>96</v>
      </c>
      <c r="C105" s="113"/>
      <c r="D105" s="135"/>
      <c r="E105" s="135"/>
      <c r="F105" s="135"/>
      <c r="G105" s="135"/>
      <c r="H105" s="135"/>
      <c r="I105" s="135"/>
      <c r="J105" s="135"/>
      <c r="K105" s="135"/>
      <c r="L105" s="135"/>
      <c r="M105" s="135"/>
      <c r="N105" s="135"/>
      <c r="O105" s="135"/>
      <c r="P105" s="113"/>
      <c r="Q105" s="113"/>
      <c r="R105" s="156">
        <v>-287</v>
      </c>
      <c r="S105" s="139"/>
      <c r="T105" s="2"/>
    </row>
    <row r="106" spans="1:21" ht="15.6" x14ac:dyDescent="0.3">
      <c r="A106" s="122" t="s">
        <v>274</v>
      </c>
      <c r="B106" s="113" t="s">
        <v>272</v>
      </c>
      <c r="C106" s="113"/>
      <c r="D106" s="135"/>
      <c r="E106" s="135"/>
      <c r="F106" s="135"/>
      <c r="G106" s="135"/>
      <c r="H106" s="135"/>
      <c r="I106" s="135"/>
      <c r="J106" s="135"/>
      <c r="K106" s="135"/>
      <c r="L106" s="135"/>
      <c r="M106" s="135"/>
      <c r="N106" s="135"/>
      <c r="O106" s="135"/>
      <c r="P106" s="113"/>
      <c r="Q106" s="113"/>
      <c r="R106" s="156">
        <v>-457</v>
      </c>
      <c r="S106" s="139"/>
      <c r="T106" s="2"/>
      <c r="U106" s="4"/>
    </row>
    <row r="107" spans="1:21" ht="15.6" x14ac:dyDescent="0.3">
      <c r="A107" s="122" t="s">
        <v>275</v>
      </c>
      <c r="B107" s="113" t="s">
        <v>266</v>
      </c>
      <c r="C107" s="113"/>
      <c r="D107" s="135"/>
      <c r="E107" s="135"/>
      <c r="F107" s="135"/>
      <c r="G107" s="135"/>
      <c r="H107" s="135"/>
      <c r="I107" s="135"/>
      <c r="J107" s="135"/>
      <c r="K107" s="135"/>
      <c r="L107" s="135"/>
      <c r="M107" s="135"/>
      <c r="N107" s="135"/>
      <c r="O107" s="135"/>
      <c r="P107" s="113"/>
      <c r="Q107" s="113"/>
      <c r="R107" s="156">
        <v>-506</v>
      </c>
      <c r="S107" s="139"/>
      <c r="T107" s="2"/>
      <c r="U107" s="4"/>
    </row>
    <row r="108" spans="1:21" ht="15.6" x14ac:dyDescent="0.3">
      <c r="A108" s="122">
        <v>6</v>
      </c>
      <c r="B108" s="113" t="s">
        <v>189</v>
      </c>
      <c r="C108" s="113"/>
      <c r="D108" s="135"/>
      <c r="E108" s="135"/>
      <c r="F108" s="135"/>
      <c r="G108" s="135"/>
      <c r="H108" s="135"/>
      <c r="I108" s="135"/>
      <c r="J108" s="135"/>
      <c r="K108" s="135"/>
      <c r="L108" s="135"/>
      <c r="M108" s="135"/>
      <c r="N108" s="135"/>
      <c r="O108" s="135"/>
      <c r="P108" s="113"/>
      <c r="Q108" s="113"/>
      <c r="R108" s="156">
        <v>-59</v>
      </c>
      <c r="S108" s="139"/>
      <c r="T108" s="2"/>
      <c r="U108" s="4"/>
    </row>
    <row r="109" spans="1:21" ht="15.6" x14ac:dyDescent="0.3">
      <c r="A109" s="122">
        <v>7</v>
      </c>
      <c r="B109" s="113" t="s">
        <v>190</v>
      </c>
      <c r="C109" s="113"/>
      <c r="D109" s="135"/>
      <c r="E109" s="135"/>
      <c r="F109" s="135"/>
      <c r="G109" s="135"/>
      <c r="H109" s="135"/>
      <c r="I109" s="135"/>
      <c r="J109" s="135"/>
      <c r="K109" s="135"/>
      <c r="L109" s="135"/>
      <c r="M109" s="135"/>
      <c r="N109" s="135"/>
      <c r="O109" s="135"/>
      <c r="P109" s="113"/>
      <c r="Q109" s="113"/>
      <c r="R109" s="156">
        <v>-68</v>
      </c>
      <c r="S109" s="139"/>
      <c r="T109" s="2"/>
      <c r="U109" s="4"/>
    </row>
    <row r="110" spans="1:21" ht="15.6" x14ac:dyDescent="0.3">
      <c r="A110" s="122">
        <v>8</v>
      </c>
      <c r="B110" s="113" t="s">
        <v>156</v>
      </c>
      <c r="C110" s="113"/>
      <c r="D110" s="135"/>
      <c r="E110" s="135"/>
      <c r="F110" s="135"/>
      <c r="G110" s="135"/>
      <c r="H110" s="135"/>
      <c r="I110" s="135"/>
      <c r="J110" s="135"/>
      <c r="K110" s="135"/>
      <c r="L110" s="135"/>
      <c r="M110" s="135"/>
      <c r="N110" s="135"/>
      <c r="O110" s="135"/>
      <c r="P110" s="113"/>
      <c r="Q110" s="113"/>
      <c r="R110" s="156">
        <v>-1</v>
      </c>
      <c r="S110" s="139"/>
      <c r="T110" s="2"/>
      <c r="U110" s="4"/>
    </row>
    <row r="111" spans="1:21" ht="15.6" x14ac:dyDescent="0.3">
      <c r="A111" s="122">
        <v>9</v>
      </c>
      <c r="B111" s="113" t="s">
        <v>37</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22">
        <v>10</v>
      </c>
      <c r="B112" s="113" t="s">
        <v>101</v>
      </c>
      <c r="C112" s="113"/>
      <c r="D112" s="135"/>
      <c r="E112" s="135"/>
      <c r="F112" s="135"/>
      <c r="G112" s="135"/>
      <c r="H112" s="135"/>
      <c r="I112" s="135"/>
      <c r="J112" s="135"/>
      <c r="K112" s="135"/>
      <c r="L112" s="135"/>
      <c r="M112" s="135"/>
      <c r="N112" s="135"/>
      <c r="O112" s="135"/>
      <c r="P112" s="113"/>
      <c r="Q112" s="113"/>
      <c r="R112" s="156">
        <v>0</v>
      </c>
      <c r="S112" s="139"/>
      <c r="T112" s="2"/>
    </row>
    <row r="113" spans="1:20" ht="15.6" x14ac:dyDescent="0.3">
      <c r="A113" s="122">
        <v>11</v>
      </c>
      <c r="B113" s="113" t="s">
        <v>29</v>
      </c>
      <c r="C113" s="113"/>
      <c r="D113" s="135"/>
      <c r="E113" s="135"/>
      <c r="F113" s="135"/>
      <c r="G113" s="135"/>
      <c r="H113" s="135"/>
      <c r="I113" s="135"/>
      <c r="J113" s="135"/>
      <c r="K113" s="135"/>
      <c r="L113" s="135"/>
      <c r="M113" s="135"/>
      <c r="N113" s="135"/>
      <c r="O113" s="135"/>
      <c r="P113" s="113"/>
      <c r="Q113" s="113"/>
      <c r="R113" s="156">
        <v>-20</v>
      </c>
      <c r="S113" s="139"/>
      <c r="T113" s="2"/>
    </row>
    <row r="114" spans="1:20" ht="15.6" x14ac:dyDescent="0.3">
      <c r="A114" s="122">
        <v>12</v>
      </c>
      <c r="B114" s="113" t="s">
        <v>138</v>
      </c>
      <c r="C114" s="113"/>
      <c r="D114" s="135"/>
      <c r="E114" s="135"/>
      <c r="F114" s="135"/>
      <c r="G114" s="135"/>
      <c r="H114" s="135"/>
      <c r="I114" s="135"/>
      <c r="J114" s="135"/>
      <c r="K114" s="135"/>
      <c r="L114" s="135"/>
      <c r="M114" s="135"/>
      <c r="N114" s="135"/>
      <c r="O114" s="135"/>
      <c r="P114" s="113"/>
      <c r="Q114" s="113"/>
      <c r="R114" s="156">
        <v>0</v>
      </c>
      <c r="S114" s="139"/>
      <c r="T114" s="2"/>
    </row>
    <row r="115" spans="1:20" ht="15.6" x14ac:dyDescent="0.3">
      <c r="A115" s="122">
        <v>13</v>
      </c>
      <c r="B115" s="113" t="s">
        <v>267</v>
      </c>
      <c r="C115" s="113"/>
      <c r="D115" s="135"/>
      <c r="E115" s="135"/>
      <c r="F115" s="135"/>
      <c r="G115" s="135"/>
      <c r="H115" s="135"/>
      <c r="I115" s="135"/>
      <c r="J115" s="135"/>
      <c r="K115" s="135"/>
      <c r="L115" s="135"/>
      <c r="M115" s="135"/>
      <c r="N115" s="135"/>
      <c r="O115" s="135"/>
      <c r="P115" s="113"/>
      <c r="Q115" s="113"/>
      <c r="R115" s="156">
        <v>-49</v>
      </c>
      <c r="S115" s="139"/>
      <c r="T115" s="2"/>
    </row>
    <row r="116" spans="1:20" ht="15.6" x14ac:dyDescent="0.3">
      <c r="A116" s="122">
        <v>14</v>
      </c>
      <c r="B116" s="113" t="s">
        <v>157</v>
      </c>
      <c r="C116" s="113"/>
      <c r="D116" s="135"/>
      <c r="E116" s="135"/>
      <c r="F116" s="135"/>
      <c r="G116" s="135"/>
      <c r="H116" s="135"/>
      <c r="I116" s="135"/>
      <c r="J116" s="135"/>
      <c r="K116" s="135"/>
      <c r="L116" s="135"/>
      <c r="M116" s="135"/>
      <c r="N116" s="135"/>
      <c r="O116" s="135"/>
      <c r="P116" s="113"/>
      <c r="Q116" s="113"/>
      <c r="R116" s="156">
        <v>0</v>
      </c>
      <c r="S116" s="139"/>
      <c r="T116" s="2"/>
    </row>
    <row r="117" spans="1:20" ht="15.6" x14ac:dyDescent="0.3">
      <c r="A117" s="122">
        <v>15</v>
      </c>
      <c r="B117" s="113" t="s">
        <v>207</v>
      </c>
      <c r="C117" s="113"/>
      <c r="D117" s="135"/>
      <c r="E117" s="135"/>
      <c r="F117" s="135"/>
      <c r="G117" s="135"/>
      <c r="H117" s="135"/>
      <c r="I117" s="135"/>
      <c r="J117" s="135"/>
      <c r="K117" s="135"/>
      <c r="L117" s="135"/>
      <c r="M117" s="135"/>
      <c r="N117" s="135"/>
      <c r="O117" s="135"/>
      <c r="P117" s="113"/>
      <c r="Q117" s="113"/>
      <c r="R117" s="156">
        <v>-108</v>
      </c>
      <c r="S117" s="139"/>
      <c r="T117" s="2"/>
    </row>
    <row r="118" spans="1:20" ht="15.6" x14ac:dyDescent="0.3">
      <c r="A118" s="122">
        <v>16</v>
      </c>
      <c r="B118" s="113" t="s">
        <v>167</v>
      </c>
      <c r="C118" s="113"/>
      <c r="D118" s="135"/>
      <c r="E118" s="135"/>
      <c r="F118" s="135"/>
      <c r="G118" s="135"/>
      <c r="H118" s="135"/>
      <c r="I118" s="135"/>
      <c r="J118" s="135"/>
      <c r="K118" s="135"/>
      <c r="L118" s="135"/>
      <c r="M118" s="135"/>
      <c r="N118" s="135"/>
      <c r="O118" s="135"/>
      <c r="P118" s="113"/>
      <c r="Q118" s="113"/>
      <c r="R118" s="156">
        <f>-27-177</f>
        <v>-204</v>
      </c>
      <c r="S118" s="139"/>
      <c r="T118" s="2"/>
    </row>
    <row r="119" spans="1:20" ht="15.6" x14ac:dyDescent="0.3">
      <c r="A119" s="122">
        <v>17</v>
      </c>
      <c r="B119" s="113" t="s">
        <v>268</v>
      </c>
      <c r="C119" s="113"/>
      <c r="D119" s="135"/>
      <c r="E119" s="135"/>
      <c r="F119" s="135"/>
      <c r="G119" s="135"/>
      <c r="H119" s="135"/>
      <c r="I119" s="135"/>
      <c r="J119" s="135"/>
      <c r="K119" s="135"/>
      <c r="L119" s="135"/>
      <c r="M119" s="135"/>
      <c r="N119" s="135"/>
      <c r="O119" s="135"/>
      <c r="P119" s="113"/>
      <c r="Q119" s="113"/>
      <c r="R119" s="156">
        <f>-R100-SUM(R102:R118)</f>
        <v>-1665</v>
      </c>
      <c r="S119" s="139"/>
      <c r="T119" s="2"/>
    </row>
    <row r="120" spans="1:20" ht="15.6" x14ac:dyDescent="0.3">
      <c r="A120" s="112"/>
      <c r="B120" s="160" t="s">
        <v>30</v>
      </c>
      <c r="C120" s="135"/>
      <c r="D120" s="135"/>
      <c r="E120" s="135"/>
      <c r="F120" s="135"/>
      <c r="G120" s="135"/>
      <c r="H120" s="135"/>
      <c r="I120" s="135"/>
      <c r="J120" s="135"/>
      <c r="K120" s="135"/>
      <c r="L120" s="135"/>
      <c r="M120" s="135"/>
      <c r="N120" s="135"/>
      <c r="O120" s="135"/>
      <c r="P120" s="113"/>
      <c r="Q120" s="113"/>
      <c r="R120" s="161"/>
      <c r="S120" s="139"/>
      <c r="T120" s="2"/>
    </row>
    <row r="121" spans="1:20" ht="15.6" x14ac:dyDescent="0.3">
      <c r="A121" s="112"/>
      <c r="B121" s="113" t="s">
        <v>208</v>
      </c>
      <c r="C121" s="135"/>
      <c r="D121" s="135"/>
      <c r="E121" s="135"/>
      <c r="F121" s="135"/>
      <c r="G121" s="135"/>
      <c r="H121" s="135"/>
      <c r="I121" s="135"/>
      <c r="J121" s="135"/>
      <c r="K121" s="135"/>
      <c r="L121" s="135"/>
      <c r="M121" s="135"/>
      <c r="N121" s="135"/>
      <c r="O121" s="135"/>
      <c r="P121" s="155">
        <f>-P187</f>
        <v>-43</v>
      </c>
      <c r="Q121" s="155"/>
      <c r="R121" s="156"/>
      <c r="S121" s="139"/>
      <c r="T121" s="2"/>
    </row>
    <row r="122" spans="1:20" ht="15.6" x14ac:dyDescent="0.3">
      <c r="A122" s="112"/>
      <c r="B122" s="113" t="s">
        <v>209</v>
      </c>
      <c r="C122" s="135"/>
      <c r="D122" s="135"/>
      <c r="E122" s="135"/>
      <c r="F122" s="135"/>
      <c r="G122" s="135"/>
      <c r="H122" s="135"/>
      <c r="I122" s="135"/>
      <c r="J122" s="135"/>
      <c r="K122" s="135"/>
      <c r="L122" s="135"/>
      <c r="M122" s="135"/>
      <c r="N122" s="135"/>
      <c r="O122" s="135"/>
      <c r="P122" s="155">
        <v>0</v>
      </c>
      <c r="Q122" s="155"/>
      <c r="R122" s="156"/>
      <c r="S122" s="139"/>
      <c r="T122" s="2"/>
    </row>
    <row r="123" spans="1:20" ht="15.6" x14ac:dyDescent="0.3">
      <c r="A123" s="112"/>
      <c r="B123" s="113" t="s">
        <v>270</v>
      </c>
      <c r="C123" s="135"/>
      <c r="D123" s="135"/>
      <c r="E123" s="135"/>
      <c r="F123" s="135"/>
      <c r="G123" s="135"/>
      <c r="H123" s="135"/>
      <c r="I123" s="135"/>
      <c r="J123" s="135"/>
      <c r="K123" s="135"/>
      <c r="L123" s="135"/>
      <c r="M123" s="135"/>
      <c r="N123" s="135"/>
      <c r="O123" s="135"/>
      <c r="P123" s="155">
        <v>-1531</v>
      </c>
      <c r="Q123" s="155"/>
      <c r="R123" s="156"/>
      <c r="S123" s="139"/>
      <c r="T123" s="2"/>
    </row>
    <row r="124" spans="1:20" ht="15.6" x14ac:dyDescent="0.3">
      <c r="A124" s="112"/>
      <c r="B124" s="113" t="s">
        <v>269</v>
      </c>
      <c r="C124" s="135"/>
      <c r="D124" s="135"/>
      <c r="E124" s="135"/>
      <c r="F124" s="135"/>
      <c r="G124" s="135"/>
      <c r="H124" s="135"/>
      <c r="I124" s="135"/>
      <c r="J124" s="135"/>
      <c r="K124" s="135"/>
      <c r="L124" s="135"/>
      <c r="M124" s="135"/>
      <c r="N124" s="135"/>
      <c r="O124" s="135"/>
      <c r="P124" s="155">
        <v>-1989</v>
      </c>
      <c r="Q124" s="155"/>
      <c r="R124" s="156"/>
      <c r="S124" s="139"/>
      <c r="T124" s="2"/>
    </row>
    <row r="125" spans="1:20" ht="15.6" x14ac:dyDescent="0.3">
      <c r="A125" s="112"/>
      <c r="B125" s="113" t="s">
        <v>181</v>
      </c>
      <c r="C125" s="135"/>
      <c r="D125" s="135"/>
      <c r="E125" s="135"/>
      <c r="F125" s="135"/>
      <c r="G125" s="135"/>
      <c r="H125" s="135"/>
      <c r="I125" s="135"/>
      <c r="J125" s="135"/>
      <c r="K125" s="135"/>
      <c r="L125" s="135"/>
      <c r="M125" s="135"/>
      <c r="N125" s="135"/>
      <c r="O125" s="135"/>
      <c r="P125" s="155">
        <v>0</v>
      </c>
      <c r="Q125" s="155"/>
      <c r="R125" s="156"/>
      <c r="S125" s="139"/>
      <c r="T125" s="2"/>
    </row>
    <row r="126" spans="1:20" ht="15.6" x14ac:dyDescent="0.3">
      <c r="A126" s="112"/>
      <c r="B126" s="113" t="s">
        <v>182</v>
      </c>
      <c r="C126" s="135"/>
      <c r="D126" s="135"/>
      <c r="E126" s="135"/>
      <c r="F126" s="135"/>
      <c r="G126" s="135"/>
      <c r="H126" s="135"/>
      <c r="I126" s="135"/>
      <c r="J126" s="135"/>
      <c r="K126" s="135"/>
      <c r="L126" s="135"/>
      <c r="M126" s="135"/>
      <c r="N126" s="135"/>
      <c r="O126" s="135"/>
      <c r="P126" s="155">
        <v>0</v>
      </c>
      <c r="Q126" s="155"/>
      <c r="R126" s="156"/>
      <c r="S126" s="139"/>
      <c r="T126" s="2"/>
    </row>
    <row r="127" spans="1:20" ht="15.6" x14ac:dyDescent="0.3">
      <c r="A127" s="112"/>
      <c r="B127" s="113" t="s">
        <v>271</v>
      </c>
      <c r="C127" s="135"/>
      <c r="D127" s="135"/>
      <c r="E127" s="135"/>
      <c r="F127" s="135"/>
      <c r="G127" s="135"/>
      <c r="H127" s="135"/>
      <c r="I127" s="135"/>
      <c r="J127" s="135"/>
      <c r="K127" s="135"/>
      <c r="L127" s="135"/>
      <c r="M127" s="135"/>
      <c r="N127" s="135"/>
      <c r="O127" s="135"/>
      <c r="P127" s="155">
        <v>0</v>
      </c>
      <c r="Q127" s="155"/>
      <c r="R127" s="156"/>
      <c r="S127" s="139"/>
      <c r="T127" s="2"/>
    </row>
    <row r="128" spans="1:20" ht="15.6" x14ac:dyDescent="0.3">
      <c r="A128" s="112"/>
      <c r="B128" s="113" t="s">
        <v>31</v>
      </c>
      <c r="C128" s="135"/>
      <c r="D128" s="135"/>
      <c r="E128" s="135"/>
      <c r="F128" s="135"/>
      <c r="G128" s="135"/>
      <c r="H128" s="135"/>
      <c r="I128" s="135"/>
      <c r="J128" s="135"/>
      <c r="K128" s="135"/>
      <c r="L128" s="135"/>
      <c r="M128" s="135"/>
      <c r="N128" s="135"/>
      <c r="O128" s="135"/>
      <c r="P128" s="155">
        <f>SUM(P121:P127)</f>
        <v>-3563</v>
      </c>
      <c r="Q128" s="155"/>
      <c r="R128" s="155">
        <f>SUM(R101:R127)</f>
        <v>-3541</v>
      </c>
      <c r="S128" s="139"/>
      <c r="T128" s="2"/>
    </row>
    <row r="129" spans="1:20" ht="15.6" x14ac:dyDescent="0.3">
      <c r="A129" s="112"/>
      <c r="B129" s="113" t="s">
        <v>32</v>
      </c>
      <c r="C129" s="135"/>
      <c r="D129" s="135"/>
      <c r="E129" s="135"/>
      <c r="F129" s="135"/>
      <c r="G129" s="135"/>
      <c r="H129" s="135"/>
      <c r="I129" s="135"/>
      <c r="J129" s="135"/>
      <c r="K129" s="135"/>
      <c r="L129" s="135"/>
      <c r="M129" s="135"/>
      <c r="N129" s="135"/>
      <c r="O129" s="135"/>
      <c r="P129" s="155">
        <f>P100+P128+P111</f>
        <v>0</v>
      </c>
      <c r="Q129" s="155"/>
      <c r="R129" s="155">
        <f>R100+R128</f>
        <v>0</v>
      </c>
      <c r="S129" s="139"/>
      <c r="T129" s="2"/>
    </row>
    <row r="130" spans="1:20" ht="15.6" x14ac:dyDescent="0.3">
      <c r="A130" s="12"/>
      <c r="B130" s="43"/>
      <c r="C130" s="43"/>
      <c r="D130" s="43"/>
      <c r="E130" s="43"/>
      <c r="F130" s="43"/>
      <c r="G130" s="43"/>
      <c r="H130" s="43"/>
      <c r="I130" s="43"/>
      <c r="J130" s="43"/>
      <c r="K130" s="43"/>
      <c r="L130" s="43"/>
      <c r="M130" s="43"/>
      <c r="N130" s="43"/>
      <c r="O130" s="43"/>
      <c r="P130" s="153"/>
      <c r="Q130" s="153"/>
      <c r="R130" s="153"/>
      <c r="S130" s="217"/>
      <c r="T130" s="2"/>
    </row>
    <row r="131" spans="1:20" ht="15.6" x14ac:dyDescent="0.3">
      <c r="A131" s="12"/>
      <c r="B131" s="14"/>
      <c r="C131" s="14"/>
      <c r="D131" s="14"/>
      <c r="E131" s="14"/>
      <c r="F131" s="14"/>
      <c r="G131" s="14"/>
      <c r="H131" s="14"/>
      <c r="I131" s="14"/>
      <c r="J131" s="14"/>
      <c r="K131" s="14"/>
      <c r="L131" s="14"/>
      <c r="M131" s="14"/>
      <c r="N131" s="14"/>
      <c r="O131" s="14"/>
      <c r="P131" s="14"/>
      <c r="Q131" s="14"/>
      <c r="R131" s="33"/>
      <c r="S131" s="217"/>
      <c r="T131" s="2"/>
    </row>
    <row r="132" spans="1:20" ht="18" thickBot="1" x14ac:dyDescent="0.35">
      <c r="A132" s="28"/>
      <c r="B132" s="97" t="str">
        <f>B60</f>
        <v>PM22 INVESTOR REPORT QUARTER ENDING MAY 2016</v>
      </c>
      <c r="C132" s="29"/>
      <c r="D132" s="29"/>
      <c r="E132" s="29"/>
      <c r="F132" s="29"/>
      <c r="G132" s="29"/>
      <c r="H132" s="29"/>
      <c r="I132" s="29"/>
      <c r="J132" s="29"/>
      <c r="K132" s="29"/>
      <c r="L132" s="29"/>
      <c r="M132" s="29"/>
      <c r="N132" s="29"/>
      <c r="O132" s="29"/>
      <c r="P132" s="29"/>
      <c r="Q132" s="29"/>
      <c r="R132" s="40"/>
      <c r="S132" s="31"/>
      <c r="T132" s="2"/>
    </row>
    <row r="133" spans="1:20" ht="15.6" x14ac:dyDescent="0.3">
      <c r="A133" s="65"/>
      <c r="B133" s="66" t="s">
        <v>33</v>
      </c>
      <c r="C133" s="67"/>
      <c r="D133" s="67"/>
      <c r="E133" s="67"/>
      <c r="F133" s="67"/>
      <c r="G133" s="67"/>
      <c r="H133" s="67"/>
      <c r="I133" s="67"/>
      <c r="J133" s="67"/>
      <c r="K133" s="67"/>
      <c r="L133" s="67"/>
      <c r="M133" s="67"/>
      <c r="N133" s="67"/>
      <c r="O133" s="67"/>
      <c r="P133" s="67"/>
      <c r="Q133" s="67"/>
      <c r="R133" s="68"/>
      <c r="S133" s="223"/>
      <c r="T133" s="2"/>
    </row>
    <row r="134" spans="1:20" ht="15.6" x14ac:dyDescent="0.3">
      <c r="A134" s="12"/>
      <c r="B134" s="22"/>
      <c r="C134" s="14"/>
      <c r="D134" s="14"/>
      <c r="E134" s="14"/>
      <c r="F134" s="14"/>
      <c r="G134" s="14"/>
      <c r="H134" s="14"/>
      <c r="I134" s="14"/>
      <c r="J134" s="14"/>
      <c r="K134" s="14"/>
      <c r="L134" s="14"/>
      <c r="M134" s="14"/>
      <c r="N134" s="14"/>
      <c r="O134" s="14"/>
      <c r="P134" s="14"/>
      <c r="Q134" s="14"/>
      <c r="R134" s="33"/>
      <c r="S134" s="217"/>
      <c r="T134" s="2"/>
    </row>
    <row r="135" spans="1:20" ht="15.6" x14ac:dyDescent="0.3">
      <c r="A135" s="12"/>
      <c r="B135" s="41" t="s">
        <v>34</v>
      </c>
      <c r="C135" s="14"/>
      <c r="D135" s="14"/>
      <c r="E135" s="14"/>
      <c r="F135" s="14"/>
      <c r="G135" s="14"/>
      <c r="H135" s="14"/>
      <c r="I135" s="14"/>
      <c r="J135" s="14"/>
      <c r="K135" s="14"/>
      <c r="L135" s="14"/>
      <c r="M135" s="14"/>
      <c r="N135" s="14"/>
      <c r="O135" s="14"/>
      <c r="P135" s="14"/>
      <c r="Q135" s="14"/>
      <c r="R135" s="33"/>
      <c r="S135" s="217"/>
      <c r="T135" s="2"/>
    </row>
    <row r="136" spans="1:20" ht="15.6" x14ac:dyDescent="0.3">
      <c r="A136" s="112"/>
      <c r="B136" s="113" t="s">
        <v>35</v>
      </c>
      <c r="C136" s="113"/>
      <c r="D136" s="113"/>
      <c r="E136" s="113"/>
      <c r="F136" s="113"/>
      <c r="G136" s="113"/>
      <c r="H136" s="113"/>
      <c r="I136" s="113"/>
      <c r="J136" s="113"/>
      <c r="K136" s="113"/>
      <c r="L136" s="113"/>
      <c r="M136" s="113"/>
      <c r="N136" s="113"/>
      <c r="O136" s="113"/>
      <c r="P136" s="113"/>
      <c r="Q136" s="113"/>
      <c r="R136" s="156">
        <v>7502</v>
      </c>
      <c r="S136" s="116"/>
      <c r="T136" s="2"/>
    </row>
    <row r="137" spans="1:20" ht="15.6" x14ac:dyDescent="0.3">
      <c r="A137" s="112"/>
      <c r="B137" s="113" t="s">
        <v>36</v>
      </c>
      <c r="C137" s="113"/>
      <c r="D137" s="113"/>
      <c r="E137" s="113"/>
      <c r="F137" s="113"/>
      <c r="G137" s="113"/>
      <c r="H137" s="113"/>
      <c r="I137" s="113"/>
      <c r="J137" s="113"/>
      <c r="K137" s="113"/>
      <c r="L137" s="113"/>
      <c r="M137" s="113"/>
      <c r="N137" s="113"/>
      <c r="O137" s="113"/>
      <c r="P137" s="113"/>
      <c r="Q137" s="113"/>
      <c r="R137" s="156">
        <v>0</v>
      </c>
      <c r="S137" s="116"/>
      <c r="T137" s="2"/>
    </row>
    <row r="138" spans="1:20" ht="15.6" x14ac:dyDescent="0.3">
      <c r="A138" s="112"/>
      <c r="B138" s="113" t="s">
        <v>169</v>
      </c>
      <c r="C138" s="113"/>
      <c r="D138" s="113"/>
      <c r="E138" s="113"/>
      <c r="F138" s="113"/>
      <c r="G138" s="113"/>
      <c r="H138" s="113"/>
      <c r="I138" s="113"/>
      <c r="J138" s="113"/>
      <c r="K138" s="113"/>
      <c r="L138" s="113"/>
      <c r="M138" s="113"/>
      <c r="N138" s="113"/>
      <c r="O138" s="113"/>
      <c r="P138" s="113"/>
      <c r="Q138" s="113"/>
      <c r="R138" s="156">
        <f>R136-R139</f>
        <v>604.52819613500014</v>
      </c>
      <c r="S138" s="116"/>
      <c r="T138" s="2"/>
    </row>
    <row r="139" spans="1:20" ht="15.6" x14ac:dyDescent="0.3">
      <c r="A139" s="112"/>
      <c r="B139" s="113" t="s">
        <v>210</v>
      </c>
      <c r="C139" s="113"/>
      <c r="D139" s="113"/>
      <c r="E139" s="113"/>
      <c r="F139" s="113"/>
      <c r="G139" s="113"/>
      <c r="H139" s="113"/>
      <c r="I139" s="113"/>
      <c r="J139" s="113"/>
      <c r="K139" s="113"/>
      <c r="L139" s="113"/>
      <c r="M139" s="113"/>
      <c r="N139" s="113"/>
      <c r="O139" s="113"/>
      <c r="P139" s="113"/>
      <c r="Q139" s="113"/>
      <c r="R139" s="156">
        <f>SUM(D33:J33)*0.025</f>
        <v>6897.4718038649999</v>
      </c>
      <c r="S139" s="116"/>
      <c r="T139" s="2"/>
    </row>
    <row r="140" spans="1:20" ht="15.6" x14ac:dyDescent="0.3">
      <c r="A140" s="112"/>
      <c r="B140" s="113" t="s">
        <v>108</v>
      </c>
      <c r="C140" s="113"/>
      <c r="D140" s="113"/>
      <c r="E140" s="113"/>
      <c r="F140" s="113"/>
      <c r="G140" s="113"/>
      <c r="H140" s="113"/>
      <c r="I140" s="113"/>
      <c r="J140" s="113"/>
      <c r="K140" s="113"/>
      <c r="L140" s="113"/>
      <c r="M140" s="113"/>
      <c r="N140" s="113"/>
      <c r="O140" s="113"/>
      <c r="P140" s="113"/>
      <c r="Q140" s="113"/>
      <c r="R140" s="156"/>
      <c r="S140" s="116"/>
      <c r="T140" s="2"/>
    </row>
    <row r="141" spans="1:20" ht="15.6" x14ac:dyDescent="0.3">
      <c r="A141" s="112"/>
      <c r="B141" s="113" t="s">
        <v>155</v>
      </c>
      <c r="C141" s="113"/>
      <c r="D141" s="113"/>
      <c r="E141" s="113"/>
      <c r="F141" s="113"/>
      <c r="G141" s="113"/>
      <c r="H141" s="113"/>
      <c r="I141" s="113"/>
      <c r="J141" s="113"/>
      <c r="K141" s="113"/>
      <c r="L141" s="113"/>
      <c r="M141" s="113"/>
      <c r="N141" s="113"/>
      <c r="O141" s="113"/>
      <c r="P141" s="113"/>
      <c r="Q141" s="113"/>
      <c r="R141" s="156">
        <v>0</v>
      </c>
      <c r="S141" s="116"/>
      <c r="T141" s="2"/>
    </row>
    <row r="142" spans="1:20" ht="15.6" x14ac:dyDescent="0.3">
      <c r="A142" s="112"/>
      <c r="B142" s="113" t="s">
        <v>189</v>
      </c>
      <c r="C142" s="113"/>
      <c r="D142" s="113"/>
      <c r="E142" s="113"/>
      <c r="F142" s="113"/>
      <c r="G142" s="113"/>
      <c r="H142" s="113"/>
      <c r="I142" s="113"/>
      <c r="J142" s="113"/>
      <c r="K142" s="113"/>
      <c r="L142" s="113"/>
      <c r="M142" s="113"/>
      <c r="N142" s="113"/>
      <c r="O142" s="113"/>
      <c r="P142" s="113"/>
      <c r="Q142" s="113"/>
      <c r="R142" s="156">
        <v>0</v>
      </c>
      <c r="S142" s="116"/>
      <c r="T142" s="2"/>
    </row>
    <row r="143" spans="1:20" ht="15.6" x14ac:dyDescent="0.3">
      <c r="A143" s="112"/>
      <c r="B143" s="113" t="s">
        <v>190</v>
      </c>
      <c r="C143" s="113"/>
      <c r="D143" s="113"/>
      <c r="E143" s="113"/>
      <c r="F143" s="113"/>
      <c r="G143" s="113"/>
      <c r="H143" s="113"/>
      <c r="I143" s="113"/>
      <c r="J143" s="113"/>
      <c r="K143" s="113"/>
      <c r="L143" s="113"/>
      <c r="M143" s="113"/>
      <c r="N143" s="113"/>
      <c r="O143" s="113"/>
      <c r="P143" s="113"/>
      <c r="Q143" s="113"/>
      <c r="R143" s="156">
        <v>0</v>
      </c>
      <c r="S143" s="116"/>
      <c r="T143" s="2"/>
    </row>
    <row r="144" spans="1:20" ht="15.6" x14ac:dyDescent="0.3">
      <c r="A144" s="112"/>
      <c r="B144" s="113" t="s">
        <v>37</v>
      </c>
      <c r="C144" s="113"/>
      <c r="D144" s="113"/>
      <c r="E144" s="113"/>
      <c r="F144" s="113"/>
      <c r="G144" s="113"/>
      <c r="H144" s="113"/>
      <c r="I144" s="113"/>
      <c r="J144" s="113"/>
      <c r="K144" s="113"/>
      <c r="L144" s="113"/>
      <c r="M144" s="113"/>
      <c r="N144" s="113"/>
      <c r="O144" s="113"/>
      <c r="P144" s="113"/>
      <c r="Q144" s="113"/>
      <c r="R144" s="156">
        <v>0</v>
      </c>
      <c r="S144" s="116"/>
      <c r="T144" s="2"/>
    </row>
    <row r="145" spans="1:21" ht="15.6" x14ac:dyDescent="0.3">
      <c r="A145" s="112"/>
      <c r="B145" s="113" t="s">
        <v>102</v>
      </c>
      <c r="C145" s="113"/>
      <c r="D145" s="113"/>
      <c r="E145" s="113"/>
      <c r="F145" s="113"/>
      <c r="G145" s="113"/>
      <c r="H145" s="113"/>
      <c r="I145" s="113"/>
      <c r="J145" s="113"/>
      <c r="K145" s="113"/>
      <c r="L145" s="113"/>
      <c r="M145" s="113"/>
      <c r="N145" s="113"/>
      <c r="O145" s="113"/>
      <c r="P145" s="113"/>
      <c r="Q145" s="113"/>
      <c r="R145" s="156">
        <v>0</v>
      </c>
      <c r="S145" s="116"/>
      <c r="T145" s="2"/>
    </row>
    <row r="146" spans="1:21" ht="15.6" x14ac:dyDescent="0.3">
      <c r="A146" s="112"/>
      <c r="B146" s="113" t="s">
        <v>256</v>
      </c>
      <c r="C146" s="113"/>
      <c r="D146" s="113"/>
      <c r="E146" s="113"/>
      <c r="F146" s="113"/>
      <c r="G146" s="113"/>
      <c r="H146" s="113"/>
      <c r="I146" s="113"/>
      <c r="J146" s="113"/>
      <c r="K146" s="113"/>
      <c r="L146" s="113"/>
      <c r="M146" s="113"/>
      <c r="N146" s="113"/>
      <c r="O146" s="113"/>
      <c r="P146" s="113"/>
      <c r="Q146" s="113"/>
      <c r="R146" s="156">
        <v>0</v>
      </c>
      <c r="S146" s="116"/>
      <c r="T146" s="2"/>
      <c r="U146" s="4"/>
    </row>
    <row r="147" spans="1:21" ht="15.6" x14ac:dyDescent="0.3">
      <c r="A147" s="112"/>
      <c r="B147" s="113" t="s">
        <v>38</v>
      </c>
      <c r="C147" s="113"/>
      <c r="D147" s="113"/>
      <c r="E147" s="113"/>
      <c r="F147" s="113"/>
      <c r="G147" s="113"/>
      <c r="H147" s="113"/>
      <c r="I147" s="113"/>
      <c r="J147" s="113"/>
      <c r="K147" s="113"/>
      <c r="L147" s="113"/>
      <c r="M147" s="113"/>
      <c r="N147" s="113"/>
      <c r="O147" s="113"/>
      <c r="P147" s="113"/>
      <c r="Q147" s="113"/>
      <c r="R147" s="156">
        <f>SUM(R137:R146)</f>
        <v>7502</v>
      </c>
      <c r="S147" s="116"/>
      <c r="T147" s="2"/>
    </row>
    <row r="148" spans="1:21" ht="15.6" x14ac:dyDescent="0.3">
      <c r="A148" s="12"/>
      <c r="B148" s="43"/>
      <c r="C148" s="43"/>
      <c r="D148" s="43"/>
      <c r="E148" s="43"/>
      <c r="F148" s="43"/>
      <c r="G148" s="43"/>
      <c r="H148" s="43"/>
      <c r="I148" s="43"/>
      <c r="J148" s="43"/>
      <c r="K148" s="43"/>
      <c r="L148" s="43"/>
      <c r="M148" s="43"/>
      <c r="N148" s="43"/>
      <c r="O148" s="43"/>
      <c r="P148" s="43"/>
      <c r="Q148" s="43"/>
      <c r="R148" s="162"/>
      <c r="S148" s="217"/>
      <c r="T148" s="2"/>
    </row>
    <row r="149" spans="1:21" ht="15.6" x14ac:dyDescent="0.3">
      <c r="A149" s="12"/>
      <c r="B149" s="41" t="s">
        <v>203</v>
      </c>
      <c r="C149" s="14"/>
      <c r="D149" s="14"/>
      <c r="E149" s="14"/>
      <c r="F149" s="14"/>
      <c r="G149" s="14"/>
      <c r="H149" s="14"/>
      <c r="I149" s="14"/>
      <c r="J149" s="14"/>
      <c r="K149" s="14"/>
      <c r="L149" s="14"/>
      <c r="M149" s="14"/>
      <c r="N149" s="14"/>
      <c r="O149" s="14"/>
      <c r="P149" s="14"/>
      <c r="Q149" s="14"/>
      <c r="R149" s="33"/>
      <c r="S149" s="217"/>
      <c r="T149" s="2"/>
    </row>
    <row r="150" spans="1:21" ht="15.6" x14ac:dyDescent="0.3">
      <c r="A150" s="112"/>
      <c r="B150" s="113" t="s">
        <v>278</v>
      </c>
      <c r="C150" s="113"/>
      <c r="D150" s="113"/>
      <c r="E150" s="113"/>
      <c r="F150" s="113"/>
      <c r="G150" s="113"/>
      <c r="H150" s="113"/>
      <c r="I150" s="113"/>
      <c r="J150" s="113"/>
      <c r="K150" s="113"/>
      <c r="L150" s="113"/>
      <c r="M150" s="113"/>
      <c r="N150" s="113"/>
      <c r="O150" s="113"/>
      <c r="P150" s="113"/>
      <c r="Q150" s="113"/>
      <c r="R150" s="156">
        <v>0</v>
      </c>
      <c r="S150" s="139"/>
      <c r="T150" s="2"/>
    </row>
    <row r="151" spans="1:21" ht="15.6" x14ac:dyDescent="0.3">
      <c r="A151" s="112"/>
      <c r="B151" s="113" t="s">
        <v>191</v>
      </c>
      <c r="C151" s="115"/>
      <c r="D151" s="115"/>
      <c r="E151" s="115"/>
      <c r="F151" s="115"/>
      <c r="G151" s="115"/>
      <c r="H151" s="115"/>
      <c r="I151" s="115"/>
      <c r="J151" s="115"/>
      <c r="K151" s="115"/>
      <c r="L151" s="115"/>
      <c r="M151" s="115"/>
      <c r="N151" s="115"/>
      <c r="O151" s="115"/>
      <c r="P151" s="115"/>
      <c r="Q151" s="115"/>
      <c r="R151" s="156">
        <f>+J77</f>
        <v>0</v>
      </c>
      <c r="S151" s="139"/>
      <c r="T151" s="2"/>
    </row>
    <row r="152" spans="1:21" ht="15.6" x14ac:dyDescent="0.3">
      <c r="A152" s="112"/>
      <c r="B152" s="113" t="s">
        <v>205</v>
      </c>
      <c r="C152" s="113"/>
      <c r="D152" s="113"/>
      <c r="E152" s="113"/>
      <c r="F152" s="113"/>
      <c r="G152" s="113"/>
      <c r="H152" s="113"/>
      <c r="I152" s="113"/>
      <c r="J152" s="113"/>
      <c r="K152" s="113"/>
      <c r="L152" s="113"/>
      <c r="M152" s="113"/>
      <c r="N152" s="113"/>
      <c r="O152" s="113"/>
      <c r="P152" s="113"/>
      <c r="Q152" s="113"/>
      <c r="R152" s="156">
        <f>R150+R151</f>
        <v>0</v>
      </c>
      <c r="S152" s="139"/>
      <c r="T152" s="2"/>
    </row>
    <row r="153" spans="1:21" ht="15.6" x14ac:dyDescent="0.3">
      <c r="A153" s="12"/>
      <c r="B153" s="163"/>
      <c r="C153" s="163"/>
      <c r="D153" s="163"/>
      <c r="E153" s="163"/>
      <c r="F153" s="163"/>
      <c r="G153" s="163"/>
      <c r="H153" s="163"/>
      <c r="I153" s="163"/>
      <c r="J153" s="163"/>
      <c r="K153" s="163"/>
      <c r="L153" s="163"/>
      <c r="M153" s="163"/>
      <c r="N153" s="163"/>
      <c r="O153" s="163"/>
      <c r="P153" s="163"/>
      <c r="Q153" s="163"/>
      <c r="R153" s="195"/>
      <c r="S153" s="217"/>
      <c r="T153" s="2"/>
    </row>
    <row r="154" spans="1:21" ht="15.6" x14ac:dyDescent="0.3">
      <c r="A154" s="12"/>
      <c r="B154" s="41" t="s">
        <v>211</v>
      </c>
      <c r="C154" s="163"/>
      <c r="D154" s="163"/>
      <c r="E154" s="163"/>
      <c r="F154" s="163"/>
      <c r="G154" s="163"/>
      <c r="H154" s="163"/>
      <c r="I154" s="163"/>
      <c r="J154" s="163"/>
      <c r="K154" s="163"/>
      <c r="L154" s="163"/>
      <c r="M154" s="163"/>
      <c r="N154" s="163"/>
      <c r="O154" s="163"/>
      <c r="P154" s="163"/>
      <c r="Q154" s="163"/>
      <c r="R154" s="195"/>
      <c r="S154" s="217"/>
      <c r="T154" s="2"/>
    </row>
    <row r="155" spans="1:21" ht="15.6" x14ac:dyDescent="0.3">
      <c r="A155" s="231"/>
      <c r="B155" s="232" t="s">
        <v>277</v>
      </c>
      <c r="C155" s="232"/>
      <c r="D155" s="232"/>
      <c r="E155" s="232"/>
      <c r="F155" s="232"/>
      <c r="G155" s="232"/>
      <c r="H155" s="232"/>
      <c r="I155" s="232"/>
      <c r="J155" s="232"/>
      <c r="K155" s="232"/>
      <c r="L155" s="232"/>
      <c r="M155" s="232"/>
      <c r="N155" s="232"/>
      <c r="O155" s="232"/>
      <c r="P155" s="232"/>
      <c r="Q155" s="232"/>
      <c r="R155" s="233">
        <f>+'Feb 16'!R158</f>
        <v>1478</v>
      </c>
      <c r="S155" s="234"/>
      <c r="T155" s="2"/>
    </row>
    <row r="156" spans="1:21" ht="15.6" x14ac:dyDescent="0.3">
      <c r="A156" s="231"/>
      <c r="B156" s="232" t="s">
        <v>213</v>
      </c>
      <c r="C156" s="232"/>
      <c r="D156" s="232"/>
      <c r="E156" s="232"/>
      <c r="F156" s="232"/>
      <c r="G156" s="232"/>
      <c r="H156" s="232"/>
      <c r="I156" s="232"/>
      <c r="J156" s="232"/>
      <c r="K156" s="232"/>
      <c r="L156" s="232"/>
      <c r="M156" s="232"/>
      <c r="N156" s="232"/>
      <c r="O156" s="232"/>
      <c r="P156" s="232"/>
      <c r="Q156" s="232"/>
      <c r="R156" s="233">
        <f>P86</f>
        <v>-134</v>
      </c>
      <c r="S156" s="234"/>
      <c r="T156" s="2"/>
    </row>
    <row r="157" spans="1:21" ht="15.6" x14ac:dyDescent="0.3">
      <c r="A157" s="231"/>
      <c r="B157" s="232" t="s">
        <v>214</v>
      </c>
      <c r="C157" s="232"/>
      <c r="D157" s="232"/>
      <c r="E157" s="232"/>
      <c r="F157" s="232"/>
      <c r="G157" s="232"/>
      <c r="H157" s="232"/>
      <c r="I157" s="232"/>
      <c r="J157" s="232"/>
      <c r="K157" s="232"/>
      <c r="L157" s="232"/>
      <c r="M157" s="232"/>
      <c r="N157" s="232"/>
      <c r="O157" s="232"/>
      <c r="P157" s="232"/>
      <c r="Q157" s="232"/>
      <c r="R157" s="233">
        <v>0</v>
      </c>
      <c r="S157" s="234"/>
      <c r="T157" s="2"/>
    </row>
    <row r="158" spans="1:21" ht="15.6" x14ac:dyDescent="0.3">
      <c r="A158" s="231"/>
      <c r="B158" s="232" t="s">
        <v>215</v>
      </c>
      <c r="C158" s="232"/>
      <c r="D158" s="232"/>
      <c r="E158" s="232"/>
      <c r="F158" s="232"/>
      <c r="G158" s="232"/>
      <c r="H158" s="232"/>
      <c r="I158" s="232"/>
      <c r="J158" s="232"/>
      <c r="K158" s="232"/>
      <c r="L158" s="232"/>
      <c r="M158" s="232"/>
      <c r="N158" s="232"/>
      <c r="O158" s="232"/>
      <c r="P158" s="232"/>
      <c r="Q158" s="232"/>
      <c r="R158" s="233">
        <f>R155+R156+R157</f>
        <v>1344</v>
      </c>
      <c r="S158" s="234"/>
      <c r="T158" s="2"/>
    </row>
    <row r="159" spans="1:21" ht="15.6" x14ac:dyDescent="0.3">
      <c r="A159" s="12"/>
      <c r="B159" s="43"/>
      <c r="C159" s="43"/>
      <c r="D159" s="43"/>
      <c r="E159" s="43"/>
      <c r="F159" s="43"/>
      <c r="G159" s="43"/>
      <c r="H159" s="43"/>
      <c r="I159" s="43"/>
      <c r="J159" s="43"/>
      <c r="K159" s="43"/>
      <c r="L159" s="43"/>
      <c r="M159" s="43"/>
      <c r="N159" s="43"/>
      <c r="O159" s="43"/>
      <c r="P159" s="43"/>
      <c r="Q159" s="43"/>
      <c r="R159" s="162"/>
      <c r="S159" s="217"/>
      <c r="T159" s="2"/>
    </row>
    <row r="160" spans="1:21" ht="15.6" x14ac:dyDescent="0.3">
      <c r="A160" s="12"/>
      <c r="B160" s="41" t="s">
        <v>39</v>
      </c>
      <c r="C160" s="14"/>
      <c r="D160" s="14"/>
      <c r="E160" s="14"/>
      <c r="F160" s="14"/>
      <c r="G160" s="14"/>
      <c r="H160" s="14"/>
      <c r="I160" s="14"/>
      <c r="J160" s="14"/>
      <c r="K160" s="14"/>
      <c r="L160" s="14"/>
      <c r="M160" s="14"/>
      <c r="N160" s="14"/>
      <c r="O160" s="14"/>
      <c r="P160" s="14"/>
      <c r="Q160" s="14"/>
      <c r="R160" s="42"/>
      <c r="S160" s="217"/>
      <c r="T160" s="2"/>
    </row>
    <row r="161" spans="1:252" ht="15.6" x14ac:dyDescent="0.3">
      <c r="A161" s="112"/>
      <c r="B161" s="113" t="s">
        <v>40</v>
      </c>
      <c r="C161" s="113"/>
      <c r="D161" s="113"/>
      <c r="E161" s="113"/>
      <c r="F161" s="113"/>
      <c r="G161" s="113"/>
      <c r="H161" s="113"/>
      <c r="I161" s="113"/>
      <c r="J161" s="113"/>
      <c r="K161" s="113"/>
      <c r="L161" s="113"/>
      <c r="M161" s="113"/>
      <c r="N161" s="113"/>
      <c r="O161" s="113"/>
      <c r="P161" s="113"/>
      <c r="Q161" s="113"/>
      <c r="R161" s="156">
        <v>0</v>
      </c>
      <c r="S161" s="116"/>
      <c r="T161" s="2"/>
    </row>
    <row r="162" spans="1:252" ht="15.6" x14ac:dyDescent="0.3">
      <c r="A162" s="112"/>
      <c r="B162" s="113" t="s">
        <v>41</v>
      </c>
      <c r="C162" s="113"/>
      <c r="D162" s="113"/>
      <c r="E162" s="113"/>
      <c r="F162" s="113"/>
      <c r="G162" s="113"/>
      <c r="H162" s="113"/>
      <c r="I162" s="113"/>
      <c r="J162" s="113"/>
      <c r="K162" s="113"/>
      <c r="L162" s="113"/>
      <c r="M162" s="113"/>
      <c r="N162" s="113"/>
      <c r="O162" s="113"/>
      <c r="P162" s="113"/>
      <c r="Q162" s="113"/>
      <c r="R162" s="156">
        <v>0</v>
      </c>
      <c r="S162" s="116"/>
      <c r="T162" s="2"/>
    </row>
    <row r="163" spans="1:252" ht="15.6" x14ac:dyDescent="0.3">
      <c r="A163" s="112"/>
      <c r="B163" s="113" t="s">
        <v>42</v>
      </c>
      <c r="C163" s="113"/>
      <c r="D163" s="113"/>
      <c r="E163" s="113"/>
      <c r="F163" s="113"/>
      <c r="G163" s="113"/>
      <c r="H163" s="113"/>
      <c r="I163" s="113"/>
      <c r="J163" s="113"/>
      <c r="K163" s="113"/>
      <c r="L163" s="113"/>
      <c r="M163" s="113"/>
      <c r="N163" s="113"/>
      <c r="O163" s="113"/>
      <c r="P163" s="113"/>
      <c r="Q163" s="113"/>
      <c r="R163" s="156">
        <f>R162+R161</f>
        <v>0</v>
      </c>
      <c r="S163" s="116"/>
      <c r="T163" s="2"/>
    </row>
    <row r="164" spans="1:252" ht="15.6" x14ac:dyDescent="0.3">
      <c r="A164" s="112"/>
      <c r="B164" s="113" t="s">
        <v>174</v>
      </c>
      <c r="C164" s="113"/>
      <c r="D164" s="113"/>
      <c r="E164" s="113"/>
      <c r="F164" s="113"/>
      <c r="G164" s="113"/>
      <c r="H164" s="113"/>
      <c r="I164" s="113"/>
      <c r="J164" s="113"/>
      <c r="K164" s="113"/>
      <c r="L164" s="113"/>
      <c r="M164" s="113"/>
      <c r="N164" s="113"/>
      <c r="O164" s="113"/>
      <c r="P164" s="113"/>
      <c r="Q164" s="113"/>
      <c r="R164" s="156">
        <f>R111</f>
        <v>0</v>
      </c>
      <c r="S164" s="116"/>
      <c r="T164" s="2"/>
    </row>
    <row r="165" spans="1:252" ht="15.6" x14ac:dyDescent="0.3">
      <c r="A165" s="112"/>
      <c r="B165" s="113" t="s">
        <v>43</v>
      </c>
      <c r="C165" s="113"/>
      <c r="D165" s="113"/>
      <c r="E165" s="113"/>
      <c r="F165" s="113"/>
      <c r="G165" s="113"/>
      <c r="H165" s="113"/>
      <c r="I165" s="113"/>
      <c r="J165" s="113"/>
      <c r="K165" s="113"/>
      <c r="L165" s="113"/>
      <c r="M165" s="113"/>
      <c r="N165" s="113"/>
      <c r="O165" s="113"/>
      <c r="P165" s="113"/>
      <c r="Q165" s="113"/>
      <c r="R165" s="156">
        <f>R163+R164</f>
        <v>0</v>
      </c>
      <c r="S165" s="116"/>
      <c r="T165" s="2"/>
    </row>
    <row r="166" spans="1:252" ht="15.6" x14ac:dyDescent="0.3">
      <c r="A166" s="112"/>
      <c r="B166" s="113" t="s">
        <v>150</v>
      </c>
      <c r="C166" s="113"/>
      <c r="D166" s="113"/>
      <c r="E166" s="113"/>
      <c r="F166" s="113"/>
      <c r="G166" s="113"/>
      <c r="H166" s="113"/>
      <c r="I166" s="113"/>
      <c r="J166" s="113"/>
      <c r="K166" s="113"/>
      <c r="L166" s="113"/>
      <c r="M166" s="113"/>
      <c r="N166" s="113"/>
      <c r="O166" s="113"/>
      <c r="P166" s="113"/>
      <c r="Q166" s="113"/>
      <c r="R166" s="156">
        <f>-R99</f>
        <v>0</v>
      </c>
      <c r="S166" s="116"/>
      <c r="T166" s="2"/>
    </row>
    <row r="167" spans="1:252" ht="16.2" thickBot="1" x14ac:dyDescent="0.35">
      <c r="A167" s="12"/>
      <c r="B167" s="43"/>
      <c r="C167" s="43"/>
      <c r="D167" s="43"/>
      <c r="E167" s="43"/>
      <c r="F167" s="43"/>
      <c r="G167" s="43"/>
      <c r="H167" s="43"/>
      <c r="I167" s="43"/>
      <c r="J167" s="43"/>
      <c r="K167" s="43"/>
      <c r="L167" s="43"/>
      <c r="M167" s="43"/>
      <c r="N167" s="43"/>
      <c r="O167" s="43"/>
      <c r="P167" s="43"/>
      <c r="Q167" s="43"/>
      <c r="R167" s="162"/>
      <c r="S167" s="217"/>
      <c r="T167" s="2"/>
    </row>
    <row r="168" spans="1:252" ht="15.6" x14ac:dyDescent="0.3">
      <c r="A168" s="10"/>
      <c r="B168" s="11"/>
      <c r="C168" s="11"/>
      <c r="D168" s="11"/>
      <c r="E168" s="11"/>
      <c r="F168" s="11"/>
      <c r="G168" s="11"/>
      <c r="H168" s="11"/>
      <c r="I168" s="11"/>
      <c r="J168" s="11"/>
      <c r="K168" s="11"/>
      <c r="L168" s="11"/>
      <c r="M168" s="11"/>
      <c r="N168" s="11"/>
      <c r="O168" s="11"/>
      <c r="P168" s="11"/>
      <c r="Q168" s="11"/>
      <c r="R168" s="32"/>
      <c r="S168" s="216"/>
      <c r="T168" s="2"/>
    </row>
    <row r="169" spans="1:252" s="6" customFormat="1" ht="15.6" x14ac:dyDescent="0.3">
      <c r="A169" s="12"/>
      <c r="B169" s="41" t="s">
        <v>204</v>
      </c>
      <c r="C169" s="43"/>
      <c r="D169" s="43"/>
      <c r="E169" s="43"/>
      <c r="F169" s="43"/>
      <c r="G169" s="43"/>
      <c r="H169" s="43"/>
      <c r="I169" s="43"/>
      <c r="J169" s="43"/>
      <c r="K169" s="43"/>
      <c r="L169" s="43"/>
      <c r="M169" s="43"/>
      <c r="N169" s="43"/>
      <c r="O169" s="43"/>
      <c r="P169" s="43"/>
      <c r="Q169" s="43"/>
      <c r="R169" s="44"/>
      <c r="S169" s="217"/>
      <c r="T169" s="2"/>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row>
    <row r="170" spans="1:252" s="7" customFormat="1" ht="15.6" x14ac:dyDescent="0.3">
      <c r="A170" s="112"/>
      <c r="B170" s="113" t="s">
        <v>141</v>
      </c>
      <c r="C170" s="113"/>
      <c r="D170" s="113"/>
      <c r="E170" s="113"/>
      <c r="F170" s="113"/>
      <c r="G170" s="113"/>
      <c r="H170" s="113"/>
      <c r="I170" s="113"/>
      <c r="J170" s="113"/>
      <c r="K170" s="113"/>
      <c r="L170" s="113"/>
      <c r="M170" s="113"/>
      <c r="N170" s="113"/>
      <c r="O170" s="113"/>
      <c r="P170" s="113"/>
      <c r="Q170" s="113"/>
      <c r="R170" s="156">
        <f>+'Feb 16'!R172</f>
        <v>399</v>
      </c>
      <c r="S170" s="116"/>
      <c r="T170" s="2"/>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row>
    <row r="171" spans="1:252" s="7" customFormat="1" ht="15.6" x14ac:dyDescent="0.3">
      <c r="A171" s="112"/>
      <c r="B171" s="113" t="s">
        <v>144</v>
      </c>
      <c r="C171" s="113"/>
      <c r="D171" s="113"/>
      <c r="E171" s="113"/>
      <c r="F171" s="113"/>
      <c r="G171" s="113"/>
      <c r="H171" s="113"/>
      <c r="I171" s="113"/>
      <c r="J171" s="113"/>
      <c r="K171" s="113"/>
      <c r="L171" s="113"/>
      <c r="M171" s="113"/>
      <c r="N171" s="113"/>
      <c r="O171" s="113"/>
      <c r="P171" s="113"/>
      <c r="Q171" s="113"/>
      <c r="R171" s="156">
        <f>+R92</f>
        <v>23</v>
      </c>
      <c r="S171" s="116"/>
      <c r="T171" s="2"/>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1:252" s="7" customFormat="1" ht="15.6" x14ac:dyDescent="0.3">
      <c r="A172" s="112"/>
      <c r="B172" s="113" t="s">
        <v>142</v>
      </c>
      <c r="C172" s="113"/>
      <c r="D172" s="113"/>
      <c r="E172" s="113"/>
      <c r="F172" s="113"/>
      <c r="G172" s="113"/>
      <c r="H172" s="113"/>
      <c r="I172" s="113"/>
      <c r="J172" s="113"/>
      <c r="K172" s="113"/>
      <c r="L172" s="113"/>
      <c r="M172" s="113"/>
      <c r="N172" s="113"/>
      <c r="O172" s="113"/>
      <c r="P172" s="113"/>
      <c r="Q172" s="113"/>
      <c r="R172" s="156">
        <f>+R170-R171</f>
        <v>376</v>
      </c>
      <c r="S172" s="116"/>
      <c r="T172" s="2"/>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1:252" s="8" customFormat="1" ht="16.2" thickBot="1" x14ac:dyDescent="0.35">
      <c r="A173" s="28"/>
      <c r="B173" s="43"/>
      <c r="C173" s="43"/>
      <c r="D173" s="43"/>
      <c r="E173" s="43"/>
      <c r="F173" s="43"/>
      <c r="G173" s="43"/>
      <c r="H173" s="43"/>
      <c r="I173" s="43"/>
      <c r="J173" s="43"/>
      <c r="K173" s="43"/>
      <c r="L173" s="43"/>
      <c r="M173" s="43"/>
      <c r="N173" s="43"/>
      <c r="O173" s="43"/>
      <c r="P173" s="43"/>
      <c r="Q173" s="43"/>
      <c r="R173" s="162"/>
      <c r="S173" s="217"/>
      <c r="T173" s="2"/>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1:252" s="9" customFormat="1" ht="15.6" x14ac:dyDescent="0.3">
      <c r="A174" s="10"/>
      <c r="B174" s="11"/>
      <c r="C174" s="11"/>
      <c r="D174" s="11"/>
      <c r="E174" s="11"/>
      <c r="F174" s="11"/>
      <c r="G174" s="11"/>
      <c r="H174" s="11"/>
      <c r="I174" s="11"/>
      <c r="J174" s="11"/>
      <c r="K174" s="11"/>
      <c r="L174" s="11"/>
      <c r="M174" s="11"/>
      <c r="N174" s="11"/>
      <c r="O174" s="11"/>
      <c r="P174" s="11"/>
      <c r="Q174" s="11"/>
      <c r="R174" s="32"/>
      <c r="S174" s="216"/>
      <c r="T174" s="2"/>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1:252" ht="15.6" x14ac:dyDescent="0.3">
      <c r="A175" s="12"/>
      <c r="B175" s="41" t="s">
        <v>44</v>
      </c>
      <c r="C175" s="14"/>
      <c r="D175" s="14"/>
      <c r="E175" s="14"/>
      <c r="F175" s="14"/>
      <c r="G175" s="14"/>
      <c r="H175" s="14"/>
      <c r="I175" s="14"/>
      <c r="J175" s="14"/>
      <c r="K175" s="14"/>
      <c r="L175" s="14"/>
      <c r="M175" s="14"/>
      <c r="N175" s="14"/>
      <c r="O175" s="14"/>
      <c r="P175" s="14"/>
      <c r="Q175" s="14"/>
      <c r="R175" s="33"/>
      <c r="S175" s="217"/>
      <c r="T175" s="2"/>
    </row>
    <row r="176" spans="1:252" ht="15.6" x14ac:dyDescent="0.3">
      <c r="A176" s="12"/>
      <c r="B176" s="22"/>
      <c r="C176" s="14"/>
      <c r="D176" s="14"/>
      <c r="E176" s="14"/>
      <c r="F176" s="14"/>
      <c r="G176" s="14"/>
      <c r="H176" s="14"/>
      <c r="I176" s="14"/>
      <c r="J176" s="14"/>
      <c r="K176" s="14"/>
      <c r="L176" s="14"/>
      <c r="M176" s="14"/>
      <c r="N176" s="14"/>
      <c r="O176" s="14"/>
      <c r="P176" s="14"/>
      <c r="Q176" s="14"/>
      <c r="R176" s="33"/>
      <c r="S176" s="217"/>
      <c r="T176" s="2"/>
    </row>
    <row r="177" spans="1:20" ht="15.6" x14ac:dyDescent="0.3">
      <c r="A177" s="112"/>
      <c r="B177" s="113" t="s">
        <v>172</v>
      </c>
      <c r="C177" s="113"/>
      <c r="D177" s="113"/>
      <c r="E177" s="113"/>
      <c r="F177" s="113"/>
      <c r="G177" s="113"/>
      <c r="H177" s="113"/>
      <c r="I177" s="113"/>
      <c r="J177" s="113"/>
      <c r="K177" s="113"/>
      <c r="L177" s="113"/>
      <c r="M177" s="113"/>
      <c r="N177" s="113"/>
      <c r="O177" s="113"/>
      <c r="P177" s="113"/>
      <c r="Q177" s="113"/>
      <c r="R177" s="156">
        <f>+R67</f>
        <v>282055</v>
      </c>
      <c r="S177" s="116"/>
      <c r="T177" s="2"/>
    </row>
    <row r="178" spans="1:20" ht="15.6" x14ac:dyDescent="0.3">
      <c r="A178" s="112"/>
      <c r="B178" s="113" t="s">
        <v>173</v>
      </c>
      <c r="C178" s="113"/>
      <c r="D178" s="113"/>
      <c r="E178" s="113"/>
      <c r="F178" s="113"/>
      <c r="G178" s="113"/>
      <c r="H178" s="113"/>
      <c r="I178" s="113"/>
      <c r="J178" s="113"/>
      <c r="K178" s="113"/>
      <c r="L178" s="113"/>
      <c r="M178" s="113"/>
      <c r="N178" s="113"/>
      <c r="O178" s="113"/>
      <c r="P178" s="113"/>
      <c r="Q178" s="113"/>
      <c r="R178" s="156">
        <f>+R77</f>
        <v>0</v>
      </c>
      <c r="S178" s="116"/>
      <c r="T178" s="2"/>
    </row>
    <row r="179" spans="1:20" ht="15.6" x14ac:dyDescent="0.3">
      <c r="A179" s="112"/>
      <c r="B179" s="113" t="s">
        <v>216</v>
      </c>
      <c r="C179" s="113"/>
      <c r="D179" s="113"/>
      <c r="E179" s="113"/>
      <c r="F179" s="113"/>
      <c r="G179" s="113"/>
      <c r="H179" s="113"/>
      <c r="I179" s="113"/>
      <c r="J179" s="113"/>
      <c r="K179" s="113"/>
      <c r="L179" s="113"/>
      <c r="M179" s="113"/>
      <c r="N179" s="113"/>
      <c r="O179" s="113"/>
      <c r="P179" s="113"/>
      <c r="Q179" s="113"/>
      <c r="R179" s="156">
        <f>+R78</f>
        <v>1344</v>
      </c>
      <c r="S179" s="116"/>
      <c r="T179" s="2"/>
    </row>
    <row r="180" spans="1:20" ht="15.6" x14ac:dyDescent="0.3">
      <c r="A180" s="112"/>
      <c r="B180" s="113" t="s">
        <v>126</v>
      </c>
      <c r="C180" s="113"/>
      <c r="D180" s="113"/>
      <c r="E180" s="113"/>
      <c r="F180" s="113"/>
      <c r="G180" s="113"/>
      <c r="H180" s="113"/>
      <c r="I180" s="113"/>
      <c r="J180" s="113"/>
      <c r="K180" s="113"/>
      <c r="L180" s="113"/>
      <c r="M180" s="113"/>
      <c r="N180" s="113"/>
      <c r="O180" s="113"/>
      <c r="P180" s="113"/>
      <c r="Q180" s="113"/>
      <c r="R180" s="156">
        <f>+R177+R178+R179</f>
        <v>283399</v>
      </c>
      <c r="S180" s="116"/>
      <c r="T180" s="2"/>
    </row>
    <row r="181" spans="1:20" ht="15.6" x14ac:dyDescent="0.3">
      <c r="A181" s="112"/>
      <c r="B181" s="113" t="s">
        <v>45</v>
      </c>
      <c r="C181" s="113"/>
      <c r="D181" s="113"/>
      <c r="E181" s="113"/>
      <c r="F181" s="113"/>
      <c r="G181" s="113"/>
      <c r="H181" s="113"/>
      <c r="I181" s="113"/>
      <c r="J181" s="113"/>
      <c r="K181" s="113"/>
      <c r="L181" s="113"/>
      <c r="M181" s="113"/>
      <c r="N181" s="113"/>
      <c r="O181" s="113"/>
      <c r="P181" s="113"/>
      <c r="Q181" s="113"/>
      <c r="R181" s="156">
        <f>R80</f>
        <v>283399</v>
      </c>
      <c r="S181" s="116"/>
      <c r="T181" s="2"/>
    </row>
    <row r="182" spans="1:20" ht="16.2" thickBot="1" x14ac:dyDescent="0.35">
      <c r="A182" s="12"/>
      <c r="B182" s="43"/>
      <c r="C182" s="43"/>
      <c r="D182" s="43"/>
      <c r="E182" s="43"/>
      <c r="F182" s="43"/>
      <c r="G182" s="43"/>
      <c r="H182" s="43"/>
      <c r="I182" s="43"/>
      <c r="J182" s="43"/>
      <c r="K182" s="43"/>
      <c r="L182" s="43"/>
      <c r="M182" s="43"/>
      <c r="N182" s="43"/>
      <c r="O182" s="43"/>
      <c r="P182" s="43"/>
      <c r="Q182" s="43"/>
      <c r="R182" s="162"/>
      <c r="S182" s="217"/>
      <c r="T182" s="2"/>
    </row>
    <row r="183" spans="1:20" ht="15.6" x14ac:dyDescent="0.3">
      <c r="A183" s="10"/>
      <c r="B183" s="11"/>
      <c r="C183" s="11"/>
      <c r="D183" s="11"/>
      <c r="E183" s="11"/>
      <c r="F183" s="11"/>
      <c r="G183" s="11"/>
      <c r="H183" s="11"/>
      <c r="I183" s="11"/>
      <c r="J183" s="11"/>
      <c r="K183" s="11"/>
      <c r="L183" s="11"/>
      <c r="M183" s="11"/>
      <c r="N183" s="11"/>
      <c r="O183" s="11"/>
      <c r="P183" s="11"/>
      <c r="Q183" s="11"/>
      <c r="R183" s="32"/>
      <c r="S183" s="216"/>
      <c r="T183" s="2"/>
    </row>
    <row r="184" spans="1:20" ht="15.6" x14ac:dyDescent="0.3">
      <c r="A184" s="12"/>
      <c r="B184" s="41" t="s">
        <v>46</v>
      </c>
      <c r="C184" s="37"/>
      <c r="D184" s="45"/>
      <c r="E184" s="45"/>
      <c r="F184" s="45"/>
      <c r="G184" s="45"/>
      <c r="H184" s="45"/>
      <c r="I184" s="45"/>
      <c r="J184" s="45"/>
      <c r="K184" s="45"/>
      <c r="L184" s="45"/>
      <c r="M184" s="45"/>
      <c r="N184" s="45"/>
      <c r="O184" s="45" t="s">
        <v>82</v>
      </c>
      <c r="P184" s="45" t="s">
        <v>170</v>
      </c>
      <c r="Q184" s="16"/>
      <c r="R184" s="46" t="s">
        <v>94</v>
      </c>
      <c r="S184" s="224"/>
      <c r="T184" s="2"/>
    </row>
    <row r="185" spans="1:20" ht="15.6" x14ac:dyDescent="0.3">
      <c r="A185" s="112"/>
      <c r="B185" s="113" t="s">
        <v>47</v>
      </c>
      <c r="C185" s="113"/>
      <c r="D185" s="113"/>
      <c r="E185" s="113"/>
      <c r="F185" s="113"/>
      <c r="G185" s="113"/>
      <c r="H185" s="113"/>
      <c r="I185" s="113"/>
      <c r="J185" s="113"/>
      <c r="K185" s="113"/>
      <c r="L185" s="113"/>
      <c r="M185" s="113"/>
      <c r="N185" s="113"/>
      <c r="O185" s="156">
        <f>+R31*0.08</f>
        <v>24000.720000000001</v>
      </c>
      <c r="P185" s="145"/>
      <c r="Q185" s="113"/>
      <c r="R185" s="156"/>
      <c r="S185" s="116"/>
      <c r="T185" s="2"/>
    </row>
    <row r="186" spans="1:20" ht="15.6" x14ac:dyDescent="0.3">
      <c r="A186" s="112"/>
      <c r="B186" s="113" t="s">
        <v>48</v>
      </c>
      <c r="C186" s="113"/>
      <c r="D186" s="113"/>
      <c r="E186" s="113"/>
      <c r="F186" s="113"/>
      <c r="G186" s="113"/>
      <c r="H186" s="113"/>
      <c r="I186" s="113"/>
      <c r="J186" s="113"/>
      <c r="K186" s="113"/>
      <c r="L186" s="113"/>
      <c r="M186" s="113"/>
      <c r="N186" s="113"/>
      <c r="O186" s="156">
        <f>+'Feb 16'!O188</f>
        <v>187</v>
      </c>
      <c r="P186" s="156">
        <f>+'Feb 16'!P188</f>
        <v>592</v>
      </c>
      <c r="Q186" s="113"/>
      <c r="R186" s="156">
        <f>O186+P186</f>
        <v>779</v>
      </c>
      <c r="S186" s="116"/>
      <c r="T186" s="2"/>
    </row>
    <row r="187" spans="1:20" ht="15.6" x14ac:dyDescent="0.3">
      <c r="A187" s="112"/>
      <c r="B187" s="113" t="s">
        <v>49</v>
      </c>
      <c r="C187" s="113"/>
      <c r="D187" s="113"/>
      <c r="E187" s="113"/>
      <c r="F187" s="113"/>
      <c r="G187" s="113"/>
      <c r="H187" s="113"/>
      <c r="I187" s="113"/>
      <c r="J187" s="113"/>
      <c r="K187" s="113"/>
      <c r="L187" s="113"/>
      <c r="M187" s="113"/>
      <c r="N187" s="113"/>
      <c r="O187" s="155">
        <v>134</v>
      </c>
      <c r="P187" s="155">
        <v>43</v>
      </c>
      <c r="Q187" s="113"/>
      <c r="R187" s="156">
        <f>O187+P187</f>
        <v>177</v>
      </c>
      <c r="S187" s="116"/>
      <c r="T187" s="2"/>
    </row>
    <row r="188" spans="1:20" ht="15.6" x14ac:dyDescent="0.3">
      <c r="A188" s="112"/>
      <c r="B188" s="113" t="s">
        <v>50</v>
      </c>
      <c r="C188" s="113"/>
      <c r="D188" s="113"/>
      <c r="E188" s="113"/>
      <c r="F188" s="113"/>
      <c r="G188" s="113"/>
      <c r="H188" s="113"/>
      <c r="I188" s="113"/>
      <c r="J188" s="113"/>
      <c r="K188" s="113"/>
      <c r="L188" s="113"/>
      <c r="M188" s="113"/>
      <c r="N188" s="113"/>
      <c r="O188" s="156">
        <f>O186+O187</f>
        <v>321</v>
      </c>
      <c r="P188" s="156">
        <f>P187+P186</f>
        <v>635</v>
      </c>
      <c r="Q188" s="113"/>
      <c r="R188" s="156">
        <f>O188+P188</f>
        <v>956</v>
      </c>
      <c r="S188" s="116"/>
      <c r="T188" s="2"/>
    </row>
    <row r="189" spans="1:20" ht="15.6" x14ac:dyDescent="0.3">
      <c r="A189" s="112"/>
      <c r="B189" s="113" t="s">
        <v>51</v>
      </c>
      <c r="C189" s="113"/>
      <c r="D189" s="113"/>
      <c r="E189" s="113"/>
      <c r="F189" s="113"/>
      <c r="G189" s="113"/>
      <c r="H189" s="113"/>
      <c r="I189" s="113"/>
      <c r="J189" s="113"/>
      <c r="K189" s="113"/>
      <c r="L189" s="113"/>
      <c r="M189" s="113"/>
      <c r="N189" s="113"/>
      <c r="O189" s="156">
        <f>O185-O188-P188</f>
        <v>23044.720000000001</v>
      </c>
      <c r="P189" s="145"/>
      <c r="Q189" s="113"/>
      <c r="R189" s="156"/>
      <c r="S189" s="116"/>
      <c r="T189" s="2"/>
    </row>
    <row r="190" spans="1:20" ht="16.2" thickBot="1" x14ac:dyDescent="0.35">
      <c r="A190" s="12"/>
      <c r="B190" s="43"/>
      <c r="C190" s="43"/>
      <c r="D190" s="43"/>
      <c r="E190" s="43"/>
      <c r="F190" s="43"/>
      <c r="G190" s="43"/>
      <c r="H190" s="43"/>
      <c r="I190" s="43"/>
      <c r="J190" s="43"/>
      <c r="K190" s="43"/>
      <c r="L190" s="43"/>
      <c r="M190" s="43"/>
      <c r="N190" s="43"/>
      <c r="O190" s="43"/>
      <c r="P190" s="43"/>
      <c r="Q190" s="43"/>
      <c r="R190" s="162"/>
      <c r="S190" s="217"/>
      <c r="T190" s="2"/>
    </row>
    <row r="191" spans="1:20" ht="15.6" x14ac:dyDescent="0.3">
      <c r="A191" s="10"/>
      <c r="B191" s="11"/>
      <c r="C191" s="11"/>
      <c r="D191" s="11"/>
      <c r="E191" s="11"/>
      <c r="F191" s="11"/>
      <c r="G191" s="11"/>
      <c r="H191" s="11"/>
      <c r="I191" s="11"/>
      <c r="J191" s="11"/>
      <c r="K191" s="11"/>
      <c r="L191" s="11"/>
      <c r="M191" s="11"/>
      <c r="N191" s="11"/>
      <c r="O191" s="11"/>
      <c r="P191" s="11"/>
      <c r="Q191" s="11"/>
      <c r="R191" s="32"/>
      <c r="S191" s="216"/>
      <c r="T191" s="2"/>
    </row>
    <row r="192" spans="1:20" ht="15.6" x14ac:dyDescent="0.3">
      <c r="A192" s="12"/>
      <c r="B192" s="41" t="s">
        <v>52</v>
      </c>
      <c r="C192" s="14"/>
      <c r="D192" s="14"/>
      <c r="E192" s="14"/>
      <c r="F192" s="14"/>
      <c r="G192" s="14"/>
      <c r="H192" s="14"/>
      <c r="I192" s="14"/>
      <c r="J192" s="14"/>
      <c r="K192" s="14"/>
      <c r="L192" s="14"/>
      <c r="M192" s="14"/>
      <c r="N192" s="14"/>
      <c r="O192" s="14"/>
      <c r="P192" s="14"/>
      <c r="Q192" s="14"/>
      <c r="R192" s="47"/>
      <c r="S192" s="217"/>
      <c r="T192" s="2"/>
    </row>
    <row r="193" spans="1:20" ht="15.6" x14ac:dyDescent="0.3">
      <c r="A193" s="112"/>
      <c r="B193" s="113" t="s">
        <v>53</v>
      </c>
      <c r="C193" s="113"/>
      <c r="D193" s="113"/>
      <c r="E193" s="113"/>
      <c r="F193" s="113"/>
      <c r="G193" s="113"/>
      <c r="H193" s="113"/>
      <c r="I193" s="113"/>
      <c r="J193" s="113"/>
      <c r="K193" s="113"/>
      <c r="L193" s="113"/>
      <c r="M193" s="113"/>
      <c r="N193" s="113"/>
      <c r="O193" s="113"/>
      <c r="P193" s="113"/>
      <c r="Q193" s="113"/>
      <c r="R193" s="161">
        <f>(R100+R102+R103+R104+R105)/-(R106+R107)</f>
        <v>3.2575285565939773</v>
      </c>
      <c r="S193" s="116" t="s">
        <v>95</v>
      </c>
      <c r="T193" s="2"/>
    </row>
    <row r="194" spans="1:20" ht="15.6" x14ac:dyDescent="0.3">
      <c r="A194" s="112"/>
      <c r="B194" s="113" t="s">
        <v>54</v>
      </c>
      <c r="C194" s="113"/>
      <c r="D194" s="113"/>
      <c r="E194" s="113"/>
      <c r="F194" s="113"/>
      <c r="G194" s="113"/>
      <c r="H194" s="113"/>
      <c r="I194" s="113"/>
      <c r="J194" s="113"/>
      <c r="K194" s="113"/>
      <c r="L194" s="113"/>
      <c r="M194" s="113"/>
      <c r="N194" s="113"/>
      <c r="O194" s="113"/>
      <c r="P194" s="113"/>
      <c r="Q194" s="113"/>
      <c r="R194" s="241">
        <v>3.16</v>
      </c>
      <c r="S194" s="116" t="s">
        <v>95</v>
      </c>
      <c r="T194" s="2"/>
    </row>
    <row r="195" spans="1:20" ht="15.6" x14ac:dyDescent="0.3">
      <c r="A195" s="112"/>
      <c r="B195" s="113" t="s">
        <v>183</v>
      </c>
      <c r="C195" s="113"/>
      <c r="D195" s="113"/>
      <c r="E195" s="113"/>
      <c r="F195" s="113"/>
      <c r="G195" s="113"/>
      <c r="H195" s="113"/>
      <c r="I195" s="113"/>
      <c r="J195" s="113"/>
      <c r="K195" s="113"/>
      <c r="L195" s="113"/>
      <c r="M195" s="113"/>
      <c r="N195" s="113"/>
      <c r="O195" s="113"/>
      <c r="P195" s="113"/>
      <c r="Q195" s="113"/>
      <c r="R195" s="242">
        <f>(R100+R102+R103+R104+R105+R106+R107)/-(R108)</f>
        <v>36.847457627118644</v>
      </c>
      <c r="S195" s="116" t="s">
        <v>95</v>
      </c>
      <c r="T195" s="2"/>
    </row>
    <row r="196" spans="1:20" ht="15.6" x14ac:dyDescent="0.3">
      <c r="A196" s="112"/>
      <c r="B196" s="113" t="s">
        <v>184</v>
      </c>
      <c r="C196" s="113"/>
      <c r="D196" s="113"/>
      <c r="E196" s="113"/>
      <c r="F196" s="113"/>
      <c r="G196" s="113"/>
      <c r="H196" s="113"/>
      <c r="I196" s="113"/>
      <c r="J196" s="113"/>
      <c r="K196" s="113"/>
      <c r="L196" s="113"/>
      <c r="M196" s="113"/>
      <c r="N196" s="113"/>
      <c r="O196" s="113"/>
      <c r="P196" s="113"/>
      <c r="Q196" s="113"/>
      <c r="R196" s="241">
        <v>36.299999999999997</v>
      </c>
      <c r="S196" s="116" t="s">
        <v>95</v>
      </c>
      <c r="T196" s="2"/>
    </row>
    <row r="197" spans="1:20" ht="15.6" x14ac:dyDescent="0.3">
      <c r="A197" s="112"/>
      <c r="B197" s="113" t="s">
        <v>185</v>
      </c>
      <c r="C197" s="113"/>
      <c r="D197" s="113"/>
      <c r="E197" s="113"/>
      <c r="F197" s="113"/>
      <c r="G197" s="113"/>
      <c r="H197" s="113"/>
      <c r="I197" s="113"/>
      <c r="J197" s="113"/>
      <c r="K197" s="113"/>
      <c r="L197" s="113"/>
      <c r="M197" s="113"/>
      <c r="N197" s="113"/>
      <c r="O197" s="113"/>
      <c r="P197" s="113"/>
      <c r="Q197" s="113"/>
      <c r="R197" s="242">
        <f>(R100+R102+R103+R104+R105+R106+R107+R108)/-(R109)</f>
        <v>31.102941176470587</v>
      </c>
      <c r="S197" s="116" t="s">
        <v>95</v>
      </c>
      <c r="T197" s="2"/>
    </row>
    <row r="198" spans="1:20" ht="15.6" x14ac:dyDescent="0.3">
      <c r="A198" s="112"/>
      <c r="B198" s="113" t="s">
        <v>186</v>
      </c>
      <c r="C198" s="113"/>
      <c r="D198" s="113"/>
      <c r="E198" s="113"/>
      <c r="F198" s="113"/>
      <c r="G198" s="113"/>
      <c r="H198" s="113"/>
      <c r="I198" s="113"/>
      <c r="J198" s="113"/>
      <c r="K198" s="113"/>
      <c r="L198" s="113"/>
      <c r="M198" s="113"/>
      <c r="N198" s="113"/>
      <c r="O198" s="113"/>
      <c r="P198" s="113"/>
      <c r="Q198" s="113"/>
      <c r="R198" s="241">
        <v>30.56</v>
      </c>
      <c r="S198" s="116" t="s">
        <v>95</v>
      </c>
      <c r="T198" s="2"/>
    </row>
    <row r="199" spans="1:20" ht="15.6" x14ac:dyDescent="0.3">
      <c r="A199" s="112"/>
      <c r="B199" s="113" t="s">
        <v>257</v>
      </c>
      <c r="C199" s="113"/>
      <c r="D199" s="113"/>
      <c r="E199" s="113"/>
      <c r="F199" s="113"/>
      <c r="G199" s="113"/>
      <c r="H199" s="113"/>
      <c r="I199" s="113"/>
      <c r="J199" s="113"/>
      <c r="K199" s="113"/>
      <c r="L199" s="113"/>
      <c r="M199" s="113"/>
      <c r="N199" s="113"/>
      <c r="O199" s="113"/>
      <c r="P199" s="113"/>
      <c r="Q199" s="113"/>
      <c r="R199" s="242">
        <f>(R100+R102+R103+R104+R105+R106+R107+R108+R109+R110+R111+R112+R113+R114)/-(R115)</f>
        <v>41.346938775510203</v>
      </c>
      <c r="S199" s="116" t="s">
        <v>95</v>
      </c>
      <c r="T199" s="2"/>
    </row>
    <row r="200" spans="1:20" ht="15.6" x14ac:dyDescent="0.3">
      <c r="A200" s="112"/>
      <c r="B200" s="113" t="s">
        <v>258</v>
      </c>
      <c r="C200" s="113"/>
      <c r="D200" s="113"/>
      <c r="E200" s="113"/>
      <c r="F200" s="113"/>
      <c r="G200" s="113"/>
      <c r="H200" s="113"/>
      <c r="I200" s="113"/>
      <c r="J200" s="113"/>
      <c r="K200" s="113"/>
      <c r="L200" s="113"/>
      <c r="M200" s="113"/>
      <c r="N200" s="113"/>
      <c r="O200" s="113"/>
      <c r="P200" s="113"/>
      <c r="Q200" s="113"/>
      <c r="R200" s="241">
        <v>40.47</v>
      </c>
      <c r="S200" s="116" t="s">
        <v>95</v>
      </c>
      <c r="T200" s="2"/>
    </row>
    <row r="201" spans="1:20" ht="15.6" x14ac:dyDescent="0.3">
      <c r="A201" s="112"/>
      <c r="B201" s="113"/>
      <c r="C201" s="113"/>
      <c r="D201" s="113"/>
      <c r="E201" s="113"/>
      <c r="F201" s="113"/>
      <c r="G201" s="113"/>
      <c r="H201" s="113"/>
      <c r="I201" s="113"/>
      <c r="J201" s="113"/>
      <c r="K201" s="113"/>
      <c r="L201" s="113"/>
      <c r="M201" s="113"/>
      <c r="N201" s="113"/>
      <c r="O201" s="113"/>
      <c r="P201" s="113"/>
      <c r="Q201" s="113"/>
      <c r="R201" s="113"/>
      <c r="S201" s="116"/>
      <c r="T201" s="2"/>
    </row>
    <row r="202" spans="1:20" ht="15.6" x14ac:dyDescent="0.3">
      <c r="A202" s="12"/>
      <c r="B202" s="163"/>
      <c r="C202" s="163"/>
      <c r="D202" s="163"/>
      <c r="E202" s="163"/>
      <c r="F202" s="163"/>
      <c r="G202" s="163"/>
      <c r="H202" s="163"/>
      <c r="I202" s="163"/>
      <c r="J202" s="163"/>
      <c r="K202" s="163"/>
      <c r="L202" s="163"/>
      <c r="M202" s="163"/>
      <c r="N202" s="163"/>
      <c r="O202" s="163"/>
      <c r="P202" s="163"/>
      <c r="Q202" s="163"/>
      <c r="R202" s="163"/>
      <c r="S202" s="218"/>
      <c r="T202" s="2"/>
    </row>
    <row r="203" spans="1:20" ht="15.6" x14ac:dyDescent="0.3">
      <c r="A203" s="12"/>
      <c r="B203" s="84"/>
      <c r="C203" s="84"/>
      <c r="D203" s="84"/>
      <c r="E203" s="84"/>
      <c r="F203" s="84"/>
      <c r="G203" s="84"/>
      <c r="H203" s="84"/>
      <c r="I203" s="84"/>
      <c r="J203" s="84"/>
      <c r="K203" s="84"/>
      <c r="L203" s="84"/>
      <c r="M203" s="84"/>
      <c r="N203" s="84"/>
      <c r="O203" s="84"/>
      <c r="P203" s="84"/>
      <c r="Q203" s="84"/>
      <c r="R203" s="84"/>
      <c r="S203" s="218"/>
      <c r="T203" s="2"/>
    </row>
    <row r="204" spans="1:20" ht="18" thickBot="1" x14ac:dyDescent="0.35">
      <c r="A204" s="28"/>
      <c r="B204" s="97" t="str">
        <f>B132</f>
        <v>PM22 INVESTOR REPORT QUARTER ENDING MAY 2016</v>
      </c>
      <c r="C204" s="98"/>
      <c r="D204" s="98"/>
      <c r="E204" s="98"/>
      <c r="F204" s="98"/>
      <c r="G204" s="98"/>
      <c r="H204" s="98"/>
      <c r="I204" s="98"/>
      <c r="J204" s="98"/>
      <c r="K204" s="98"/>
      <c r="L204" s="98"/>
      <c r="M204" s="98"/>
      <c r="N204" s="98"/>
      <c r="O204" s="98"/>
      <c r="P204" s="98"/>
      <c r="Q204" s="98"/>
      <c r="R204" s="98"/>
      <c r="S204" s="99"/>
      <c r="T204" s="2"/>
    </row>
    <row r="205" spans="1:20" ht="15.6" x14ac:dyDescent="0.3">
      <c r="A205" s="65"/>
      <c r="B205" s="66" t="s">
        <v>55</v>
      </c>
      <c r="C205" s="69"/>
      <c r="D205" s="70"/>
      <c r="E205" s="70"/>
      <c r="F205" s="70"/>
      <c r="G205" s="70"/>
      <c r="H205" s="70"/>
      <c r="I205" s="70"/>
      <c r="J205" s="70"/>
      <c r="K205" s="70"/>
      <c r="L205" s="70"/>
      <c r="M205" s="70"/>
      <c r="N205" s="70"/>
      <c r="O205" s="70"/>
      <c r="P205" s="70">
        <v>42521</v>
      </c>
      <c r="Q205" s="67"/>
      <c r="R205" s="67"/>
      <c r="S205" s="223"/>
      <c r="T205" s="2"/>
    </row>
    <row r="206" spans="1:20" ht="15.6" x14ac:dyDescent="0.3">
      <c r="A206" s="48"/>
      <c r="B206" s="49"/>
      <c r="C206" s="50"/>
      <c r="D206" s="51"/>
      <c r="E206" s="51"/>
      <c r="F206" s="51"/>
      <c r="G206" s="51"/>
      <c r="H206" s="51"/>
      <c r="I206" s="51"/>
      <c r="J206" s="51"/>
      <c r="K206" s="51"/>
      <c r="L206" s="51"/>
      <c r="M206" s="51"/>
      <c r="N206" s="51"/>
      <c r="O206" s="51"/>
      <c r="P206" s="51"/>
      <c r="Q206" s="14"/>
      <c r="R206" s="14"/>
      <c r="S206" s="217"/>
      <c r="T206" s="2"/>
    </row>
    <row r="207" spans="1:20" ht="15.6" x14ac:dyDescent="0.3">
      <c r="A207" s="166"/>
      <c r="B207" s="113" t="s">
        <v>56</v>
      </c>
      <c r="C207" s="167"/>
      <c r="D207" s="148"/>
      <c r="E207" s="148"/>
      <c r="F207" s="148"/>
      <c r="G207" s="148"/>
      <c r="H207" s="148"/>
      <c r="I207" s="148"/>
      <c r="J207" s="148"/>
      <c r="K207" s="148"/>
      <c r="L207" s="148"/>
      <c r="M207" s="148"/>
      <c r="N207" s="148"/>
      <c r="O207" s="148"/>
      <c r="P207" s="142">
        <v>4.079E-2</v>
      </c>
      <c r="Q207" s="113"/>
      <c r="R207" s="113"/>
      <c r="S207" s="116"/>
      <c r="T207" s="2"/>
    </row>
    <row r="208" spans="1:20" ht="15.6" x14ac:dyDescent="0.3">
      <c r="A208" s="166"/>
      <c r="B208" s="113" t="s">
        <v>158</v>
      </c>
      <c r="C208" s="167"/>
      <c r="D208" s="148"/>
      <c r="E208" s="148"/>
      <c r="F208" s="148"/>
      <c r="G208" s="148"/>
      <c r="H208" s="148"/>
      <c r="I208" s="148"/>
      <c r="J208" s="148"/>
      <c r="K208" s="148"/>
      <c r="L208" s="148"/>
      <c r="M208" s="148"/>
      <c r="N208" s="148"/>
      <c r="O208" s="148"/>
      <c r="P208" s="142">
        <v>1.5340718167454973E-2</v>
      </c>
      <c r="Q208" s="113"/>
      <c r="R208" s="113"/>
      <c r="S208" s="116"/>
      <c r="T208" s="2"/>
    </row>
    <row r="209" spans="1:20" ht="15.6" x14ac:dyDescent="0.3">
      <c r="A209" s="166"/>
      <c r="B209" s="113" t="s">
        <v>57</v>
      </c>
      <c r="C209" s="167"/>
      <c r="D209" s="148"/>
      <c r="E209" s="148"/>
      <c r="F209" s="148"/>
      <c r="G209" s="148"/>
      <c r="H209" s="148"/>
      <c r="I209" s="148"/>
      <c r="J209" s="148"/>
      <c r="K209" s="148"/>
      <c r="L209" s="148"/>
      <c r="M209" s="148"/>
      <c r="N209" s="148"/>
      <c r="O209" s="148"/>
      <c r="P209" s="210">
        <f>P207-P208</f>
        <v>2.5449281832545027E-2</v>
      </c>
      <c r="Q209" s="113"/>
      <c r="R209" s="113"/>
      <c r="S209" s="116"/>
      <c r="T209" s="2"/>
    </row>
    <row r="210" spans="1:20" ht="15.6" x14ac:dyDescent="0.3">
      <c r="A210" s="166"/>
      <c r="B210" s="113" t="s">
        <v>161</v>
      </c>
      <c r="C210" s="167"/>
      <c r="D210" s="148"/>
      <c r="E210" s="148"/>
      <c r="F210" s="148"/>
      <c r="G210" s="148"/>
      <c r="H210" s="148"/>
      <c r="I210" s="148"/>
      <c r="J210" s="148"/>
      <c r="K210" s="148"/>
      <c r="L210" s="148"/>
      <c r="M210" s="148"/>
      <c r="N210" s="148"/>
      <c r="O210" s="148"/>
      <c r="P210" s="210">
        <v>4.5912500000000002E-2</v>
      </c>
      <c r="Q210" s="113"/>
      <c r="R210" s="113"/>
      <c r="S210" s="116"/>
      <c r="T210" s="2"/>
    </row>
    <row r="211" spans="1:20" ht="15.6" x14ac:dyDescent="0.3">
      <c r="A211" s="166"/>
      <c r="B211" s="113" t="s">
        <v>58</v>
      </c>
      <c r="C211" s="167"/>
      <c r="D211" s="148"/>
      <c r="E211" s="148"/>
      <c r="F211" s="148"/>
      <c r="G211" s="148"/>
      <c r="H211" s="148"/>
      <c r="I211" s="148"/>
      <c r="J211" s="148"/>
      <c r="K211" s="148"/>
      <c r="L211" s="148"/>
      <c r="M211" s="148"/>
      <c r="N211" s="148"/>
      <c r="O211" s="148"/>
      <c r="P211" s="208">
        <v>4.0469999999999999E-2</v>
      </c>
      <c r="Q211" s="113"/>
      <c r="R211" s="113"/>
      <c r="S211" s="116"/>
      <c r="T211" s="2"/>
    </row>
    <row r="212" spans="1:20" ht="15.6" x14ac:dyDescent="0.3">
      <c r="A212" s="166"/>
      <c r="B212" s="113" t="s">
        <v>159</v>
      </c>
      <c r="C212" s="167"/>
      <c r="D212" s="148"/>
      <c r="E212" s="148"/>
      <c r="F212" s="148"/>
      <c r="G212" s="148"/>
      <c r="H212" s="148"/>
      <c r="I212" s="148"/>
      <c r="J212" s="148"/>
      <c r="K212" s="148"/>
      <c r="L212" s="148"/>
      <c r="M212" s="148"/>
      <c r="N212" s="148"/>
      <c r="O212" s="148"/>
      <c r="P212" s="142">
        <f>R40</f>
        <v>1.5741151938755547E-2</v>
      </c>
      <c r="Q212" s="113"/>
      <c r="R212" s="113"/>
      <c r="S212" s="116"/>
      <c r="T212" s="2"/>
    </row>
    <row r="213" spans="1:20" ht="15.6" x14ac:dyDescent="0.3">
      <c r="A213" s="166"/>
      <c r="B213" s="113" t="s">
        <v>59</v>
      </c>
      <c r="C213" s="167"/>
      <c r="D213" s="148"/>
      <c r="E213" s="148"/>
      <c r="F213" s="148"/>
      <c r="G213" s="148"/>
      <c r="H213" s="148"/>
      <c r="I213" s="148"/>
      <c r="J213" s="148"/>
      <c r="K213" s="148"/>
      <c r="L213" s="148"/>
      <c r="M213" s="148"/>
      <c r="N213" s="148"/>
      <c r="O213" s="148"/>
      <c r="P213" s="142">
        <f>P211-P212</f>
        <v>2.4728848061244452E-2</v>
      </c>
      <c r="Q213" s="113"/>
      <c r="R213" s="113"/>
      <c r="S213" s="116"/>
      <c r="T213" s="2"/>
    </row>
    <row r="214" spans="1:20" ht="15.6" x14ac:dyDescent="0.3">
      <c r="A214" s="166"/>
      <c r="B214" s="113" t="s">
        <v>139</v>
      </c>
      <c r="C214" s="167"/>
      <c r="D214" s="148"/>
      <c r="E214" s="148"/>
      <c r="F214" s="148"/>
      <c r="G214" s="148"/>
      <c r="H214" s="148"/>
      <c r="I214" s="148"/>
      <c r="J214" s="148"/>
      <c r="K214" s="148"/>
      <c r="L214" s="148"/>
      <c r="M214" s="148"/>
      <c r="N214" s="148"/>
      <c r="O214" s="148"/>
      <c r="P214" s="142">
        <f>(+R100+R102)/H80</f>
        <v>1.2341462224530269E-2</v>
      </c>
      <c r="Q214" s="113"/>
      <c r="R214" s="113"/>
      <c r="S214" s="116"/>
      <c r="T214" s="2"/>
    </row>
    <row r="215" spans="1:20" ht="15.6" x14ac:dyDescent="0.3">
      <c r="A215" s="166"/>
      <c r="B215" s="113" t="s">
        <v>132</v>
      </c>
      <c r="C215" s="167"/>
      <c r="D215" s="148"/>
      <c r="E215" s="148"/>
      <c r="F215" s="148"/>
      <c r="G215" s="148"/>
      <c r="H215" s="148"/>
      <c r="I215" s="148"/>
      <c r="J215" s="148"/>
      <c r="K215" s="148"/>
      <c r="L215" s="148"/>
      <c r="M215" s="148"/>
      <c r="N215" s="148"/>
      <c r="O215" s="148"/>
      <c r="P215" s="168">
        <v>52124</v>
      </c>
      <c r="Q215" s="113"/>
      <c r="R215" s="113"/>
      <c r="S215" s="116"/>
      <c r="T215" s="2"/>
    </row>
    <row r="216" spans="1:20" ht="15.6" x14ac:dyDescent="0.3">
      <c r="A216" s="166"/>
      <c r="B216" s="113" t="s">
        <v>187</v>
      </c>
      <c r="C216" s="167"/>
      <c r="D216" s="148"/>
      <c r="E216" s="148"/>
      <c r="F216" s="148"/>
      <c r="G216" s="148"/>
      <c r="H216" s="148"/>
      <c r="I216" s="148"/>
      <c r="J216" s="148"/>
      <c r="K216" s="148"/>
      <c r="L216" s="148"/>
      <c r="M216" s="148"/>
      <c r="N216" s="148"/>
      <c r="O216" s="148"/>
      <c r="P216" s="168">
        <v>15599</v>
      </c>
      <c r="Q216" s="113"/>
      <c r="R216" s="113"/>
      <c r="S216" s="116"/>
      <c r="T216" s="2"/>
    </row>
    <row r="217" spans="1:20" ht="15.6" x14ac:dyDescent="0.3">
      <c r="A217" s="166"/>
      <c r="B217" s="113" t="s">
        <v>188</v>
      </c>
      <c r="C217" s="167"/>
      <c r="D217" s="148"/>
      <c r="E217" s="148"/>
      <c r="F217" s="148"/>
      <c r="G217" s="148"/>
      <c r="H217" s="148"/>
      <c r="I217" s="148"/>
      <c r="J217" s="148"/>
      <c r="K217" s="148"/>
      <c r="L217" s="148"/>
      <c r="M217" s="148"/>
      <c r="N217" s="148"/>
      <c r="O217" s="148"/>
      <c r="P217" s="168">
        <v>15599</v>
      </c>
      <c r="Q217" s="113"/>
      <c r="R217" s="113"/>
      <c r="S217" s="116"/>
      <c r="T217" s="2"/>
    </row>
    <row r="218" spans="1:20" ht="15.6" x14ac:dyDescent="0.3">
      <c r="A218" s="166"/>
      <c r="B218" s="113" t="s">
        <v>259</v>
      </c>
      <c r="C218" s="167"/>
      <c r="D218" s="148"/>
      <c r="E218" s="148"/>
      <c r="F218" s="148"/>
      <c r="G218" s="148"/>
      <c r="H218" s="148"/>
      <c r="I218" s="148"/>
      <c r="J218" s="148"/>
      <c r="K218" s="148"/>
      <c r="L218" s="148"/>
      <c r="M218" s="148"/>
      <c r="N218" s="148"/>
      <c r="O218" s="148"/>
      <c r="P218" s="168">
        <v>15599</v>
      </c>
      <c r="Q218" s="113"/>
      <c r="R218" s="113"/>
      <c r="S218" s="116"/>
      <c r="T218" s="2"/>
    </row>
    <row r="219" spans="1:20" ht="15.6" x14ac:dyDescent="0.3">
      <c r="A219" s="166"/>
      <c r="B219" s="113" t="s">
        <v>60</v>
      </c>
      <c r="C219" s="167"/>
      <c r="D219" s="148"/>
      <c r="E219" s="148"/>
      <c r="F219" s="148"/>
      <c r="G219" s="148"/>
      <c r="H219" s="148"/>
      <c r="I219" s="148"/>
      <c r="J219" s="148"/>
      <c r="K219" s="148"/>
      <c r="L219" s="148"/>
      <c r="M219" s="148"/>
      <c r="N219" s="148"/>
      <c r="O219" s="148"/>
      <c r="P219" s="146">
        <v>20.55</v>
      </c>
      <c r="Q219" s="113" t="s">
        <v>90</v>
      </c>
      <c r="R219" s="113"/>
      <c r="S219" s="116"/>
      <c r="T219" s="2"/>
    </row>
    <row r="220" spans="1:20" ht="15.6" x14ac:dyDescent="0.3">
      <c r="A220" s="166"/>
      <c r="B220" s="113" t="s">
        <v>61</v>
      </c>
      <c r="C220" s="167"/>
      <c r="D220" s="148"/>
      <c r="E220" s="148"/>
      <c r="F220" s="148"/>
      <c r="G220" s="148"/>
      <c r="H220" s="148"/>
      <c r="I220" s="148"/>
      <c r="J220" s="148"/>
      <c r="K220" s="148"/>
      <c r="L220" s="148"/>
      <c r="M220" s="148"/>
      <c r="N220" s="148"/>
      <c r="O220" s="148"/>
      <c r="P220" s="209">
        <v>19.47</v>
      </c>
      <c r="Q220" s="113" t="s">
        <v>90</v>
      </c>
      <c r="R220" s="113"/>
      <c r="S220" s="116"/>
      <c r="T220" s="2"/>
    </row>
    <row r="221" spans="1:20" ht="15.6" x14ac:dyDescent="0.3">
      <c r="A221" s="166"/>
      <c r="B221" s="113" t="s">
        <v>62</v>
      </c>
      <c r="C221" s="167"/>
      <c r="D221" s="148"/>
      <c r="E221" s="148"/>
      <c r="F221" s="148"/>
      <c r="G221" s="148"/>
      <c r="H221" s="148"/>
      <c r="I221" s="148"/>
      <c r="J221" s="148"/>
      <c r="K221" s="148"/>
      <c r="L221" s="148"/>
      <c r="M221" s="148"/>
      <c r="N221" s="148"/>
      <c r="O221" s="148"/>
      <c r="P221" s="142">
        <f>(+J64+L64)/H64</f>
        <v>1.2482439453337118E-2</v>
      </c>
      <c r="Q221" s="113"/>
      <c r="R221" s="113"/>
      <c r="S221" s="116"/>
      <c r="T221" s="2"/>
    </row>
    <row r="222" spans="1:20" ht="15.6" x14ac:dyDescent="0.3">
      <c r="A222" s="166"/>
      <c r="B222" s="113" t="s">
        <v>63</v>
      </c>
      <c r="C222" s="167"/>
      <c r="D222" s="148"/>
      <c r="E222" s="148"/>
      <c r="F222" s="148"/>
      <c r="G222" s="148"/>
      <c r="H222" s="148"/>
      <c r="I222" s="148"/>
      <c r="J222" s="148"/>
      <c r="K222" s="148"/>
      <c r="L222" s="148"/>
      <c r="M222" s="148"/>
      <c r="N222" s="148"/>
      <c r="O222" s="148"/>
      <c r="P222" s="210">
        <v>4.4699999999999997E-2</v>
      </c>
      <c r="Q222" s="113"/>
      <c r="R222" s="113"/>
      <c r="S222" s="116"/>
      <c r="T222" s="2"/>
    </row>
    <row r="223" spans="1:20" ht="15.6" x14ac:dyDescent="0.3">
      <c r="A223" s="48"/>
      <c r="B223" s="164"/>
      <c r="C223" s="164"/>
      <c r="D223" s="43"/>
      <c r="E223" s="43"/>
      <c r="F223" s="43"/>
      <c r="G223" s="43"/>
      <c r="H223" s="43"/>
      <c r="I223" s="43"/>
      <c r="J223" s="43"/>
      <c r="K223" s="43"/>
      <c r="L223" s="43"/>
      <c r="M223" s="43"/>
      <c r="N223" s="43"/>
      <c r="O223" s="43"/>
      <c r="P223" s="162"/>
      <c r="Q223" s="43"/>
      <c r="R223" s="165"/>
      <c r="S223" s="217"/>
      <c r="T223" s="2"/>
    </row>
    <row r="224" spans="1:20" ht="15.6" x14ac:dyDescent="0.3">
      <c r="A224" s="71"/>
      <c r="B224" s="61" t="s">
        <v>64</v>
      </c>
      <c r="C224" s="62"/>
      <c r="D224" s="62"/>
      <c r="E224" s="62"/>
      <c r="F224" s="62"/>
      <c r="G224" s="62"/>
      <c r="H224" s="62"/>
      <c r="I224" s="62"/>
      <c r="J224" s="62"/>
      <c r="K224" s="62"/>
      <c r="L224" s="62"/>
      <c r="M224" s="62"/>
      <c r="N224" s="62"/>
      <c r="O224" s="62" t="s">
        <v>83</v>
      </c>
      <c r="P224" s="72" t="s">
        <v>88</v>
      </c>
      <c r="Q224" s="54"/>
      <c r="R224" s="54"/>
      <c r="S224" s="219"/>
      <c r="T224" s="2"/>
    </row>
    <row r="225" spans="1:20" ht="15.6" x14ac:dyDescent="0.3">
      <c r="A225" s="52"/>
      <c r="B225" s="79" t="s">
        <v>65</v>
      </c>
      <c r="C225" s="78"/>
      <c r="D225" s="95"/>
      <c r="E225" s="95"/>
      <c r="F225" s="95"/>
      <c r="G225" s="95"/>
      <c r="H225" s="95"/>
      <c r="I225" s="95"/>
      <c r="J225" s="95"/>
      <c r="K225" s="95"/>
      <c r="L225" s="95"/>
      <c r="M225" s="95"/>
      <c r="N225" s="95"/>
      <c r="O225" s="95">
        <v>0</v>
      </c>
      <c r="P225" s="96">
        <v>0</v>
      </c>
      <c r="Q225" s="79"/>
      <c r="R225" s="94"/>
      <c r="S225" s="225"/>
      <c r="T225" s="2"/>
    </row>
    <row r="226" spans="1:20" ht="15.6" x14ac:dyDescent="0.3">
      <c r="A226" s="172"/>
      <c r="B226" s="113" t="s">
        <v>113</v>
      </c>
      <c r="C226" s="155"/>
      <c r="D226" s="123"/>
      <c r="E226" s="123"/>
      <c r="F226" s="123"/>
      <c r="G226" s="123"/>
      <c r="H226" s="123"/>
      <c r="I226" s="123"/>
      <c r="J226" s="123"/>
      <c r="K226" s="123"/>
      <c r="L226" s="123"/>
      <c r="M226" s="123"/>
      <c r="N226" s="123"/>
      <c r="O226" s="173">
        <f>+N278</f>
        <v>0</v>
      </c>
      <c r="P226" s="174">
        <f>+P278</f>
        <v>0</v>
      </c>
      <c r="Q226" s="113"/>
      <c r="R226" s="175"/>
      <c r="S226" s="176"/>
      <c r="T226" s="2"/>
    </row>
    <row r="227" spans="1:20" ht="15.6" x14ac:dyDescent="0.3">
      <c r="A227" s="172"/>
      <c r="B227" s="113" t="s">
        <v>66</v>
      </c>
      <c r="C227" s="155"/>
      <c r="D227" s="123"/>
      <c r="E227" s="123"/>
      <c r="F227" s="123"/>
      <c r="G227" s="123"/>
      <c r="H227" s="123"/>
      <c r="I227" s="123"/>
      <c r="J227" s="123"/>
      <c r="K227" s="123"/>
      <c r="L227" s="123"/>
      <c r="M227" s="123"/>
      <c r="N227" s="123"/>
      <c r="O227" s="173">
        <f>+N290</f>
        <v>0</v>
      </c>
      <c r="P227" s="174">
        <f>+P290</f>
        <v>0</v>
      </c>
      <c r="Q227" s="113"/>
      <c r="R227" s="175"/>
      <c r="S227" s="176"/>
      <c r="T227" s="2"/>
    </row>
    <row r="228" spans="1:20" ht="15.6" x14ac:dyDescent="0.3">
      <c r="A228" s="172"/>
      <c r="B228" s="134" t="s">
        <v>284</v>
      </c>
      <c r="C228" s="177"/>
      <c r="D228" s="135"/>
      <c r="E228" s="135"/>
      <c r="F228" s="135"/>
      <c r="G228" s="135"/>
      <c r="H228" s="135"/>
      <c r="I228" s="135"/>
      <c r="J228" s="135"/>
      <c r="K228" s="135"/>
      <c r="L228" s="135"/>
      <c r="M228" s="135"/>
      <c r="N228" s="135"/>
      <c r="O228" s="113"/>
      <c r="P228" s="174">
        <v>0</v>
      </c>
      <c r="Q228" s="135"/>
      <c r="R228" s="178"/>
      <c r="S228" s="176"/>
      <c r="T228" s="2"/>
    </row>
    <row r="229" spans="1:20" ht="15.6" x14ac:dyDescent="0.3">
      <c r="A229" s="172"/>
      <c r="B229" s="134" t="s">
        <v>140</v>
      </c>
      <c r="C229" s="177"/>
      <c r="D229" s="135"/>
      <c r="E229" s="135"/>
      <c r="F229" s="135"/>
      <c r="G229" s="135"/>
      <c r="H229" s="135"/>
      <c r="I229" s="135"/>
      <c r="J229" s="135"/>
      <c r="K229" s="135"/>
      <c r="L229" s="135"/>
      <c r="M229" s="135"/>
      <c r="N229" s="135"/>
      <c r="O229" s="113"/>
      <c r="P229" s="174">
        <f>-J77</f>
        <v>0</v>
      </c>
      <c r="Q229" s="135"/>
      <c r="R229" s="178"/>
      <c r="S229" s="176"/>
      <c r="T229" s="2"/>
    </row>
    <row r="230" spans="1:20" ht="15.6" x14ac:dyDescent="0.3">
      <c r="A230" s="179"/>
      <c r="B230" s="134" t="s">
        <v>67</v>
      </c>
      <c r="C230" s="180"/>
      <c r="D230" s="135"/>
      <c r="E230" s="135"/>
      <c r="F230" s="135"/>
      <c r="G230" s="135"/>
      <c r="H230" s="135"/>
      <c r="I230" s="135"/>
      <c r="J230" s="135"/>
      <c r="K230" s="135"/>
      <c r="L230" s="135"/>
      <c r="M230" s="135"/>
      <c r="N230" s="135"/>
      <c r="O230" s="113"/>
      <c r="P230" s="174"/>
      <c r="Q230" s="135"/>
      <c r="R230" s="178"/>
      <c r="S230" s="181"/>
      <c r="T230" s="2"/>
    </row>
    <row r="231" spans="1:20" ht="15.6" x14ac:dyDescent="0.3">
      <c r="A231" s="179"/>
      <c r="B231" s="118" t="s">
        <v>68</v>
      </c>
      <c r="C231" s="180"/>
      <c r="D231" s="135"/>
      <c r="E231" s="135"/>
      <c r="F231" s="135"/>
      <c r="G231" s="135"/>
      <c r="H231" s="135"/>
      <c r="I231" s="135"/>
      <c r="J231" s="135"/>
      <c r="K231" s="135"/>
      <c r="L231" s="135"/>
      <c r="M231" s="135"/>
      <c r="N231" s="135"/>
      <c r="O231" s="123"/>
      <c r="P231" s="174">
        <f>R162</f>
        <v>0</v>
      </c>
      <c r="Q231" s="135"/>
      <c r="R231" s="178"/>
      <c r="S231" s="181"/>
      <c r="T231" s="2"/>
    </row>
    <row r="232" spans="1:20" ht="15.6" x14ac:dyDescent="0.3">
      <c r="A232" s="172"/>
      <c r="B232" s="113" t="s">
        <v>69</v>
      </c>
      <c r="C232" s="177"/>
      <c r="D232" s="135"/>
      <c r="E232" s="135"/>
      <c r="F232" s="135"/>
      <c r="G232" s="135"/>
      <c r="H232" s="135"/>
      <c r="I232" s="135"/>
      <c r="J232" s="135"/>
      <c r="K232" s="135"/>
      <c r="L232" s="135"/>
      <c r="M232" s="135"/>
      <c r="N232" s="135"/>
      <c r="O232" s="123"/>
      <c r="P232" s="174">
        <f>+'Feb 16'!P232+P231</f>
        <v>0</v>
      </c>
      <c r="Q232" s="135"/>
      <c r="R232" s="178"/>
      <c r="S232" s="181"/>
      <c r="T232" s="2"/>
    </row>
    <row r="233" spans="1:20" ht="15.6" x14ac:dyDescent="0.3">
      <c r="A233" s="179"/>
      <c r="B233" s="134" t="s">
        <v>151</v>
      </c>
      <c r="C233" s="180"/>
      <c r="D233" s="135"/>
      <c r="E233" s="135"/>
      <c r="F233" s="135"/>
      <c r="G233" s="135"/>
      <c r="H233" s="135"/>
      <c r="I233" s="135"/>
      <c r="J233" s="135"/>
      <c r="K233" s="135"/>
      <c r="L233" s="135"/>
      <c r="M233" s="135"/>
      <c r="N233" s="135"/>
      <c r="O233" s="123"/>
      <c r="P233" s="174"/>
      <c r="Q233" s="135"/>
      <c r="R233" s="178"/>
      <c r="S233" s="181"/>
      <c r="T233" s="2"/>
    </row>
    <row r="234" spans="1:20" ht="15.6" x14ac:dyDescent="0.3">
      <c r="A234" s="179"/>
      <c r="B234" s="113" t="s">
        <v>160</v>
      </c>
      <c r="C234" s="180"/>
      <c r="D234" s="135"/>
      <c r="E234" s="135"/>
      <c r="F234" s="135"/>
      <c r="G234" s="135"/>
      <c r="H234" s="135"/>
      <c r="I234" s="135"/>
      <c r="J234" s="135"/>
      <c r="K234" s="135"/>
      <c r="L234" s="135"/>
      <c r="M234" s="135"/>
      <c r="N234" s="135"/>
      <c r="O234" s="123">
        <v>0</v>
      </c>
      <c r="P234" s="174">
        <v>0</v>
      </c>
      <c r="Q234" s="135"/>
      <c r="R234" s="178"/>
      <c r="S234" s="181"/>
      <c r="T234" s="2"/>
    </row>
    <row r="235" spans="1:20" ht="15.6" x14ac:dyDescent="0.3">
      <c r="A235" s="172"/>
      <c r="B235" s="113" t="s">
        <v>70</v>
      </c>
      <c r="C235" s="182"/>
      <c r="D235" s="135"/>
      <c r="E235" s="135"/>
      <c r="F235" s="135"/>
      <c r="G235" s="135"/>
      <c r="H235" s="135"/>
      <c r="I235" s="135"/>
      <c r="J235" s="135"/>
      <c r="K235" s="135"/>
      <c r="L235" s="135"/>
      <c r="M235" s="135"/>
      <c r="N235" s="135"/>
      <c r="O235" s="113"/>
      <c r="P235" s="183">
        <v>0</v>
      </c>
      <c r="Q235" s="135"/>
      <c r="R235" s="178"/>
      <c r="S235" s="181"/>
      <c r="T235" s="2"/>
    </row>
    <row r="236" spans="1:20" ht="15.6" x14ac:dyDescent="0.3">
      <c r="A236" s="172"/>
      <c r="B236" s="113" t="s">
        <v>71</v>
      </c>
      <c r="C236" s="182"/>
      <c r="D236" s="135"/>
      <c r="E236" s="135"/>
      <c r="F236" s="135"/>
      <c r="G236" s="135"/>
      <c r="H236" s="135"/>
      <c r="I236" s="135"/>
      <c r="J236" s="135"/>
      <c r="K236" s="135"/>
      <c r="L236" s="135"/>
      <c r="M236" s="135"/>
      <c r="N236" s="135"/>
      <c r="O236" s="113"/>
      <c r="P236" s="183">
        <v>0</v>
      </c>
      <c r="Q236" s="135"/>
      <c r="R236" s="178"/>
      <c r="S236" s="181"/>
      <c r="T236" s="2"/>
    </row>
    <row r="237" spans="1:20" ht="15.6" x14ac:dyDescent="0.3">
      <c r="A237" s="172"/>
      <c r="B237" s="134" t="s">
        <v>136</v>
      </c>
      <c r="C237" s="182"/>
      <c r="D237" s="135"/>
      <c r="E237" s="135"/>
      <c r="F237" s="135"/>
      <c r="G237" s="135"/>
      <c r="H237" s="135"/>
      <c r="I237" s="135"/>
      <c r="J237" s="135"/>
      <c r="K237" s="135"/>
      <c r="L237" s="135"/>
      <c r="M237" s="135"/>
      <c r="N237" s="135"/>
      <c r="O237" s="113"/>
      <c r="P237" s="184"/>
      <c r="Q237" s="135"/>
      <c r="R237" s="178"/>
      <c r="S237" s="181"/>
      <c r="T237" s="2"/>
    </row>
    <row r="238" spans="1:20" ht="15.6" x14ac:dyDescent="0.3">
      <c r="A238" s="172"/>
      <c r="B238" s="113" t="s">
        <v>160</v>
      </c>
      <c r="C238" s="182"/>
      <c r="D238" s="135"/>
      <c r="E238" s="135"/>
      <c r="F238" s="135"/>
      <c r="G238" s="135"/>
      <c r="H238" s="135"/>
      <c r="I238" s="135"/>
      <c r="J238" s="135"/>
      <c r="K238" s="135"/>
      <c r="L238" s="135"/>
      <c r="M238" s="135"/>
      <c r="N238" s="135"/>
      <c r="O238" s="123">
        <v>0</v>
      </c>
      <c r="P238" s="174">
        <v>0</v>
      </c>
      <c r="Q238" s="135"/>
      <c r="R238" s="178"/>
      <c r="S238" s="181"/>
      <c r="T238" s="2"/>
    </row>
    <row r="239" spans="1:20" ht="15.6" x14ac:dyDescent="0.3">
      <c r="A239" s="172"/>
      <c r="B239" s="113" t="s">
        <v>137</v>
      </c>
      <c r="C239" s="182"/>
      <c r="D239" s="135"/>
      <c r="E239" s="135"/>
      <c r="F239" s="135"/>
      <c r="G239" s="135"/>
      <c r="H239" s="135"/>
      <c r="I239" s="135"/>
      <c r="J239" s="135"/>
      <c r="K239" s="135"/>
      <c r="L239" s="135"/>
      <c r="M239" s="135"/>
      <c r="N239" s="135"/>
      <c r="O239" s="113"/>
      <c r="P239" s="183">
        <v>0</v>
      </c>
      <c r="Q239" s="135"/>
      <c r="R239" s="178"/>
      <c r="S239" s="181"/>
      <c r="T239" s="2"/>
    </row>
    <row r="240" spans="1:20" ht="15.6" x14ac:dyDescent="0.3">
      <c r="A240" s="172"/>
      <c r="B240" s="180"/>
      <c r="C240" s="182"/>
      <c r="D240" s="135"/>
      <c r="E240" s="135"/>
      <c r="F240" s="135"/>
      <c r="G240" s="135"/>
      <c r="H240" s="135"/>
      <c r="I240" s="135"/>
      <c r="J240" s="135"/>
      <c r="K240" s="135"/>
      <c r="L240" s="135"/>
      <c r="M240" s="135"/>
      <c r="N240" s="135"/>
      <c r="O240" s="113"/>
      <c r="P240" s="184"/>
      <c r="Q240" s="135"/>
      <c r="R240" s="178"/>
      <c r="S240" s="181"/>
      <c r="T240" s="2"/>
    </row>
    <row r="241" spans="1:20" ht="15.6" x14ac:dyDescent="0.3">
      <c r="A241" s="172"/>
      <c r="B241" s="180"/>
      <c r="C241" s="182"/>
      <c r="D241" s="135"/>
      <c r="E241" s="135"/>
      <c r="F241" s="135"/>
      <c r="G241" s="135"/>
      <c r="H241" s="135"/>
      <c r="I241" s="135"/>
      <c r="J241" s="135"/>
      <c r="K241" s="135"/>
      <c r="L241" s="135"/>
      <c r="M241" s="135"/>
      <c r="N241" s="135"/>
      <c r="O241" s="135"/>
      <c r="P241" s="185"/>
      <c r="Q241" s="135"/>
      <c r="R241" s="178"/>
      <c r="S241" s="181"/>
      <c r="T241" s="2"/>
    </row>
    <row r="242" spans="1:20" ht="17.399999999999999" x14ac:dyDescent="0.3">
      <c r="A242" s="172"/>
      <c r="B242" s="186" t="s">
        <v>129</v>
      </c>
      <c r="C242" s="182"/>
      <c r="D242" s="135"/>
      <c r="E242" s="135"/>
      <c r="F242" s="135"/>
      <c r="G242" s="135"/>
      <c r="H242" s="135"/>
      <c r="I242" s="135"/>
      <c r="J242" s="135"/>
      <c r="K242" s="135"/>
      <c r="L242" s="187"/>
      <c r="M242" s="135"/>
      <c r="N242" s="187" t="s">
        <v>128</v>
      </c>
      <c r="O242" s="187"/>
      <c r="P242" s="185"/>
      <c r="Q242" s="135"/>
      <c r="R242" s="178"/>
      <c r="S242" s="181"/>
      <c r="T242" s="2"/>
    </row>
    <row r="243" spans="1:20" ht="17.399999999999999" x14ac:dyDescent="0.3">
      <c r="A243" s="169"/>
      <c r="B243" s="199"/>
      <c r="C243" s="170"/>
      <c r="D243" s="43"/>
      <c r="E243" s="43"/>
      <c r="F243" s="43"/>
      <c r="G243" s="43"/>
      <c r="H243" s="43"/>
      <c r="I243" s="43"/>
      <c r="J243" s="43"/>
      <c r="K243" s="43"/>
      <c r="L243" s="200"/>
      <c r="M243" s="43"/>
      <c r="N243" s="43"/>
      <c r="O243" s="43"/>
      <c r="P243" s="171"/>
      <c r="Q243" s="43"/>
      <c r="R243" s="165"/>
      <c r="S243" s="226"/>
      <c r="T243" s="2"/>
    </row>
    <row r="244" spans="1:20" ht="15.6" x14ac:dyDescent="0.3">
      <c r="A244" s="53"/>
      <c r="B244" s="61" t="s">
        <v>152</v>
      </c>
      <c r="C244" s="62"/>
      <c r="D244" s="62"/>
      <c r="E244" s="62"/>
      <c r="F244" s="62"/>
      <c r="G244" s="62"/>
      <c r="H244" s="62"/>
      <c r="I244" s="62"/>
      <c r="J244" s="62"/>
      <c r="K244" s="62"/>
      <c r="L244" s="62"/>
      <c r="M244" s="62"/>
      <c r="N244" s="72" t="s">
        <v>83</v>
      </c>
      <c r="O244" s="62" t="s">
        <v>84</v>
      </c>
      <c r="P244" s="72" t="s">
        <v>89</v>
      </c>
      <c r="Q244" s="62" t="s">
        <v>84</v>
      </c>
      <c r="R244" s="54"/>
      <c r="S244" s="227"/>
      <c r="T244" s="2"/>
    </row>
    <row r="245" spans="1:20" ht="15.6" x14ac:dyDescent="0.3">
      <c r="A245" s="24"/>
      <c r="B245" s="78" t="s">
        <v>72</v>
      </c>
      <c r="C245" s="93"/>
      <c r="D245" s="93"/>
      <c r="E245" s="93"/>
      <c r="F245" s="93"/>
      <c r="G245" s="93"/>
      <c r="H245" s="93"/>
      <c r="I245" s="93"/>
      <c r="J245" s="93"/>
      <c r="K245" s="93"/>
      <c r="L245" s="93"/>
      <c r="M245" s="93"/>
      <c r="N245" s="78">
        <f>+N257+N269+N281</f>
        <v>1769</v>
      </c>
      <c r="O245" s="81">
        <f>N245/$N$254</f>
        <v>1</v>
      </c>
      <c r="P245" s="82">
        <f t="shared" ref="P245:P252" si="5">+P257+P269+P281</f>
        <v>282055</v>
      </c>
      <c r="Q245" s="81">
        <f t="shared" ref="Q245:Q252" si="6">P245/$P$254</f>
        <v>1</v>
      </c>
      <c r="R245" s="94"/>
      <c r="S245" s="228"/>
      <c r="T245" s="2"/>
    </row>
    <row r="246" spans="1:20" ht="15.6" x14ac:dyDescent="0.3">
      <c r="A246" s="112"/>
      <c r="B246" s="155" t="s">
        <v>73</v>
      </c>
      <c r="C246" s="191"/>
      <c r="D246" s="191"/>
      <c r="E246" s="191"/>
      <c r="F246" s="191"/>
      <c r="G246" s="191"/>
      <c r="H246" s="191"/>
      <c r="I246" s="191"/>
      <c r="J246" s="191"/>
      <c r="K246" s="191"/>
      <c r="L246" s="191"/>
      <c r="M246" s="191"/>
      <c r="N246" s="155">
        <f t="shared" ref="N246:N252" si="7">+N258+N270+N282</f>
        <v>0</v>
      </c>
      <c r="O246" s="192">
        <f t="shared" ref="O246:O252" si="8">N246/$N$254</f>
        <v>0</v>
      </c>
      <c r="P246" s="156">
        <f t="shared" si="5"/>
        <v>0</v>
      </c>
      <c r="Q246" s="192">
        <f t="shared" si="6"/>
        <v>0</v>
      </c>
      <c r="R246" s="175"/>
      <c r="S246" s="193"/>
      <c r="T246" s="2"/>
    </row>
    <row r="247" spans="1:20" ht="15.6" x14ac:dyDescent="0.3">
      <c r="A247" s="112"/>
      <c r="B247" s="155" t="s">
        <v>74</v>
      </c>
      <c r="C247" s="191"/>
      <c r="D247" s="191"/>
      <c r="E247" s="191"/>
      <c r="F247" s="191"/>
      <c r="G247" s="191"/>
      <c r="H247" s="191"/>
      <c r="I247" s="191"/>
      <c r="J247" s="191"/>
      <c r="K247" s="191"/>
      <c r="L247" s="191"/>
      <c r="M247" s="191"/>
      <c r="N247" s="155">
        <f t="shared" si="7"/>
        <v>0</v>
      </c>
      <c r="O247" s="192">
        <f t="shared" si="8"/>
        <v>0</v>
      </c>
      <c r="P247" s="156">
        <f t="shared" si="5"/>
        <v>0</v>
      </c>
      <c r="Q247" s="192">
        <f t="shared" si="6"/>
        <v>0</v>
      </c>
      <c r="R247" s="175"/>
      <c r="S247" s="193"/>
      <c r="T247" s="2"/>
    </row>
    <row r="248" spans="1:20" ht="15.6" x14ac:dyDescent="0.3">
      <c r="A248" s="112"/>
      <c r="B248" s="155" t="s">
        <v>119</v>
      </c>
      <c r="C248" s="191"/>
      <c r="D248" s="191"/>
      <c r="E248" s="191"/>
      <c r="F248" s="191"/>
      <c r="G248" s="191"/>
      <c r="H248" s="191"/>
      <c r="I248" s="191"/>
      <c r="J248" s="191"/>
      <c r="K248" s="191"/>
      <c r="L248" s="191"/>
      <c r="M248" s="191"/>
      <c r="N248" s="155">
        <f t="shared" si="7"/>
        <v>0</v>
      </c>
      <c r="O248" s="192">
        <f t="shared" si="8"/>
        <v>0</v>
      </c>
      <c r="P248" s="156">
        <f t="shared" si="5"/>
        <v>0</v>
      </c>
      <c r="Q248" s="192">
        <f t="shared" si="6"/>
        <v>0</v>
      </c>
      <c r="R248" s="175"/>
      <c r="S248" s="193"/>
      <c r="T248" s="2"/>
    </row>
    <row r="249" spans="1:20" ht="15.6" x14ac:dyDescent="0.3">
      <c r="A249" s="112"/>
      <c r="B249" s="155" t="s">
        <v>120</v>
      </c>
      <c r="C249" s="191"/>
      <c r="D249" s="191"/>
      <c r="E249" s="191"/>
      <c r="F249" s="191"/>
      <c r="G249" s="191"/>
      <c r="H249" s="191"/>
      <c r="I249" s="191"/>
      <c r="J249" s="191"/>
      <c r="K249" s="191"/>
      <c r="L249" s="191"/>
      <c r="M249" s="191"/>
      <c r="N249" s="155">
        <f t="shared" si="7"/>
        <v>0</v>
      </c>
      <c r="O249" s="192">
        <f t="shared" si="8"/>
        <v>0</v>
      </c>
      <c r="P249" s="156">
        <f t="shared" si="5"/>
        <v>0</v>
      </c>
      <c r="Q249" s="192">
        <f t="shared" si="6"/>
        <v>0</v>
      </c>
      <c r="R249" s="175"/>
      <c r="S249" s="193"/>
      <c r="T249" s="2"/>
    </row>
    <row r="250" spans="1:20" ht="15.6" x14ac:dyDescent="0.3">
      <c r="A250" s="112"/>
      <c r="B250" s="155" t="s">
        <v>121</v>
      </c>
      <c r="C250" s="191"/>
      <c r="D250" s="191"/>
      <c r="E250" s="191"/>
      <c r="F250" s="191"/>
      <c r="G250" s="191"/>
      <c r="H250" s="191"/>
      <c r="I250" s="191"/>
      <c r="J250" s="191"/>
      <c r="K250" s="191"/>
      <c r="L250" s="191"/>
      <c r="M250" s="191"/>
      <c r="N250" s="155">
        <f t="shared" si="7"/>
        <v>0</v>
      </c>
      <c r="O250" s="192">
        <f t="shared" si="8"/>
        <v>0</v>
      </c>
      <c r="P250" s="156">
        <f t="shared" si="5"/>
        <v>0</v>
      </c>
      <c r="Q250" s="192">
        <f t="shared" si="6"/>
        <v>0</v>
      </c>
      <c r="R250" s="175"/>
      <c r="S250" s="193"/>
      <c r="T250" s="2"/>
    </row>
    <row r="251" spans="1:20" ht="15.6" x14ac:dyDescent="0.3">
      <c r="A251" s="112"/>
      <c r="B251" s="155" t="s">
        <v>122</v>
      </c>
      <c r="C251" s="191"/>
      <c r="D251" s="191"/>
      <c r="E251" s="191"/>
      <c r="F251" s="191"/>
      <c r="G251" s="191"/>
      <c r="H251" s="191"/>
      <c r="I251" s="191"/>
      <c r="J251" s="191"/>
      <c r="K251" s="191"/>
      <c r="L251" s="191"/>
      <c r="M251" s="191"/>
      <c r="N251" s="155">
        <f t="shared" si="7"/>
        <v>0</v>
      </c>
      <c r="O251" s="192">
        <f t="shared" si="8"/>
        <v>0</v>
      </c>
      <c r="P251" s="156">
        <f t="shared" si="5"/>
        <v>0</v>
      </c>
      <c r="Q251" s="192">
        <f t="shared" si="6"/>
        <v>0</v>
      </c>
      <c r="R251" s="175"/>
      <c r="S251" s="193"/>
      <c r="T251" s="2"/>
    </row>
    <row r="252" spans="1:20" ht="15.6" x14ac:dyDescent="0.3">
      <c r="A252" s="112"/>
      <c r="B252" s="155" t="s">
        <v>123</v>
      </c>
      <c r="C252" s="191"/>
      <c r="D252" s="191"/>
      <c r="E252" s="191"/>
      <c r="F252" s="191"/>
      <c r="G252" s="191"/>
      <c r="H252" s="191"/>
      <c r="I252" s="191"/>
      <c r="J252" s="191"/>
      <c r="K252" s="191"/>
      <c r="L252" s="191"/>
      <c r="M252" s="191"/>
      <c r="N252" s="155">
        <f t="shared" si="7"/>
        <v>0</v>
      </c>
      <c r="O252" s="192">
        <f t="shared" si="8"/>
        <v>0</v>
      </c>
      <c r="P252" s="156">
        <f t="shared" si="5"/>
        <v>0</v>
      </c>
      <c r="Q252" s="192">
        <f t="shared" si="6"/>
        <v>0</v>
      </c>
      <c r="R252" s="175"/>
      <c r="S252" s="193"/>
      <c r="T252" s="2"/>
    </row>
    <row r="253" spans="1:20" ht="15.6" x14ac:dyDescent="0.3">
      <c r="A253" s="112"/>
      <c r="B253" s="155"/>
      <c r="C253" s="191"/>
      <c r="D253" s="191"/>
      <c r="E253" s="191"/>
      <c r="F253" s="191"/>
      <c r="G253" s="191"/>
      <c r="H253" s="191"/>
      <c r="I253" s="191"/>
      <c r="J253" s="191"/>
      <c r="K253" s="191"/>
      <c r="L253" s="191"/>
      <c r="M253" s="191"/>
      <c r="N253" s="155"/>
      <c r="O253" s="192"/>
      <c r="P253" s="156"/>
      <c r="Q253" s="192"/>
      <c r="R253" s="175"/>
      <c r="S253" s="193"/>
      <c r="T253" s="2"/>
    </row>
    <row r="254" spans="1:20" ht="15.6" x14ac:dyDescent="0.3">
      <c r="A254" s="112"/>
      <c r="B254" s="113" t="s">
        <v>94</v>
      </c>
      <c r="C254" s="113"/>
      <c r="D254" s="194"/>
      <c r="E254" s="194"/>
      <c r="F254" s="194"/>
      <c r="G254" s="194"/>
      <c r="H254" s="194"/>
      <c r="I254" s="194"/>
      <c r="J254" s="194"/>
      <c r="K254" s="194"/>
      <c r="L254" s="194"/>
      <c r="M254" s="194"/>
      <c r="N254" s="155">
        <f>SUM(N245:N253)</f>
        <v>1769</v>
      </c>
      <c r="O254" s="192">
        <f>SUM(O245:O253)</f>
        <v>1</v>
      </c>
      <c r="P254" s="156">
        <f>SUM(P245:P253)</f>
        <v>282055</v>
      </c>
      <c r="Q254" s="192">
        <f>SUM(Q245:Q253)</f>
        <v>1</v>
      </c>
      <c r="R254" s="113"/>
      <c r="S254" s="116"/>
      <c r="T254" s="2"/>
    </row>
    <row r="255" spans="1:20" ht="15.6" x14ac:dyDescent="0.3">
      <c r="A255" s="12"/>
      <c r="B255" s="164"/>
      <c r="C255" s="170"/>
      <c r="D255" s="43"/>
      <c r="E255" s="43"/>
      <c r="F255" s="43"/>
      <c r="G255" s="43"/>
      <c r="H255" s="43"/>
      <c r="I255" s="43"/>
      <c r="J255" s="43"/>
      <c r="K255" s="43"/>
      <c r="L255" s="43"/>
      <c r="M255" s="43"/>
      <c r="N255" s="43"/>
      <c r="O255" s="43"/>
      <c r="P255" s="171"/>
      <c r="Q255" s="43"/>
      <c r="R255" s="43"/>
      <c r="S255" s="217"/>
      <c r="T255" s="2"/>
    </row>
    <row r="256" spans="1:20" ht="15.6" x14ac:dyDescent="0.3">
      <c r="A256" s="53"/>
      <c r="B256" s="61" t="s">
        <v>124</v>
      </c>
      <c r="C256" s="62"/>
      <c r="D256" s="62"/>
      <c r="E256" s="62"/>
      <c r="F256" s="62"/>
      <c r="G256" s="62"/>
      <c r="H256" s="62"/>
      <c r="I256" s="62"/>
      <c r="J256" s="62"/>
      <c r="K256" s="62"/>
      <c r="L256" s="62"/>
      <c r="M256" s="62"/>
      <c r="N256" s="72" t="s">
        <v>83</v>
      </c>
      <c r="O256" s="62" t="s">
        <v>84</v>
      </c>
      <c r="P256" s="72" t="s">
        <v>89</v>
      </c>
      <c r="Q256" s="62" t="s">
        <v>84</v>
      </c>
      <c r="R256" s="54"/>
      <c r="S256" s="227"/>
      <c r="T256" s="2"/>
    </row>
    <row r="257" spans="1:21" ht="15.6" x14ac:dyDescent="0.3">
      <c r="A257" s="24"/>
      <c r="B257" s="78" t="s">
        <v>72</v>
      </c>
      <c r="C257" s="93"/>
      <c r="D257" s="93"/>
      <c r="E257" s="93"/>
      <c r="F257" s="93"/>
      <c r="G257" s="93"/>
      <c r="H257" s="93"/>
      <c r="I257" s="93"/>
      <c r="J257" s="93"/>
      <c r="K257" s="93"/>
      <c r="L257" s="93"/>
      <c r="M257" s="93"/>
      <c r="N257" s="78">
        <v>1769</v>
      </c>
      <c r="O257" s="81">
        <f>N257/$N$266</f>
        <v>1</v>
      </c>
      <c r="P257" s="82">
        <v>282055</v>
      </c>
      <c r="Q257" s="81">
        <f>P257/$P$266</f>
        <v>1</v>
      </c>
      <c r="R257" s="94"/>
      <c r="S257" s="228"/>
      <c r="T257" s="2"/>
    </row>
    <row r="258" spans="1:21" ht="15.6" x14ac:dyDescent="0.3">
      <c r="A258" s="112"/>
      <c r="B258" s="155" t="s">
        <v>73</v>
      </c>
      <c r="C258" s="191"/>
      <c r="D258" s="191"/>
      <c r="E258" s="191"/>
      <c r="F258" s="191"/>
      <c r="G258" s="191"/>
      <c r="H258" s="191"/>
      <c r="I258" s="191"/>
      <c r="J258" s="191"/>
      <c r="K258" s="191"/>
      <c r="L258" s="191"/>
      <c r="M258" s="191"/>
      <c r="N258" s="155">
        <v>0</v>
      </c>
      <c r="O258" s="192">
        <f t="shared" ref="O258:O264" si="9">N258/$N$266</f>
        <v>0</v>
      </c>
      <c r="P258" s="156">
        <v>0</v>
      </c>
      <c r="Q258" s="192">
        <f t="shared" ref="Q258:Q264" si="10">P258/$P$266</f>
        <v>0</v>
      </c>
      <c r="R258" s="175"/>
      <c r="S258" s="193"/>
      <c r="T258" s="2"/>
      <c r="U258" s="4"/>
    </row>
    <row r="259" spans="1:21" ht="15.6" x14ac:dyDescent="0.3">
      <c r="A259" s="112"/>
      <c r="B259" s="155" t="s">
        <v>74</v>
      </c>
      <c r="C259" s="191"/>
      <c r="D259" s="191"/>
      <c r="E259" s="191"/>
      <c r="F259" s="191"/>
      <c r="G259" s="191"/>
      <c r="H259" s="191"/>
      <c r="I259" s="191"/>
      <c r="J259" s="191"/>
      <c r="K259" s="191"/>
      <c r="L259" s="191"/>
      <c r="M259" s="191"/>
      <c r="N259" s="155">
        <v>0</v>
      </c>
      <c r="O259" s="192">
        <f t="shared" si="9"/>
        <v>0</v>
      </c>
      <c r="P259" s="156">
        <v>0</v>
      </c>
      <c r="Q259" s="192">
        <f t="shared" si="10"/>
        <v>0</v>
      </c>
      <c r="R259" s="175"/>
      <c r="S259" s="193"/>
      <c r="T259" s="2"/>
    </row>
    <row r="260" spans="1:21" ht="15.6" x14ac:dyDescent="0.3">
      <c r="A260" s="112"/>
      <c r="B260" s="155" t="s">
        <v>119</v>
      </c>
      <c r="C260" s="191"/>
      <c r="D260" s="191"/>
      <c r="E260" s="191"/>
      <c r="F260" s="191"/>
      <c r="G260" s="191"/>
      <c r="H260" s="191"/>
      <c r="I260" s="191"/>
      <c r="J260" s="191"/>
      <c r="K260" s="191"/>
      <c r="L260" s="191"/>
      <c r="M260" s="191"/>
      <c r="N260" s="155">
        <v>0</v>
      </c>
      <c r="O260" s="192">
        <f t="shared" si="9"/>
        <v>0</v>
      </c>
      <c r="P260" s="156">
        <v>0</v>
      </c>
      <c r="Q260" s="192">
        <f t="shared" si="10"/>
        <v>0</v>
      </c>
      <c r="R260" s="175"/>
      <c r="S260" s="193"/>
      <c r="T260" s="2"/>
      <c r="U260" s="4"/>
    </row>
    <row r="261" spans="1:21" ht="15.6" x14ac:dyDescent="0.3">
      <c r="A261" s="112"/>
      <c r="B261" s="155" t="s">
        <v>120</v>
      </c>
      <c r="C261" s="191"/>
      <c r="D261" s="191"/>
      <c r="E261" s="191"/>
      <c r="F261" s="191"/>
      <c r="G261" s="191"/>
      <c r="H261" s="191"/>
      <c r="I261" s="191"/>
      <c r="J261" s="191"/>
      <c r="K261" s="191"/>
      <c r="L261" s="191"/>
      <c r="M261" s="191"/>
      <c r="N261" s="155">
        <v>0</v>
      </c>
      <c r="O261" s="192">
        <f t="shared" si="9"/>
        <v>0</v>
      </c>
      <c r="P261" s="156">
        <v>0</v>
      </c>
      <c r="Q261" s="192">
        <f t="shared" si="10"/>
        <v>0</v>
      </c>
      <c r="R261" s="175"/>
      <c r="S261" s="193"/>
      <c r="T261" s="2"/>
    </row>
    <row r="262" spans="1:21" ht="15.6" x14ac:dyDescent="0.3">
      <c r="A262" s="112"/>
      <c r="B262" s="155" t="s">
        <v>121</v>
      </c>
      <c r="C262" s="191"/>
      <c r="D262" s="191"/>
      <c r="E262" s="191"/>
      <c r="F262" s="191"/>
      <c r="G262" s="191"/>
      <c r="H262" s="191"/>
      <c r="I262" s="191"/>
      <c r="J262" s="191"/>
      <c r="K262" s="191"/>
      <c r="L262" s="191"/>
      <c r="M262" s="191"/>
      <c r="N262" s="155">
        <v>0</v>
      </c>
      <c r="O262" s="192">
        <f t="shared" si="9"/>
        <v>0</v>
      </c>
      <c r="P262" s="156">
        <v>0</v>
      </c>
      <c r="Q262" s="192">
        <f t="shared" si="10"/>
        <v>0</v>
      </c>
      <c r="R262" s="175"/>
      <c r="S262" s="193"/>
      <c r="T262" s="2"/>
      <c r="U262" s="4"/>
    </row>
    <row r="263" spans="1:21" ht="15.6" x14ac:dyDescent="0.3">
      <c r="A263" s="112"/>
      <c r="B263" s="155" t="s">
        <v>122</v>
      </c>
      <c r="C263" s="191"/>
      <c r="D263" s="191"/>
      <c r="E263" s="191"/>
      <c r="F263" s="191"/>
      <c r="G263" s="191"/>
      <c r="H263" s="191"/>
      <c r="I263" s="191"/>
      <c r="J263" s="191"/>
      <c r="K263" s="191"/>
      <c r="L263" s="191"/>
      <c r="M263" s="191"/>
      <c r="N263" s="155">
        <v>0</v>
      </c>
      <c r="O263" s="192">
        <f t="shared" si="9"/>
        <v>0</v>
      </c>
      <c r="P263" s="156">
        <v>0</v>
      </c>
      <c r="Q263" s="192">
        <f t="shared" si="10"/>
        <v>0</v>
      </c>
      <c r="R263" s="175"/>
      <c r="S263" s="193"/>
      <c r="T263" s="2"/>
    </row>
    <row r="264" spans="1:21" ht="15.6" x14ac:dyDescent="0.3">
      <c r="A264" s="112"/>
      <c r="B264" s="155" t="s">
        <v>123</v>
      </c>
      <c r="C264" s="191"/>
      <c r="D264" s="191"/>
      <c r="E264" s="191"/>
      <c r="F264" s="191"/>
      <c r="G264" s="191"/>
      <c r="H264" s="191"/>
      <c r="I264" s="191"/>
      <c r="J264" s="191"/>
      <c r="K264" s="191"/>
      <c r="L264" s="191"/>
      <c r="M264" s="191"/>
      <c r="N264" s="155">
        <v>0</v>
      </c>
      <c r="O264" s="192">
        <f t="shared" si="9"/>
        <v>0</v>
      </c>
      <c r="P264" s="156">
        <v>0</v>
      </c>
      <c r="Q264" s="192">
        <f t="shared" si="10"/>
        <v>0</v>
      </c>
      <c r="R264" s="175"/>
      <c r="S264" s="193"/>
      <c r="T264" s="2"/>
      <c r="U264" s="4"/>
    </row>
    <row r="265" spans="1:21" ht="15.6" x14ac:dyDescent="0.3">
      <c r="A265" s="112"/>
      <c r="B265" s="155"/>
      <c r="C265" s="191"/>
      <c r="D265" s="191"/>
      <c r="E265" s="191"/>
      <c r="F265" s="191"/>
      <c r="G265" s="191"/>
      <c r="H265" s="191"/>
      <c r="I265" s="191"/>
      <c r="J265" s="191"/>
      <c r="K265" s="191"/>
      <c r="L265" s="191"/>
      <c r="M265" s="191"/>
      <c r="N265" s="155"/>
      <c r="O265" s="192"/>
      <c r="P265" s="156"/>
      <c r="Q265" s="192"/>
      <c r="R265" s="175"/>
      <c r="S265" s="193"/>
      <c r="T265" s="2"/>
    </row>
    <row r="266" spans="1:21" ht="15.6" x14ac:dyDescent="0.3">
      <c r="A266" s="112"/>
      <c r="B266" s="113" t="s">
        <v>94</v>
      </c>
      <c r="C266" s="113"/>
      <c r="D266" s="194"/>
      <c r="E266" s="194"/>
      <c r="F266" s="194"/>
      <c r="G266" s="194"/>
      <c r="H266" s="194"/>
      <c r="I266" s="194"/>
      <c r="J266" s="194"/>
      <c r="K266" s="194"/>
      <c r="L266" s="194"/>
      <c r="M266" s="194"/>
      <c r="N266" s="155">
        <f>SUM(N257:N265)</f>
        <v>1769</v>
      </c>
      <c r="O266" s="192">
        <f>SUM(O257:O265)</f>
        <v>1</v>
      </c>
      <c r="P266" s="156">
        <f>SUM(P257:P265)</f>
        <v>282055</v>
      </c>
      <c r="Q266" s="192">
        <f>SUM(Q257:Q265)</f>
        <v>1</v>
      </c>
      <c r="R266" s="113"/>
      <c r="S266" s="116"/>
      <c r="T266" s="2"/>
    </row>
    <row r="267" spans="1:21" ht="15.6" x14ac:dyDescent="0.3">
      <c r="A267" s="12"/>
      <c r="B267" s="43"/>
      <c r="C267" s="43"/>
      <c r="D267" s="188"/>
      <c r="E267" s="188"/>
      <c r="F267" s="188"/>
      <c r="G267" s="188"/>
      <c r="H267" s="188"/>
      <c r="I267" s="188"/>
      <c r="J267" s="188"/>
      <c r="K267" s="188"/>
      <c r="L267" s="188"/>
      <c r="M267" s="188"/>
      <c r="N267" s="153"/>
      <c r="O267" s="189"/>
      <c r="P267" s="190"/>
      <c r="Q267" s="189"/>
      <c r="R267" s="43"/>
      <c r="S267" s="217"/>
      <c r="T267" s="2"/>
    </row>
    <row r="268" spans="1:21" ht="15.6" x14ac:dyDescent="0.3">
      <c r="A268" s="73"/>
      <c r="B268" s="61" t="s">
        <v>146</v>
      </c>
      <c r="C268" s="62"/>
      <c r="D268" s="62"/>
      <c r="E268" s="62"/>
      <c r="F268" s="62"/>
      <c r="G268" s="62"/>
      <c r="H268" s="62"/>
      <c r="I268" s="62"/>
      <c r="J268" s="62"/>
      <c r="K268" s="62"/>
      <c r="L268" s="62"/>
      <c r="M268" s="62"/>
      <c r="N268" s="72" t="s">
        <v>83</v>
      </c>
      <c r="O268" s="62" t="s">
        <v>84</v>
      </c>
      <c r="P268" s="72" t="s">
        <v>89</v>
      </c>
      <c r="Q268" s="62" t="s">
        <v>84</v>
      </c>
      <c r="R268" s="74"/>
      <c r="S268" s="75"/>
      <c r="T268" s="2"/>
    </row>
    <row r="269" spans="1:21" ht="15.6" x14ac:dyDescent="0.3">
      <c r="A269" s="24"/>
      <c r="B269" s="78" t="s">
        <v>72</v>
      </c>
      <c r="C269" s="93"/>
      <c r="D269" s="93"/>
      <c r="E269" s="93"/>
      <c r="F269" s="93"/>
      <c r="G269" s="93"/>
      <c r="H269" s="93"/>
      <c r="I269" s="93"/>
      <c r="J269" s="93"/>
      <c r="K269" s="93"/>
      <c r="L269" s="93"/>
      <c r="M269" s="93"/>
      <c r="N269" s="78">
        <v>0</v>
      </c>
      <c r="O269" s="81">
        <v>0</v>
      </c>
      <c r="P269" s="82">
        <v>0</v>
      </c>
      <c r="Q269" s="81">
        <v>0</v>
      </c>
      <c r="R269" s="79"/>
      <c r="S269" s="220"/>
      <c r="T269" s="2"/>
    </row>
    <row r="270" spans="1:21" ht="15.6" x14ac:dyDescent="0.3">
      <c r="A270" s="112"/>
      <c r="B270" s="155" t="s">
        <v>73</v>
      </c>
      <c r="C270" s="191"/>
      <c r="D270" s="191"/>
      <c r="E270" s="191"/>
      <c r="F270" s="191"/>
      <c r="G270" s="191"/>
      <c r="H270" s="191"/>
      <c r="I270" s="191"/>
      <c r="J270" s="191"/>
      <c r="K270" s="191"/>
      <c r="L270" s="191"/>
      <c r="M270" s="191"/>
      <c r="N270" s="155">
        <v>0</v>
      </c>
      <c r="O270" s="192">
        <v>0</v>
      </c>
      <c r="P270" s="156">
        <v>0</v>
      </c>
      <c r="Q270" s="192">
        <v>0</v>
      </c>
      <c r="R270" s="113"/>
      <c r="S270" s="116"/>
      <c r="T270" s="2"/>
    </row>
    <row r="271" spans="1:21" ht="15.6" x14ac:dyDescent="0.3">
      <c r="A271" s="112"/>
      <c r="B271" s="155" t="s">
        <v>74</v>
      </c>
      <c r="C271" s="191"/>
      <c r="D271" s="191"/>
      <c r="E271" s="191"/>
      <c r="F271" s="191"/>
      <c r="G271" s="191"/>
      <c r="H271" s="191"/>
      <c r="I271" s="191"/>
      <c r="J271" s="191"/>
      <c r="K271" s="191"/>
      <c r="L271" s="191"/>
      <c r="M271" s="191"/>
      <c r="N271" s="155">
        <v>0</v>
      </c>
      <c r="O271" s="192">
        <v>0</v>
      </c>
      <c r="P271" s="156">
        <v>0</v>
      </c>
      <c r="Q271" s="192">
        <v>0</v>
      </c>
      <c r="R271" s="113"/>
      <c r="S271" s="116"/>
      <c r="T271" s="2"/>
    </row>
    <row r="272" spans="1:21" ht="15.6" x14ac:dyDescent="0.3">
      <c r="A272" s="112"/>
      <c r="B272" s="155" t="s">
        <v>119</v>
      </c>
      <c r="C272" s="191"/>
      <c r="D272" s="191"/>
      <c r="E272" s="191"/>
      <c r="F272" s="191"/>
      <c r="G272" s="191"/>
      <c r="H272" s="191"/>
      <c r="I272" s="191"/>
      <c r="J272" s="191"/>
      <c r="K272" s="191"/>
      <c r="L272" s="191"/>
      <c r="M272" s="191"/>
      <c r="N272" s="155">
        <v>0</v>
      </c>
      <c r="O272" s="192">
        <v>0</v>
      </c>
      <c r="P272" s="156">
        <v>0</v>
      </c>
      <c r="Q272" s="192">
        <v>0</v>
      </c>
      <c r="R272" s="113"/>
      <c r="S272" s="116"/>
      <c r="T272" s="2"/>
    </row>
    <row r="273" spans="1:20" ht="15.6" x14ac:dyDescent="0.3">
      <c r="A273" s="112"/>
      <c r="B273" s="155" t="s">
        <v>120</v>
      </c>
      <c r="C273" s="191"/>
      <c r="D273" s="191"/>
      <c r="E273" s="191"/>
      <c r="F273" s="191"/>
      <c r="G273" s="191"/>
      <c r="H273" s="191"/>
      <c r="I273" s="191"/>
      <c r="J273" s="191"/>
      <c r="K273" s="191"/>
      <c r="L273" s="191"/>
      <c r="M273" s="191"/>
      <c r="N273" s="155">
        <v>0</v>
      </c>
      <c r="O273" s="192">
        <v>0</v>
      </c>
      <c r="P273" s="156">
        <v>0</v>
      </c>
      <c r="Q273" s="192">
        <v>0</v>
      </c>
      <c r="R273" s="113"/>
      <c r="S273" s="116"/>
      <c r="T273" s="2"/>
    </row>
    <row r="274" spans="1:20" ht="15.6" x14ac:dyDescent="0.3">
      <c r="A274" s="112"/>
      <c r="B274" s="155" t="s">
        <v>121</v>
      </c>
      <c r="C274" s="191"/>
      <c r="D274" s="191"/>
      <c r="E274" s="191"/>
      <c r="F274" s="191"/>
      <c r="G274" s="191"/>
      <c r="H274" s="191"/>
      <c r="I274" s="191"/>
      <c r="J274" s="191"/>
      <c r="K274" s="191"/>
      <c r="L274" s="191"/>
      <c r="M274" s="191"/>
      <c r="N274" s="155">
        <v>0</v>
      </c>
      <c r="O274" s="192">
        <v>0</v>
      </c>
      <c r="P274" s="156">
        <v>0</v>
      </c>
      <c r="Q274" s="192">
        <v>0</v>
      </c>
      <c r="R274" s="113"/>
      <c r="S274" s="116"/>
      <c r="T274" s="2"/>
    </row>
    <row r="275" spans="1:20" ht="15.6" x14ac:dyDescent="0.3">
      <c r="A275" s="112"/>
      <c r="B275" s="155" t="s">
        <v>122</v>
      </c>
      <c r="C275" s="191"/>
      <c r="D275" s="191"/>
      <c r="E275" s="191"/>
      <c r="F275" s="191"/>
      <c r="G275" s="191"/>
      <c r="H275" s="191"/>
      <c r="I275" s="191"/>
      <c r="J275" s="191"/>
      <c r="K275" s="191"/>
      <c r="L275" s="191"/>
      <c r="M275" s="191"/>
      <c r="N275" s="155">
        <v>0</v>
      </c>
      <c r="O275" s="192">
        <v>0</v>
      </c>
      <c r="P275" s="156">
        <v>0</v>
      </c>
      <c r="Q275" s="192">
        <v>0</v>
      </c>
      <c r="R275" s="113"/>
      <c r="S275" s="116"/>
      <c r="T275" s="2"/>
    </row>
    <row r="276" spans="1:20" ht="15.6" x14ac:dyDescent="0.3">
      <c r="A276" s="112"/>
      <c r="B276" s="155" t="s">
        <v>123</v>
      </c>
      <c r="C276" s="191"/>
      <c r="D276" s="191"/>
      <c r="E276" s="191"/>
      <c r="F276" s="191"/>
      <c r="G276" s="191"/>
      <c r="H276" s="191"/>
      <c r="I276" s="191"/>
      <c r="J276" s="191"/>
      <c r="K276" s="191"/>
      <c r="L276" s="191"/>
      <c r="M276" s="191"/>
      <c r="N276" s="155">
        <v>0</v>
      </c>
      <c r="O276" s="192">
        <v>0</v>
      </c>
      <c r="P276" s="156">
        <v>0</v>
      </c>
      <c r="Q276" s="192">
        <v>0</v>
      </c>
      <c r="R276" s="113"/>
      <c r="S276" s="116"/>
      <c r="T276" s="2"/>
    </row>
    <row r="277" spans="1:20" ht="15.6" x14ac:dyDescent="0.3">
      <c r="A277" s="112"/>
      <c r="B277" s="155"/>
      <c r="C277" s="191"/>
      <c r="D277" s="191"/>
      <c r="E277" s="191"/>
      <c r="F277" s="191"/>
      <c r="G277" s="191"/>
      <c r="H277" s="191"/>
      <c r="I277" s="191"/>
      <c r="J277" s="191"/>
      <c r="K277" s="191"/>
      <c r="L277" s="191"/>
      <c r="M277" s="191"/>
      <c r="N277" s="155"/>
      <c r="O277" s="192"/>
      <c r="P277" s="156"/>
      <c r="Q277" s="192"/>
      <c r="R277" s="113"/>
      <c r="S277" s="116"/>
      <c r="T277" s="2"/>
    </row>
    <row r="278" spans="1:20" ht="15.6" x14ac:dyDescent="0.3">
      <c r="A278" s="112"/>
      <c r="B278" s="113" t="s">
        <v>94</v>
      </c>
      <c r="C278" s="113"/>
      <c r="D278" s="194"/>
      <c r="E278" s="194"/>
      <c r="F278" s="194"/>
      <c r="G278" s="194"/>
      <c r="H278" s="194"/>
      <c r="I278" s="194"/>
      <c r="J278" s="194"/>
      <c r="K278" s="194"/>
      <c r="L278" s="194"/>
      <c r="M278" s="194"/>
      <c r="N278" s="155">
        <f>SUM(N269:N277)</f>
        <v>0</v>
      </c>
      <c r="O278" s="192">
        <f>SUM(O269:O277)</f>
        <v>0</v>
      </c>
      <c r="P278" s="156">
        <f>SUM(P269:P277)</f>
        <v>0</v>
      </c>
      <c r="Q278" s="192">
        <f>SUM(Q269:Q277)</f>
        <v>0</v>
      </c>
      <c r="R278" s="113"/>
      <c r="S278" s="116"/>
      <c r="T278" s="2"/>
    </row>
    <row r="279" spans="1:20" ht="15.6" x14ac:dyDescent="0.3">
      <c r="A279" s="12"/>
      <c r="B279" s="43"/>
      <c r="C279" s="43"/>
      <c r="D279" s="188"/>
      <c r="E279" s="188"/>
      <c r="F279" s="188"/>
      <c r="G279" s="188"/>
      <c r="H279" s="188"/>
      <c r="I279" s="188"/>
      <c r="J279" s="188"/>
      <c r="K279" s="188"/>
      <c r="L279" s="188"/>
      <c r="M279" s="188"/>
      <c r="N279" s="153"/>
      <c r="O279" s="189"/>
      <c r="P279" s="190"/>
      <c r="Q279" s="189"/>
      <c r="R279" s="43"/>
      <c r="S279" s="217"/>
      <c r="T279" s="2"/>
    </row>
    <row r="280" spans="1:20" ht="15.6" x14ac:dyDescent="0.3">
      <c r="A280" s="73"/>
      <c r="B280" s="61" t="s">
        <v>125</v>
      </c>
      <c r="C280" s="74"/>
      <c r="D280" s="76"/>
      <c r="E280" s="76"/>
      <c r="F280" s="76"/>
      <c r="G280" s="76"/>
      <c r="H280" s="76"/>
      <c r="I280" s="76"/>
      <c r="J280" s="76"/>
      <c r="K280" s="76"/>
      <c r="L280" s="76"/>
      <c r="M280" s="76"/>
      <c r="N280" s="72" t="s">
        <v>83</v>
      </c>
      <c r="O280" s="62" t="s">
        <v>84</v>
      </c>
      <c r="P280" s="72" t="s">
        <v>89</v>
      </c>
      <c r="Q280" s="62" t="s">
        <v>84</v>
      </c>
      <c r="R280" s="74"/>
      <c r="S280" s="75"/>
      <c r="T280" s="2"/>
    </row>
    <row r="281" spans="1:20" ht="15.6" x14ac:dyDescent="0.3">
      <c r="A281" s="77"/>
      <c r="B281" s="78" t="s">
        <v>72</v>
      </c>
      <c r="C281" s="79"/>
      <c r="D281" s="80"/>
      <c r="E281" s="80"/>
      <c r="F281" s="80"/>
      <c r="G281" s="80"/>
      <c r="H281" s="80"/>
      <c r="I281" s="80"/>
      <c r="J281" s="80"/>
      <c r="K281" s="80"/>
      <c r="L281" s="80"/>
      <c r="M281" s="80"/>
      <c r="N281" s="78">
        <v>0</v>
      </c>
      <c r="O281" s="81">
        <v>0</v>
      </c>
      <c r="P281" s="82">
        <v>0</v>
      </c>
      <c r="Q281" s="81">
        <v>0</v>
      </c>
      <c r="R281" s="79"/>
      <c r="S281" s="220"/>
      <c r="T281" s="2"/>
    </row>
    <row r="282" spans="1:20" ht="15.6" x14ac:dyDescent="0.3">
      <c r="A282" s="122"/>
      <c r="B282" s="155" t="s">
        <v>73</v>
      </c>
      <c r="C282" s="113"/>
      <c r="D282" s="194"/>
      <c r="E282" s="194"/>
      <c r="F282" s="194"/>
      <c r="G282" s="194"/>
      <c r="H282" s="194"/>
      <c r="I282" s="194"/>
      <c r="J282" s="194"/>
      <c r="K282" s="194"/>
      <c r="L282" s="194"/>
      <c r="M282" s="194"/>
      <c r="N282" s="155">
        <v>0</v>
      </c>
      <c r="O282" s="192">
        <v>0</v>
      </c>
      <c r="P282" s="156">
        <v>0</v>
      </c>
      <c r="Q282" s="192">
        <v>0</v>
      </c>
      <c r="R282" s="113"/>
      <c r="S282" s="116"/>
      <c r="T282" s="2"/>
    </row>
    <row r="283" spans="1:20" ht="15.6" x14ac:dyDescent="0.3">
      <c r="A283" s="122"/>
      <c r="B283" s="155" t="s">
        <v>74</v>
      </c>
      <c r="C283" s="113"/>
      <c r="D283" s="194"/>
      <c r="E283" s="194"/>
      <c r="F283" s="194"/>
      <c r="G283" s="194"/>
      <c r="H283" s="194"/>
      <c r="I283" s="194"/>
      <c r="J283" s="194"/>
      <c r="K283" s="194"/>
      <c r="L283" s="194"/>
      <c r="M283" s="194"/>
      <c r="N283" s="155">
        <v>0</v>
      </c>
      <c r="O283" s="192">
        <v>0</v>
      </c>
      <c r="P283" s="156">
        <v>0</v>
      </c>
      <c r="Q283" s="192">
        <v>0</v>
      </c>
      <c r="R283" s="113"/>
      <c r="S283" s="116"/>
      <c r="T283" s="2"/>
    </row>
    <row r="284" spans="1:20" ht="15.6" x14ac:dyDescent="0.3">
      <c r="A284" s="122"/>
      <c r="B284" s="155" t="s">
        <v>119</v>
      </c>
      <c r="C284" s="113"/>
      <c r="D284" s="194"/>
      <c r="E284" s="194"/>
      <c r="F284" s="194"/>
      <c r="G284" s="194"/>
      <c r="H284" s="194"/>
      <c r="I284" s="194"/>
      <c r="J284" s="194"/>
      <c r="K284" s="194"/>
      <c r="L284" s="194"/>
      <c r="M284" s="194"/>
      <c r="N284" s="155">
        <v>0</v>
      </c>
      <c r="O284" s="192">
        <v>0</v>
      </c>
      <c r="P284" s="156">
        <v>0</v>
      </c>
      <c r="Q284" s="192">
        <v>0</v>
      </c>
      <c r="R284" s="113"/>
      <c r="S284" s="116"/>
      <c r="T284" s="2"/>
    </row>
    <row r="285" spans="1:20" ht="15.6" x14ac:dyDescent="0.3">
      <c r="A285" s="122"/>
      <c r="B285" s="155" t="s">
        <v>120</v>
      </c>
      <c r="C285" s="113"/>
      <c r="D285" s="194"/>
      <c r="E285" s="194"/>
      <c r="F285" s="194"/>
      <c r="G285" s="194"/>
      <c r="H285" s="194"/>
      <c r="I285" s="194"/>
      <c r="J285" s="194"/>
      <c r="K285" s="194"/>
      <c r="L285" s="194"/>
      <c r="M285" s="194"/>
      <c r="N285" s="155">
        <v>0</v>
      </c>
      <c r="O285" s="192">
        <v>0</v>
      </c>
      <c r="P285" s="156">
        <v>0</v>
      </c>
      <c r="Q285" s="192">
        <v>0</v>
      </c>
      <c r="R285" s="113"/>
      <c r="S285" s="116"/>
      <c r="T285" s="2"/>
    </row>
    <row r="286" spans="1:20" ht="15.6" x14ac:dyDescent="0.3">
      <c r="A286" s="122"/>
      <c r="B286" s="155" t="s">
        <v>121</v>
      </c>
      <c r="C286" s="113"/>
      <c r="D286" s="194"/>
      <c r="E286" s="194"/>
      <c r="F286" s="194"/>
      <c r="G286" s="194"/>
      <c r="H286" s="194"/>
      <c r="I286" s="194"/>
      <c r="J286" s="194"/>
      <c r="K286" s="194"/>
      <c r="L286" s="194"/>
      <c r="M286" s="194"/>
      <c r="N286" s="155">
        <v>0</v>
      </c>
      <c r="O286" s="192">
        <v>0</v>
      </c>
      <c r="P286" s="156">
        <v>0</v>
      </c>
      <c r="Q286" s="192">
        <v>0</v>
      </c>
      <c r="R286" s="113"/>
      <c r="S286" s="116"/>
      <c r="T286" s="2"/>
    </row>
    <row r="287" spans="1:20" ht="15.6" x14ac:dyDescent="0.3">
      <c r="A287" s="122"/>
      <c r="B287" s="155" t="s">
        <v>122</v>
      </c>
      <c r="C287" s="113"/>
      <c r="D287" s="194"/>
      <c r="E287" s="194"/>
      <c r="F287" s="194"/>
      <c r="G287" s="194"/>
      <c r="H287" s="194"/>
      <c r="I287" s="194"/>
      <c r="J287" s="194"/>
      <c r="K287" s="194"/>
      <c r="L287" s="194"/>
      <c r="M287" s="194"/>
      <c r="N287" s="155">
        <v>0</v>
      </c>
      <c r="O287" s="192">
        <v>0</v>
      </c>
      <c r="P287" s="156">
        <v>0</v>
      </c>
      <c r="Q287" s="192">
        <v>0</v>
      </c>
      <c r="R287" s="113"/>
      <c r="S287" s="116"/>
      <c r="T287" s="2"/>
    </row>
    <row r="288" spans="1:20" ht="15.6" x14ac:dyDescent="0.3">
      <c r="A288" s="122"/>
      <c r="B288" s="155" t="s">
        <v>123</v>
      </c>
      <c r="C288" s="113"/>
      <c r="D288" s="194"/>
      <c r="E288" s="194"/>
      <c r="F288" s="194"/>
      <c r="G288" s="194"/>
      <c r="H288" s="194"/>
      <c r="I288" s="194"/>
      <c r="J288" s="194"/>
      <c r="K288" s="194"/>
      <c r="L288" s="194"/>
      <c r="M288" s="194"/>
      <c r="N288" s="155">
        <v>0</v>
      </c>
      <c r="O288" s="192">
        <v>0</v>
      </c>
      <c r="P288" s="156">
        <v>0</v>
      </c>
      <c r="Q288" s="192">
        <v>0</v>
      </c>
      <c r="R288" s="113"/>
      <c r="S288" s="116"/>
      <c r="T288" s="2"/>
    </row>
    <row r="289" spans="1:20" ht="15.6" x14ac:dyDescent="0.3">
      <c r="A289" s="122"/>
      <c r="B289" s="155"/>
      <c r="C289" s="113"/>
      <c r="D289" s="194"/>
      <c r="E289" s="194"/>
      <c r="F289" s="194"/>
      <c r="G289" s="194"/>
      <c r="H289" s="194"/>
      <c r="I289" s="194"/>
      <c r="J289" s="194"/>
      <c r="K289" s="194"/>
      <c r="L289" s="194"/>
      <c r="M289" s="194"/>
      <c r="N289" s="155"/>
      <c r="O289" s="192"/>
      <c r="P289" s="156"/>
      <c r="Q289" s="192"/>
      <c r="R289" s="113"/>
      <c r="S289" s="116"/>
      <c r="T289" s="2"/>
    </row>
    <row r="290" spans="1:20" ht="15.6" x14ac:dyDescent="0.3">
      <c r="A290" s="122"/>
      <c r="B290" s="113" t="s">
        <v>94</v>
      </c>
      <c r="C290" s="113"/>
      <c r="D290" s="194"/>
      <c r="E290" s="194"/>
      <c r="F290" s="194"/>
      <c r="G290" s="194"/>
      <c r="H290" s="194"/>
      <c r="I290" s="194"/>
      <c r="J290" s="194"/>
      <c r="K290" s="194"/>
      <c r="L290" s="194"/>
      <c r="M290" s="194"/>
      <c r="N290" s="155">
        <f>SUM(N281:N288)</f>
        <v>0</v>
      </c>
      <c r="O290" s="192">
        <f>SUM(O281:O288)</f>
        <v>0</v>
      </c>
      <c r="P290" s="156">
        <f>SUM(P281:P288)</f>
        <v>0</v>
      </c>
      <c r="Q290" s="192">
        <f>SUM(Q281:Q288)</f>
        <v>0</v>
      </c>
      <c r="R290" s="113"/>
      <c r="S290" s="116"/>
      <c r="T290" s="2"/>
    </row>
    <row r="291" spans="1:20" ht="15.6" x14ac:dyDescent="0.3">
      <c r="A291" s="122"/>
      <c r="B291" s="113"/>
      <c r="C291" s="113"/>
      <c r="D291" s="194"/>
      <c r="E291" s="194"/>
      <c r="F291" s="194"/>
      <c r="G291" s="194"/>
      <c r="H291" s="194"/>
      <c r="I291" s="194"/>
      <c r="J291" s="194"/>
      <c r="K291" s="194"/>
      <c r="L291" s="194"/>
      <c r="M291" s="194"/>
      <c r="N291" s="155"/>
      <c r="O291" s="192"/>
      <c r="P291" s="156"/>
      <c r="Q291" s="192"/>
      <c r="R291" s="113"/>
      <c r="S291" s="116"/>
      <c r="T291" s="2"/>
    </row>
    <row r="292" spans="1:20" ht="15.6" x14ac:dyDescent="0.3">
      <c r="A292" s="122"/>
      <c r="B292" s="124" t="s">
        <v>177</v>
      </c>
      <c r="C292" s="113"/>
      <c r="D292" s="194"/>
      <c r="E292" s="194"/>
      <c r="F292" s="194"/>
      <c r="G292" s="194"/>
      <c r="H292" s="194"/>
      <c r="I292" s="194"/>
      <c r="J292" s="194"/>
      <c r="K292" s="194"/>
      <c r="L292" s="194"/>
      <c r="M292" s="194"/>
      <c r="N292" s="196">
        <f>N290+N278+N266</f>
        <v>1769</v>
      </c>
      <c r="O292" s="192"/>
      <c r="P292" s="197">
        <f>+P290+P278+P266</f>
        <v>282055</v>
      </c>
      <c r="Q292" s="192"/>
      <c r="R292" s="113"/>
      <c r="S292" s="116"/>
      <c r="T292" s="2"/>
    </row>
    <row r="293" spans="1:20" ht="15.6" x14ac:dyDescent="0.3">
      <c r="A293" s="122"/>
      <c r="B293" s="124" t="s">
        <v>217</v>
      </c>
      <c r="C293" s="124"/>
      <c r="D293" s="205"/>
      <c r="E293" s="205"/>
      <c r="F293" s="205"/>
      <c r="G293" s="205"/>
      <c r="H293" s="205"/>
      <c r="I293" s="205"/>
      <c r="J293" s="205"/>
      <c r="K293" s="205"/>
      <c r="L293" s="205"/>
      <c r="M293" s="205"/>
      <c r="N293" s="196"/>
      <c r="O293" s="206"/>
      <c r="P293" s="207">
        <f>+R179</f>
        <v>1344</v>
      </c>
      <c r="Q293" s="192"/>
      <c r="R293" s="113"/>
      <c r="S293" s="116"/>
      <c r="T293" s="2"/>
    </row>
    <row r="294" spans="1:20" ht="15.6" x14ac:dyDescent="0.3">
      <c r="A294" s="122"/>
      <c r="B294" s="124" t="s">
        <v>126</v>
      </c>
      <c r="C294" s="124"/>
      <c r="D294" s="205"/>
      <c r="E294" s="205"/>
      <c r="F294" s="205"/>
      <c r="G294" s="205"/>
      <c r="H294" s="205"/>
      <c r="I294" s="205"/>
      <c r="J294" s="205"/>
      <c r="K294" s="205"/>
      <c r="L294" s="205"/>
      <c r="M294" s="205"/>
      <c r="N294" s="196"/>
      <c r="O294" s="206"/>
      <c r="P294" s="207">
        <f>+P292+P293</f>
        <v>283399</v>
      </c>
      <c r="Q294" s="192"/>
      <c r="R294" s="113"/>
      <c r="S294" s="116"/>
      <c r="T294" s="2"/>
    </row>
    <row r="295" spans="1:20" ht="15.6" x14ac:dyDescent="0.3">
      <c r="A295" s="122"/>
      <c r="B295" s="124" t="s">
        <v>176</v>
      </c>
      <c r="C295" s="113"/>
      <c r="D295" s="194"/>
      <c r="E295" s="194"/>
      <c r="F295" s="194"/>
      <c r="G295" s="194"/>
      <c r="H295" s="194"/>
      <c r="I295" s="194"/>
      <c r="J295" s="194"/>
      <c r="K295" s="194"/>
      <c r="L295" s="194"/>
      <c r="M295" s="194"/>
      <c r="N295" s="196"/>
      <c r="O295" s="192"/>
      <c r="P295" s="197">
        <f>+R80</f>
        <v>283399</v>
      </c>
      <c r="Q295" s="192"/>
      <c r="R295" s="113"/>
      <c r="S295" s="116"/>
      <c r="T295" s="2"/>
    </row>
    <row r="296" spans="1:20" ht="15.6" x14ac:dyDescent="0.3">
      <c r="A296" s="122"/>
      <c r="B296" s="124"/>
      <c r="C296" s="113"/>
      <c r="D296" s="194"/>
      <c r="E296" s="194"/>
      <c r="F296" s="194"/>
      <c r="G296" s="194"/>
      <c r="H296" s="194"/>
      <c r="I296" s="194"/>
      <c r="J296" s="194"/>
      <c r="K296" s="194"/>
      <c r="L296" s="194"/>
      <c r="M296" s="194"/>
      <c r="N296" s="196"/>
      <c r="O296" s="192"/>
      <c r="P296" s="197"/>
      <c r="Q296" s="192"/>
      <c r="R296" s="113"/>
      <c r="S296" s="116"/>
      <c r="T296" s="2"/>
    </row>
    <row r="297" spans="1:20" ht="15.6" x14ac:dyDescent="0.3">
      <c r="A297" s="122"/>
      <c r="B297" s="124" t="s">
        <v>202</v>
      </c>
      <c r="C297" s="113"/>
      <c r="D297" s="194"/>
      <c r="E297" s="194"/>
      <c r="F297" s="194"/>
      <c r="G297" s="194"/>
      <c r="H297" s="194"/>
      <c r="I297" s="194"/>
      <c r="J297" s="194"/>
      <c r="K297" s="194"/>
      <c r="L297" s="194"/>
      <c r="M297" s="194"/>
      <c r="N297" s="196"/>
      <c r="O297" s="192"/>
      <c r="P297" s="214">
        <f>(L33+R147)/R33</f>
        <v>5.2935990485579974E-2</v>
      </c>
      <c r="Q297" s="192"/>
      <c r="R297" s="113"/>
      <c r="S297" s="116"/>
      <c r="T297" s="2"/>
    </row>
    <row r="298" spans="1:20" ht="15.6" x14ac:dyDescent="0.3">
      <c r="A298" s="83"/>
      <c r="B298" s="84"/>
      <c r="C298" s="84"/>
      <c r="D298" s="85"/>
      <c r="E298" s="85"/>
      <c r="F298" s="85"/>
      <c r="G298" s="85"/>
      <c r="H298" s="85"/>
      <c r="I298" s="85"/>
      <c r="J298" s="85"/>
      <c r="K298" s="85"/>
      <c r="L298" s="85"/>
      <c r="M298" s="85"/>
      <c r="N298" s="85"/>
      <c r="O298" s="85"/>
      <c r="P298" s="86"/>
      <c r="Q298" s="85"/>
      <c r="R298" s="84"/>
      <c r="S298" s="218"/>
      <c r="T298" s="2"/>
    </row>
    <row r="299" spans="1:20" ht="15.6" x14ac:dyDescent="0.3">
      <c r="A299" s="87"/>
      <c r="B299" s="88" t="s">
        <v>75</v>
      </c>
      <c r="C299" s="84"/>
      <c r="D299" s="89" t="s">
        <v>79</v>
      </c>
      <c r="E299" s="88"/>
      <c r="F299" s="88" t="s">
        <v>80</v>
      </c>
      <c r="G299" s="84"/>
      <c r="H299" s="88"/>
      <c r="I299" s="90"/>
      <c r="J299" s="90"/>
      <c r="K299" s="90"/>
      <c r="L299" s="90"/>
      <c r="M299" s="90"/>
      <c r="N299" s="90"/>
      <c r="O299" s="90"/>
      <c r="P299" s="90"/>
      <c r="Q299" s="90"/>
      <c r="R299" s="90"/>
      <c r="S299" s="229"/>
      <c r="T299" s="2"/>
    </row>
    <row r="300" spans="1:20" ht="15.6" x14ac:dyDescent="0.3">
      <c r="A300" s="87"/>
      <c r="B300" s="90"/>
      <c r="C300" s="84"/>
      <c r="D300" s="84"/>
      <c r="E300" s="84"/>
      <c r="F300" s="84"/>
      <c r="G300" s="84"/>
      <c r="H300" s="84"/>
      <c r="I300" s="90"/>
      <c r="J300" s="90"/>
      <c r="K300" s="90"/>
      <c r="L300" s="90"/>
      <c r="M300" s="90"/>
      <c r="N300" s="90"/>
      <c r="O300" s="90"/>
      <c r="P300" s="90"/>
      <c r="Q300" s="90"/>
      <c r="R300" s="90"/>
      <c r="S300" s="229"/>
      <c r="T300" s="2"/>
    </row>
    <row r="301" spans="1:20" ht="15.6" x14ac:dyDescent="0.3">
      <c r="A301" s="87"/>
      <c r="B301" s="213" t="s">
        <v>192</v>
      </c>
      <c r="C301" s="88"/>
      <c r="D301" s="91" t="s">
        <v>115</v>
      </c>
      <c r="E301" s="88"/>
      <c r="F301" s="88" t="s">
        <v>116</v>
      </c>
      <c r="G301" s="88"/>
      <c r="H301" s="88"/>
      <c r="I301" s="90"/>
      <c r="J301" s="90"/>
      <c r="K301" s="90"/>
      <c r="L301" s="90"/>
      <c r="M301" s="90"/>
      <c r="N301" s="90"/>
      <c r="O301" s="90"/>
      <c r="P301" s="90"/>
      <c r="Q301" s="90"/>
      <c r="R301" s="90"/>
      <c r="S301" s="229"/>
      <c r="T301" s="2"/>
    </row>
    <row r="302" spans="1:20" ht="15.6" x14ac:dyDescent="0.3">
      <c r="A302" s="87"/>
      <c r="B302" s="213" t="s">
        <v>193</v>
      </c>
      <c r="C302" s="88"/>
      <c r="D302" s="91" t="s">
        <v>147</v>
      </c>
      <c r="E302" s="88"/>
      <c r="F302" s="88" t="s">
        <v>148</v>
      </c>
      <c r="G302" s="88"/>
      <c r="H302" s="88"/>
      <c r="I302" s="90"/>
      <c r="J302" s="90"/>
      <c r="K302" s="90"/>
      <c r="L302" s="90"/>
      <c r="M302" s="90"/>
      <c r="N302" s="90"/>
      <c r="O302" s="90"/>
      <c r="P302" s="90"/>
      <c r="Q302" s="90"/>
      <c r="R302" s="90"/>
      <c r="S302" s="229"/>
      <c r="T302" s="2"/>
    </row>
    <row r="303" spans="1:20" ht="15.6" x14ac:dyDescent="0.3">
      <c r="A303" s="87"/>
      <c r="B303" s="213" t="s">
        <v>194</v>
      </c>
      <c r="C303" s="88"/>
      <c r="D303" s="91" t="s">
        <v>114</v>
      </c>
      <c r="E303" s="88"/>
      <c r="F303" s="88" t="s">
        <v>117</v>
      </c>
      <c r="G303" s="88"/>
      <c r="H303" s="88"/>
      <c r="I303" s="90"/>
      <c r="J303" s="90"/>
      <c r="K303" s="90"/>
      <c r="L303" s="90"/>
      <c r="M303" s="90"/>
      <c r="N303" s="90"/>
      <c r="O303" s="90"/>
      <c r="P303" s="90"/>
      <c r="Q303" s="90"/>
      <c r="R303" s="90"/>
      <c r="S303" s="229"/>
      <c r="T303" s="2"/>
    </row>
    <row r="304" spans="1:20" ht="15.6" x14ac:dyDescent="0.3">
      <c r="A304" s="87"/>
      <c r="B304" s="88"/>
      <c r="C304" s="88"/>
      <c r="D304" s="90"/>
      <c r="E304" s="90"/>
      <c r="F304" s="90"/>
      <c r="G304" s="90"/>
      <c r="H304" s="90"/>
      <c r="I304" s="90"/>
      <c r="J304" s="90"/>
      <c r="K304" s="90"/>
      <c r="L304" s="90"/>
      <c r="M304" s="90"/>
      <c r="N304" s="90"/>
      <c r="O304" s="90"/>
      <c r="P304" s="90"/>
      <c r="Q304" s="90"/>
      <c r="R304" s="90"/>
      <c r="S304" s="229"/>
      <c r="T304" s="2"/>
    </row>
    <row r="305" spans="1:20" ht="15.6" x14ac:dyDescent="0.3">
      <c r="A305" s="87"/>
      <c r="B305" s="88"/>
      <c r="C305" s="88"/>
      <c r="D305" s="90"/>
      <c r="E305" s="90"/>
      <c r="F305" s="90"/>
      <c r="G305" s="90"/>
      <c r="H305" s="90"/>
      <c r="I305" s="90"/>
      <c r="J305" s="90"/>
      <c r="K305" s="90"/>
      <c r="L305" s="90"/>
      <c r="M305" s="90"/>
      <c r="N305" s="90"/>
      <c r="O305" s="90"/>
      <c r="P305" s="90"/>
      <c r="Q305" s="90"/>
      <c r="R305" s="90"/>
      <c r="S305" s="229"/>
      <c r="T305" s="2"/>
    </row>
    <row r="306" spans="1:20" ht="18" thickBot="1" x14ac:dyDescent="0.35">
      <c r="A306" s="87"/>
      <c r="B306" s="92" t="str">
        <f>B204</f>
        <v>PM22 INVESTOR REPORT QUARTER ENDING MAY 2016</v>
      </c>
      <c r="C306" s="88"/>
      <c r="D306" s="90"/>
      <c r="E306" s="90"/>
      <c r="F306" s="90"/>
      <c r="G306" s="90"/>
      <c r="H306" s="90"/>
      <c r="I306" s="90"/>
      <c r="J306" s="90"/>
      <c r="K306" s="90"/>
      <c r="L306" s="90"/>
      <c r="M306" s="90"/>
      <c r="N306" s="90"/>
      <c r="O306" s="90"/>
      <c r="P306" s="90"/>
      <c r="Q306" s="90"/>
      <c r="R306" s="90"/>
      <c r="S306" s="99"/>
      <c r="T306" s="2"/>
    </row>
    <row r="307" spans="1:20" x14ac:dyDescent="0.25">
      <c r="A307" s="3"/>
      <c r="B307" s="3"/>
      <c r="C307" s="3"/>
      <c r="D307" s="3"/>
      <c r="E307" s="3"/>
      <c r="F307" s="3"/>
      <c r="G307" s="3"/>
      <c r="H307" s="3"/>
      <c r="I307" s="3"/>
      <c r="J307" s="3"/>
      <c r="K307" s="3"/>
      <c r="L307" s="3"/>
      <c r="M307" s="3"/>
      <c r="N307" s="3"/>
      <c r="O307" s="3"/>
      <c r="P307" s="3"/>
      <c r="Q307" s="3"/>
      <c r="R307" s="3"/>
      <c r="S307" s="3"/>
    </row>
  </sheetData>
  <hyperlinks>
    <hyperlink ref="N242"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4" max="18" man="1"/>
  </rowBreaks>
  <colBreaks count="1" manualBreakCount="1">
    <brk id="19" max="299" man="1"/>
  </col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R308"/>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221</v>
      </c>
      <c r="C1" s="11"/>
      <c r="D1" s="11"/>
      <c r="E1" s="11"/>
      <c r="F1" s="11"/>
      <c r="G1" s="11"/>
      <c r="H1" s="11"/>
      <c r="I1" s="11"/>
      <c r="J1" s="11"/>
      <c r="K1" s="11"/>
      <c r="L1" s="11"/>
      <c r="M1" s="11"/>
      <c r="N1" s="11"/>
      <c r="O1" s="11"/>
      <c r="P1" s="11"/>
      <c r="Q1" s="11"/>
      <c r="R1" s="11"/>
      <c r="S1" s="216"/>
      <c r="T1" s="2"/>
    </row>
    <row r="2" spans="1:20" ht="15.6" x14ac:dyDescent="0.3">
      <c r="A2" s="12"/>
      <c r="B2" s="13"/>
      <c r="C2" s="14"/>
      <c r="D2" s="14"/>
      <c r="E2" s="14"/>
      <c r="F2" s="14"/>
      <c r="G2" s="14"/>
      <c r="H2" s="14"/>
      <c r="I2" s="14"/>
      <c r="J2" s="14"/>
      <c r="K2" s="14"/>
      <c r="L2" s="14"/>
      <c r="M2" s="14"/>
      <c r="N2" s="14"/>
      <c r="O2" s="14"/>
      <c r="P2" s="14"/>
      <c r="Q2" s="14"/>
      <c r="R2" s="14"/>
      <c r="S2" s="217"/>
      <c r="T2" s="2"/>
    </row>
    <row r="3" spans="1:20" ht="15.6" x14ac:dyDescent="0.3">
      <c r="A3" s="15"/>
      <c r="B3" s="16" t="s">
        <v>222</v>
      </c>
      <c r="C3" s="14"/>
      <c r="D3" s="14"/>
      <c r="E3" s="14"/>
      <c r="F3" s="14"/>
      <c r="G3" s="14"/>
      <c r="H3" s="14"/>
      <c r="I3" s="14"/>
      <c r="J3" s="14"/>
      <c r="K3" s="14"/>
      <c r="L3" s="14"/>
      <c r="M3" s="14"/>
      <c r="N3" s="14"/>
      <c r="O3" s="14"/>
      <c r="P3" s="14"/>
      <c r="Q3" s="14"/>
      <c r="R3" s="14"/>
      <c r="S3" s="217"/>
      <c r="T3" s="2"/>
    </row>
    <row r="4" spans="1:20" ht="15.6" x14ac:dyDescent="0.3">
      <c r="A4" s="12"/>
      <c r="B4" s="13"/>
      <c r="C4" s="14"/>
      <c r="D4" s="14"/>
      <c r="E4" s="14"/>
      <c r="F4" s="14"/>
      <c r="G4" s="14"/>
      <c r="H4" s="14"/>
      <c r="I4" s="14"/>
      <c r="J4" s="14"/>
      <c r="K4" s="14"/>
      <c r="L4" s="14"/>
      <c r="M4" s="14"/>
      <c r="N4" s="14"/>
      <c r="O4" s="14"/>
      <c r="P4" s="14"/>
      <c r="Q4" s="14"/>
      <c r="R4" s="14"/>
      <c r="S4" s="217"/>
      <c r="T4" s="2"/>
    </row>
    <row r="5" spans="1:20" ht="15.6" x14ac:dyDescent="0.3">
      <c r="A5" s="12"/>
      <c r="B5" s="102" t="s">
        <v>109</v>
      </c>
      <c r="C5" s="14"/>
      <c r="D5" s="14"/>
      <c r="E5" s="14"/>
      <c r="F5" s="14"/>
      <c r="G5" s="14"/>
      <c r="H5" s="14"/>
      <c r="I5" s="14"/>
      <c r="J5" s="14"/>
      <c r="K5" s="14"/>
      <c r="L5" s="14"/>
      <c r="M5" s="14"/>
      <c r="N5" s="14"/>
      <c r="O5" s="14"/>
      <c r="P5" s="14"/>
      <c r="Q5" s="14"/>
      <c r="R5" s="14"/>
      <c r="S5" s="217"/>
      <c r="T5" s="2"/>
    </row>
    <row r="6" spans="1:20" ht="15.6" x14ac:dyDescent="0.3">
      <c r="A6" s="12"/>
      <c r="B6" s="102" t="s">
        <v>111</v>
      </c>
      <c r="C6" s="14"/>
      <c r="D6" s="14"/>
      <c r="E6" s="14"/>
      <c r="F6" s="14"/>
      <c r="G6" s="14"/>
      <c r="H6" s="14"/>
      <c r="I6" s="14"/>
      <c r="J6" s="14"/>
      <c r="K6" s="14"/>
      <c r="L6" s="14"/>
      <c r="M6" s="14"/>
      <c r="N6" s="14"/>
      <c r="O6" s="14"/>
      <c r="P6" s="14"/>
      <c r="Q6" s="14"/>
      <c r="R6" s="14"/>
      <c r="S6" s="217"/>
      <c r="T6" s="2"/>
    </row>
    <row r="7" spans="1:20" ht="15.6" x14ac:dyDescent="0.3">
      <c r="A7" s="12"/>
      <c r="B7" s="102" t="s">
        <v>110</v>
      </c>
      <c r="C7" s="14"/>
      <c r="D7" s="14"/>
      <c r="E7" s="14"/>
      <c r="F7" s="14"/>
      <c r="G7" s="14"/>
      <c r="H7" s="14"/>
      <c r="I7" s="14"/>
      <c r="J7" s="14"/>
      <c r="K7" s="14"/>
      <c r="L7" s="14"/>
      <c r="M7" s="14"/>
      <c r="N7" s="14"/>
      <c r="O7" s="14"/>
      <c r="P7" s="14"/>
      <c r="Q7" s="14"/>
      <c r="R7" s="14"/>
      <c r="S7" s="217"/>
      <c r="T7" s="2"/>
    </row>
    <row r="8" spans="1:20" ht="15.6" x14ac:dyDescent="0.3">
      <c r="A8" s="12"/>
      <c r="B8" s="17"/>
      <c r="C8" s="14"/>
      <c r="D8" s="14"/>
      <c r="E8" s="14"/>
      <c r="F8" s="14"/>
      <c r="G8" s="14"/>
      <c r="H8" s="14"/>
      <c r="I8" s="14"/>
      <c r="J8" s="14"/>
      <c r="K8" s="14"/>
      <c r="L8" s="14"/>
      <c r="M8" s="14"/>
      <c r="N8" s="14"/>
      <c r="O8" s="14"/>
      <c r="P8" s="14"/>
      <c r="Q8" s="14"/>
      <c r="R8" s="14"/>
      <c r="S8" s="217"/>
      <c r="T8" s="2"/>
    </row>
    <row r="9" spans="1:20" ht="17.399999999999999" x14ac:dyDescent="0.3">
      <c r="A9" s="12"/>
      <c r="B9" s="18" t="s">
        <v>127</v>
      </c>
      <c r="C9" s="14"/>
      <c r="D9" s="14"/>
      <c r="E9" s="19"/>
      <c r="F9" s="14"/>
      <c r="G9" s="14"/>
      <c r="H9" s="19"/>
      <c r="I9" s="14"/>
      <c r="J9" s="19"/>
      <c r="K9" s="19" t="s">
        <v>128</v>
      </c>
      <c r="L9" s="19"/>
      <c r="M9" s="14"/>
      <c r="N9" s="14"/>
      <c r="O9" s="14"/>
      <c r="P9" s="14"/>
      <c r="Q9" s="14"/>
      <c r="R9" s="14"/>
      <c r="S9" s="217"/>
      <c r="T9" s="2"/>
    </row>
    <row r="10" spans="1:20" ht="15.6" x14ac:dyDescent="0.3">
      <c r="A10" s="12"/>
      <c r="B10" s="17"/>
      <c r="C10" s="20"/>
      <c r="D10" s="14"/>
      <c r="E10" s="14"/>
      <c r="F10" s="14"/>
      <c r="G10" s="14"/>
      <c r="H10" s="14"/>
      <c r="I10" s="14"/>
      <c r="J10" s="14"/>
      <c r="K10" s="14"/>
      <c r="L10" s="14"/>
      <c r="M10" s="14"/>
      <c r="N10" s="14"/>
      <c r="O10" s="14"/>
      <c r="P10" s="14"/>
      <c r="Q10" s="14"/>
      <c r="R10" s="14"/>
      <c r="S10" s="217"/>
      <c r="T10" s="2"/>
    </row>
    <row r="11" spans="1:20" ht="15.6" x14ac:dyDescent="0.3">
      <c r="A11" s="12"/>
      <c r="B11" s="88" t="s">
        <v>0</v>
      </c>
      <c r="C11" s="14"/>
      <c r="D11" s="14"/>
      <c r="E11" s="14"/>
      <c r="F11" s="14"/>
      <c r="G11" s="14"/>
      <c r="H11" s="14"/>
      <c r="I11" s="14"/>
      <c r="J11" s="14"/>
      <c r="K11" s="14"/>
      <c r="L11" s="14"/>
      <c r="M11" s="14"/>
      <c r="N11" s="14"/>
      <c r="O11" s="14"/>
      <c r="P11" s="14"/>
      <c r="Q11" s="14"/>
      <c r="R11" s="14"/>
      <c r="S11" s="217"/>
      <c r="T11" s="2"/>
    </row>
    <row r="12" spans="1:20" ht="16.2" thickBot="1" x14ac:dyDescent="0.35">
      <c r="A12" s="12"/>
      <c r="B12" s="20"/>
      <c r="C12" s="14"/>
      <c r="D12" s="14"/>
      <c r="E12" s="14"/>
      <c r="F12" s="14"/>
      <c r="G12" s="14"/>
      <c r="H12" s="14"/>
      <c r="I12" s="14"/>
      <c r="J12" s="14"/>
      <c r="K12" s="14"/>
      <c r="L12" s="14"/>
      <c r="M12" s="14"/>
      <c r="N12" s="14"/>
      <c r="O12" s="14"/>
      <c r="P12" s="14"/>
      <c r="Q12" s="14"/>
      <c r="R12" s="14"/>
      <c r="S12" s="217"/>
      <c r="T12" s="2"/>
    </row>
    <row r="13" spans="1:20" ht="15.6" x14ac:dyDescent="0.3">
      <c r="A13" s="10"/>
      <c r="B13" s="11"/>
      <c r="C13" s="11"/>
      <c r="D13" s="11"/>
      <c r="E13" s="11"/>
      <c r="F13" s="11"/>
      <c r="G13" s="11"/>
      <c r="H13" s="11"/>
      <c r="I13" s="11"/>
      <c r="J13" s="11"/>
      <c r="K13" s="11"/>
      <c r="L13" s="11"/>
      <c r="M13" s="11"/>
      <c r="N13" s="11"/>
      <c r="O13" s="11"/>
      <c r="P13" s="11"/>
      <c r="Q13" s="11"/>
      <c r="R13" s="11"/>
      <c r="S13" s="216"/>
      <c r="T13" s="2"/>
    </row>
    <row r="14" spans="1:20" ht="15.6" x14ac:dyDescent="0.3">
      <c r="A14" s="12"/>
      <c r="B14" s="88" t="s">
        <v>1</v>
      </c>
      <c r="C14" s="84"/>
      <c r="D14" s="84"/>
      <c r="E14" s="84"/>
      <c r="F14" s="84"/>
      <c r="G14" s="84"/>
      <c r="H14" s="84"/>
      <c r="I14" s="84"/>
      <c r="J14" s="84"/>
      <c r="K14" s="84"/>
      <c r="L14" s="84"/>
      <c r="M14" s="84"/>
      <c r="N14" s="84"/>
      <c r="O14" s="84"/>
      <c r="P14" s="84"/>
      <c r="Q14" s="84"/>
      <c r="R14" s="103" t="s">
        <v>223</v>
      </c>
      <c r="S14" s="218"/>
      <c r="T14" s="2"/>
    </row>
    <row r="15" spans="1:20" ht="15.6" x14ac:dyDescent="0.3">
      <c r="A15" s="12"/>
      <c r="B15" s="88" t="s">
        <v>2</v>
      </c>
      <c r="C15" s="84"/>
      <c r="D15" s="104"/>
      <c r="E15" s="104"/>
      <c r="F15" s="104"/>
      <c r="G15" s="104"/>
      <c r="H15" s="104"/>
      <c r="I15" s="104"/>
      <c r="J15" s="104"/>
      <c r="K15" s="104"/>
      <c r="L15" s="104"/>
      <c r="M15" s="104"/>
      <c r="N15" s="105"/>
      <c r="O15" s="105"/>
      <c r="P15" s="105" t="s">
        <v>154</v>
      </c>
      <c r="Q15" s="105">
        <v>1</v>
      </c>
      <c r="R15" s="103"/>
      <c r="S15" s="218"/>
      <c r="T15" s="2"/>
    </row>
    <row r="16" spans="1:20" ht="15.6" x14ac:dyDescent="0.3">
      <c r="A16" s="12"/>
      <c r="B16" s="88" t="s">
        <v>3</v>
      </c>
      <c r="C16" s="84"/>
      <c r="D16" s="104"/>
      <c r="E16" s="104"/>
      <c r="F16" s="104"/>
      <c r="G16" s="104"/>
      <c r="H16" s="104"/>
      <c r="I16" s="104"/>
      <c r="J16" s="104"/>
      <c r="K16" s="104"/>
      <c r="L16" s="104"/>
      <c r="M16" s="104"/>
      <c r="N16" s="105"/>
      <c r="O16" s="230"/>
      <c r="P16" s="105" t="s">
        <v>154</v>
      </c>
      <c r="Q16" s="230">
        <v>1</v>
      </c>
      <c r="R16" s="103"/>
      <c r="S16" s="218"/>
      <c r="T16" s="2"/>
    </row>
    <row r="17" spans="1:23" ht="15.6" x14ac:dyDescent="0.3">
      <c r="A17" s="12"/>
      <c r="B17" s="88" t="s">
        <v>4</v>
      </c>
      <c r="C17" s="84"/>
      <c r="D17" s="84"/>
      <c r="E17" s="84"/>
      <c r="F17" s="84"/>
      <c r="G17" s="84"/>
      <c r="H17" s="84"/>
      <c r="I17" s="84"/>
      <c r="J17" s="84"/>
      <c r="K17" s="84"/>
      <c r="L17" s="84"/>
      <c r="M17" s="84"/>
      <c r="N17" s="84"/>
      <c r="O17" s="84"/>
      <c r="P17" s="84"/>
      <c r="Q17" s="84"/>
      <c r="R17" s="106">
        <v>42088</v>
      </c>
      <c r="S17" s="218"/>
      <c r="T17" s="2"/>
    </row>
    <row r="18" spans="1:23" ht="15.6" x14ac:dyDescent="0.3">
      <c r="A18" s="12"/>
      <c r="B18" s="88" t="s">
        <v>5</v>
      </c>
      <c r="C18" s="84"/>
      <c r="D18" s="84"/>
      <c r="E18" s="84"/>
      <c r="F18" s="84"/>
      <c r="G18" s="84"/>
      <c r="H18" s="84"/>
      <c r="I18" s="84"/>
      <c r="J18" s="84"/>
      <c r="K18" s="84"/>
      <c r="L18" s="84"/>
      <c r="M18" s="84"/>
      <c r="N18" s="84"/>
      <c r="O18" s="84"/>
      <c r="P18" s="84"/>
      <c r="Q18" s="84"/>
      <c r="R18" s="215">
        <v>42633</v>
      </c>
      <c r="S18" s="218"/>
      <c r="T18" s="2"/>
    </row>
    <row r="19" spans="1:23" ht="15.6" x14ac:dyDescent="0.3">
      <c r="A19" s="12"/>
      <c r="B19" s="14"/>
      <c r="C19" s="14"/>
      <c r="D19" s="14"/>
      <c r="E19" s="14"/>
      <c r="F19" s="14"/>
      <c r="G19" s="14"/>
      <c r="H19" s="14"/>
      <c r="I19" s="14"/>
      <c r="J19" s="14"/>
      <c r="K19" s="14"/>
      <c r="L19" s="14"/>
      <c r="M19" s="14"/>
      <c r="N19" s="14"/>
      <c r="O19" s="14"/>
      <c r="P19" s="14"/>
      <c r="Q19" s="14"/>
      <c r="R19" s="21"/>
      <c r="S19" s="217"/>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7"/>
      <c r="T20" s="2"/>
    </row>
    <row r="21" spans="1:23" ht="15.6" x14ac:dyDescent="0.3">
      <c r="A21" s="12"/>
      <c r="B21" s="14"/>
      <c r="C21" s="14"/>
      <c r="D21" s="14"/>
      <c r="E21" s="14"/>
      <c r="F21" s="14"/>
      <c r="G21" s="14"/>
      <c r="H21" s="14"/>
      <c r="I21" s="14"/>
      <c r="J21" s="14"/>
      <c r="K21" s="14"/>
      <c r="L21" s="14"/>
      <c r="M21" s="14"/>
      <c r="N21" s="14"/>
      <c r="O21" s="14"/>
      <c r="P21" s="14"/>
      <c r="Q21" s="14"/>
      <c r="R21" s="23"/>
      <c r="S21" s="217"/>
      <c r="T21" s="2"/>
    </row>
    <row r="22" spans="1:23" ht="15.6" x14ac:dyDescent="0.3">
      <c r="A22" s="53"/>
      <c r="B22" s="54"/>
      <c r="C22" s="55"/>
      <c r="D22" s="55" t="s">
        <v>232</v>
      </c>
      <c r="E22" s="55"/>
      <c r="F22" s="55" t="s">
        <v>233</v>
      </c>
      <c r="G22" s="55"/>
      <c r="H22" s="55" t="s">
        <v>179</v>
      </c>
      <c r="I22" s="55"/>
      <c r="J22" s="55" t="s">
        <v>180</v>
      </c>
      <c r="K22" s="55"/>
      <c r="L22" s="55" t="s">
        <v>234</v>
      </c>
      <c r="M22" s="55"/>
      <c r="N22" s="55"/>
      <c r="O22" s="56"/>
      <c r="P22" s="57"/>
      <c r="Q22" s="58"/>
      <c r="R22" s="58"/>
      <c r="S22" s="219"/>
      <c r="T22" s="2"/>
    </row>
    <row r="23" spans="1:23" ht="15.6" x14ac:dyDescent="0.3">
      <c r="A23" s="24"/>
      <c r="B23" s="79" t="s">
        <v>226</v>
      </c>
      <c r="C23" s="109"/>
      <c r="D23" s="109" t="s">
        <v>112</v>
      </c>
      <c r="E23" s="109"/>
      <c r="F23" s="109" t="s">
        <v>112</v>
      </c>
      <c r="G23" s="109"/>
      <c r="H23" s="109" t="s">
        <v>178</v>
      </c>
      <c r="I23" s="109"/>
      <c r="J23" s="109" t="s">
        <v>249</v>
      </c>
      <c r="K23" s="109"/>
      <c r="L23" s="109" t="s">
        <v>153</v>
      </c>
      <c r="M23" s="109"/>
      <c r="N23" s="109"/>
      <c r="O23" s="109"/>
      <c r="P23" s="109"/>
      <c r="Q23" s="100"/>
      <c r="R23" s="100"/>
      <c r="S23" s="220"/>
      <c r="T23" s="2"/>
    </row>
    <row r="24" spans="1:23" ht="15.6" x14ac:dyDescent="0.3">
      <c r="A24" s="117"/>
      <c r="B24" s="113" t="s">
        <v>197</v>
      </c>
      <c r="C24" s="119"/>
      <c r="D24" s="114" t="s">
        <v>199</v>
      </c>
      <c r="E24" s="114"/>
      <c r="F24" s="114" t="s">
        <v>199</v>
      </c>
      <c r="G24" s="114"/>
      <c r="H24" s="114" t="s">
        <v>200</v>
      </c>
      <c r="I24" s="114"/>
      <c r="J24" s="114" t="s">
        <v>201</v>
      </c>
      <c r="K24" s="114"/>
      <c r="L24" s="114" t="s">
        <v>153</v>
      </c>
      <c r="M24" s="114"/>
      <c r="N24" s="114"/>
      <c r="O24" s="119"/>
      <c r="P24" s="114"/>
      <c r="Q24" s="115"/>
      <c r="R24" s="115"/>
      <c r="S24" s="116"/>
      <c r="T24" s="2"/>
    </row>
    <row r="25" spans="1:23" ht="15.6" x14ac:dyDescent="0.3">
      <c r="A25" s="120"/>
      <c r="B25" s="124" t="s">
        <v>227</v>
      </c>
      <c r="C25" s="119"/>
      <c r="D25" s="119" t="s">
        <v>112</v>
      </c>
      <c r="E25" s="119"/>
      <c r="F25" s="119" t="s">
        <v>112</v>
      </c>
      <c r="G25" s="119"/>
      <c r="H25" s="119" t="s">
        <v>178</v>
      </c>
      <c r="I25" s="119"/>
      <c r="J25" s="119" t="s">
        <v>249</v>
      </c>
      <c r="K25" s="119"/>
      <c r="L25" s="119" t="s">
        <v>153</v>
      </c>
      <c r="M25" s="119"/>
      <c r="N25" s="119"/>
      <c r="O25" s="119"/>
      <c r="P25" s="114"/>
      <c r="Q25" s="115"/>
      <c r="R25" s="115"/>
      <c r="S25" s="116"/>
      <c r="T25" s="2"/>
      <c r="U25" s="211"/>
      <c r="W25" s="212"/>
    </row>
    <row r="26" spans="1:23" ht="15.6" x14ac:dyDescent="0.3">
      <c r="A26" s="122"/>
      <c r="B26" s="124" t="s">
        <v>198</v>
      </c>
      <c r="C26" s="114"/>
      <c r="D26" s="119" t="s">
        <v>199</v>
      </c>
      <c r="E26" s="119"/>
      <c r="F26" s="119" t="s">
        <v>199</v>
      </c>
      <c r="G26" s="119"/>
      <c r="H26" s="119" t="s">
        <v>200</v>
      </c>
      <c r="I26" s="119"/>
      <c r="J26" s="119" t="s">
        <v>201</v>
      </c>
      <c r="K26" s="119"/>
      <c r="L26" s="119" t="s">
        <v>153</v>
      </c>
      <c r="M26" s="119"/>
      <c r="N26" s="119"/>
      <c r="O26" s="114"/>
      <c r="P26" s="123"/>
      <c r="Q26" s="115"/>
      <c r="R26" s="115"/>
      <c r="S26" s="116"/>
      <c r="T26" s="2"/>
      <c r="U26" s="211"/>
      <c r="W26" s="212"/>
    </row>
    <row r="27" spans="1:23" ht="15.6" x14ac:dyDescent="0.3">
      <c r="A27" s="122"/>
      <c r="B27" s="113" t="s">
        <v>7</v>
      </c>
      <c r="C27" s="125"/>
      <c r="D27" s="114" t="s">
        <v>228</v>
      </c>
      <c r="E27" s="114"/>
      <c r="F27" s="114" t="s">
        <v>242</v>
      </c>
      <c r="G27" s="114"/>
      <c r="H27" s="114" t="s">
        <v>243</v>
      </c>
      <c r="I27" s="114"/>
      <c r="J27" s="114" t="s">
        <v>244</v>
      </c>
      <c r="K27" s="114"/>
      <c r="L27" s="114" t="s">
        <v>245</v>
      </c>
      <c r="M27" s="114"/>
      <c r="N27" s="114"/>
      <c r="O27" s="126"/>
      <c r="P27" s="126"/>
      <c r="Q27" s="127"/>
      <c r="R27" s="126"/>
      <c r="S27" s="128"/>
      <c r="T27" s="2"/>
      <c r="U27" s="211"/>
      <c r="W27" s="212"/>
    </row>
    <row r="28" spans="1:23" ht="15.6" x14ac:dyDescent="0.3">
      <c r="A28" s="120"/>
      <c r="B28" s="113" t="s">
        <v>106</v>
      </c>
      <c r="C28" s="129"/>
      <c r="D28" s="235">
        <v>164000</v>
      </c>
      <c r="E28" s="130"/>
      <c r="F28" s="201">
        <v>151700</v>
      </c>
      <c r="G28" s="198"/>
      <c r="H28" s="201">
        <v>12000</v>
      </c>
      <c r="I28" s="198"/>
      <c r="J28" s="201">
        <v>12000</v>
      </c>
      <c r="K28" s="126"/>
      <c r="L28" s="201">
        <v>7500</v>
      </c>
      <c r="M28" s="126"/>
      <c r="N28" s="130"/>
      <c r="O28" s="131"/>
      <c r="P28" s="131"/>
      <c r="Q28" s="132"/>
      <c r="R28" s="126"/>
      <c r="S28" s="128"/>
      <c r="T28" s="2"/>
    </row>
    <row r="29" spans="1:23" ht="15.6" x14ac:dyDescent="0.3">
      <c r="A29" s="122"/>
      <c r="B29" s="113" t="s">
        <v>105</v>
      </c>
      <c r="C29" s="125"/>
      <c r="D29" s="235">
        <f>D28*D35</f>
        <v>153854.8616</v>
      </c>
      <c r="E29" s="130"/>
      <c r="F29" s="201">
        <f>F28*F35</f>
        <v>142315.74698</v>
      </c>
      <c r="G29" s="201"/>
      <c r="H29" s="201">
        <f>H28</f>
        <v>12000</v>
      </c>
      <c r="I29" s="201"/>
      <c r="J29" s="201">
        <f>J28</f>
        <v>12000</v>
      </c>
      <c r="K29" s="126"/>
      <c r="L29" s="201">
        <f>L28</f>
        <v>7500</v>
      </c>
      <c r="M29" s="126"/>
      <c r="N29" s="130"/>
      <c r="O29" s="126"/>
      <c r="P29" s="126"/>
      <c r="Q29" s="127"/>
      <c r="R29" s="126"/>
      <c r="S29" s="128"/>
      <c r="T29" s="2"/>
    </row>
    <row r="30" spans="1:23" ht="15.6" x14ac:dyDescent="0.3">
      <c r="A30" s="122"/>
      <c r="B30" s="121" t="s">
        <v>107</v>
      </c>
      <c r="C30" s="125"/>
      <c r="D30" s="236">
        <f>D28*D34</f>
        <v>150830.66880000001</v>
      </c>
      <c r="E30" s="202"/>
      <c r="F30" s="202">
        <f t="shared" ref="F30" si="0">F28*F34</f>
        <v>139518.36864</v>
      </c>
      <c r="G30" s="202"/>
      <c r="H30" s="202">
        <f t="shared" ref="H30" si="1">H28*H34</f>
        <v>12000</v>
      </c>
      <c r="I30" s="202"/>
      <c r="J30" s="202">
        <f t="shared" ref="J30" si="2">J28*J34</f>
        <v>12000</v>
      </c>
      <c r="K30" s="202"/>
      <c r="L30" s="202">
        <f t="shared" ref="L30" si="3">L28*L34</f>
        <v>7500</v>
      </c>
      <c r="M30" s="131"/>
      <c r="N30" s="133"/>
      <c r="O30" s="126"/>
      <c r="P30" s="126"/>
      <c r="Q30" s="127"/>
      <c r="R30" s="203"/>
      <c r="S30" s="128"/>
      <c r="T30" s="2"/>
    </row>
    <row r="31" spans="1:23" ht="15.6" x14ac:dyDescent="0.3">
      <c r="A31" s="122"/>
      <c r="B31" s="113" t="s">
        <v>229</v>
      </c>
      <c r="C31" s="125"/>
      <c r="D31" s="201">
        <v>116809</v>
      </c>
      <c r="E31" s="201"/>
      <c r="F31" s="201">
        <v>151700</v>
      </c>
      <c r="G31" s="201"/>
      <c r="H31" s="201">
        <v>12000</v>
      </c>
      <c r="I31" s="201"/>
      <c r="J31" s="201">
        <v>12000</v>
      </c>
      <c r="K31" s="201"/>
      <c r="L31" s="201">
        <v>7500</v>
      </c>
      <c r="M31" s="126"/>
      <c r="N31" s="133"/>
      <c r="O31" s="126"/>
      <c r="P31" s="126"/>
      <c r="Q31" s="127"/>
      <c r="R31" s="126">
        <f>SUM(D31:L31)</f>
        <v>300009</v>
      </c>
      <c r="S31" s="128"/>
      <c r="T31" s="2"/>
    </row>
    <row r="32" spans="1:23" ht="15.6" x14ac:dyDescent="0.3">
      <c r="A32" s="122"/>
      <c r="B32" s="113" t="s">
        <v>230</v>
      </c>
      <c r="C32" s="125"/>
      <c r="D32" s="201">
        <f>D31*D35</f>
        <v>109583.12517459999</v>
      </c>
      <c r="E32" s="201"/>
      <c r="F32" s="201">
        <f>F31*F35</f>
        <v>142315.74698</v>
      </c>
      <c r="G32" s="201"/>
      <c r="H32" s="201">
        <f>H31</f>
        <v>12000</v>
      </c>
      <c r="I32" s="201"/>
      <c r="J32" s="201">
        <f>+J31</f>
        <v>12000</v>
      </c>
      <c r="K32" s="201"/>
      <c r="L32" s="201">
        <f>L31</f>
        <v>7500</v>
      </c>
      <c r="M32" s="126"/>
      <c r="N32" s="133"/>
      <c r="O32" s="126"/>
      <c r="P32" s="126"/>
      <c r="Q32" s="127"/>
      <c r="R32" s="126">
        <f>SUM(D32:L32)</f>
        <v>283398.87215459999</v>
      </c>
      <c r="S32" s="128"/>
      <c r="T32" s="2"/>
    </row>
    <row r="33" spans="1:20" ht="15.6" x14ac:dyDescent="0.3">
      <c r="A33" s="122"/>
      <c r="B33" s="124" t="s">
        <v>231</v>
      </c>
      <c r="C33" s="125"/>
      <c r="D33" s="237">
        <f>D31*D34</f>
        <v>107429.1438528</v>
      </c>
      <c r="E33" s="237"/>
      <c r="F33" s="237">
        <f>F31*F34</f>
        <v>139518.36864</v>
      </c>
      <c r="G33" s="237"/>
      <c r="H33" s="237">
        <f t="shared" ref="H33:L33" si="4">H31*H34</f>
        <v>12000</v>
      </c>
      <c r="I33" s="237"/>
      <c r="J33" s="237">
        <f t="shared" si="4"/>
        <v>12000</v>
      </c>
      <c r="K33" s="237"/>
      <c r="L33" s="237">
        <f t="shared" si="4"/>
        <v>7500</v>
      </c>
      <c r="M33" s="131"/>
      <c r="N33" s="133"/>
      <c r="O33" s="126"/>
      <c r="P33" s="126"/>
      <c r="Q33" s="127"/>
      <c r="R33" s="203">
        <f>SUM(D33:L33)</f>
        <v>278447.51249280002</v>
      </c>
      <c r="S33" s="128"/>
      <c r="T33" s="2"/>
    </row>
    <row r="34" spans="1:20" ht="15.6" x14ac:dyDescent="0.3">
      <c r="A34" s="112"/>
      <c r="B34" s="134" t="s">
        <v>103</v>
      </c>
      <c r="C34" s="135"/>
      <c r="D34" s="136">
        <v>0.91969920000000005</v>
      </c>
      <c r="E34" s="136"/>
      <c r="F34" s="136">
        <v>0.91969920000000005</v>
      </c>
      <c r="G34" s="136"/>
      <c r="H34" s="136">
        <v>1</v>
      </c>
      <c r="I34" s="136"/>
      <c r="J34" s="136">
        <v>1</v>
      </c>
      <c r="K34" s="136"/>
      <c r="L34" s="136">
        <v>1</v>
      </c>
      <c r="M34" s="136"/>
      <c r="N34" s="136"/>
      <c r="O34" s="137"/>
      <c r="P34" s="137"/>
      <c r="Q34" s="138"/>
      <c r="R34" s="204"/>
      <c r="S34" s="139"/>
      <c r="T34" s="2"/>
    </row>
    <row r="35" spans="1:20" ht="15.6" x14ac:dyDescent="0.3">
      <c r="A35" s="112"/>
      <c r="B35" s="134" t="s">
        <v>104</v>
      </c>
      <c r="C35" s="135"/>
      <c r="D35" s="136">
        <v>0.93813939999999996</v>
      </c>
      <c r="E35" s="136"/>
      <c r="F35" s="136">
        <v>0.93813939999999996</v>
      </c>
      <c r="G35" s="136"/>
      <c r="H35" s="136">
        <v>1</v>
      </c>
      <c r="I35" s="136"/>
      <c r="J35" s="136">
        <v>1</v>
      </c>
      <c r="K35" s="136"/>
      <c r="L35" s="136">
        <v>1</v>
      </c>
      <c r="M35" s="136"/>
      <c r="N35" s="136"/>
      <c r="O35" s="140"/>
      <c r="P35" s="141"/>
      <c r="Q35" s="138"/>
      <c r="R35" s="140"/>
      <c r="S35" s="139"/>
      <c r="T35" s="2"/>
    </row>
    <row r="36" spans="1:20" ht="15.6" x14ac:dyDescent="0.3">
      <c r="A36" s="112"/>
      <c r="B36" s="113" t="s">
        <v>8</v>
      </c>
      <c r="C36" s="113"/>
      <c r="D36" s="123" t="s">
        <v>240</v>
      </c>
      <c r="E36" s="123"/>
      <c r="F36" s="123" t="s">
        <v>220</v>
      </c>
      <c r="G36" s="123"/>
      <c r="H36" s="123" t="s">
        <v>247</v>
      </c>
      <c r="I36" s="123"/>
      <c r="J36" s="123" t="s">
        <v>250</v>
      </c>
      <c r="K36" s="123"/>
      <c r="L36" s="123" t="s">
        <v>252</v>
      </c>
      <c r="M36" s="123"/>
      <c r="N36" s="123"/>
      <c r="O36" s="142"/>
      <c r="P36" s="143"/>
      <c r="Q36" s="115"/>
      <c r="R36" s="115"/>
      <c r="S36" s="116"/>
      <c r="T36" s="2"/>
    </row>
    <row r="37" spans="1:20" ht="15.6" x14ac:dyDescent="0.3">
      <c r="A37" s="112"/>
      <c r="B37" s="113" t="s">
        <v>9</v>
      </c>
      <c r="C37" s="144"/>
      <c r="D37" s="143">
        <v>2.3700000000000001E-3</v>
      </c>
      <c r="E37" s="143"/>
      <c r="F37" s="143">
        <v>1.37188E-2</v>
      </c>
      <c r="G37" s="143"/>
      <c r="H37" s="143">
        <v>1.9218800000000001E-2</v>
      </c>
      <c r="I37" s="143"/>
      <c r="J37" s="143">
        <v>2.22188E-2</v>
      </c>
      <c r="K37" s="143"/>
      <c r="L37" s="143">
        <v>2.57188E-2</v>
      </c>
      <c r="M37" s="142"/>
      <c r="N37" s="143"/>
      <c r="O37" s="123"/>
      <c r="P37" s="123"/>
      <c r="Q37" s="115"/>
      <c r="R37" s="142"/>
      <c r="S37" s="116"/>
      <c r="T37" s="2"/>
    </row>
    <row r="38" spans="1:20" ht="15.6" x14ac:dyDescent="0.3">
      <c r="A38" s="112"/>
      <c r="B38" s="113" t="s">
        <v>10</v>
      </c>
      <c r="C38" s="144"/>
      <c r="D38" s="143">
        <v>2.7499999999999998E-3</v>
      </c>
      <c r="E38" s="143"/>
      <c r="F38" s="143">
        <v>1.39125E-2</v>
      </c>
      <c r="G38" s="143"/>
      <c r="H38" s="143">
        <v>1.9412499999999999E-2</v>
      </c>
      <c r="I38" s="143"/>
      <c r="J38" s="143">
        <v>2.2412499999999998E-2</v>
      </c>
      <c r="K38" s="143"/>
      <c r="L38" s="143">
        <v>2.5912500000000002E-2</v>
      </c>
      <c r="M38" s="142"/>
      <c r="N38" s="143"/>
      <c r="O38" s="123"/>
      <c r="P38" s="123"/>
      <c r="Q38" s="115"/>
      <c r="R38" s="115"/>
      <c r="S38" s="116"/>
      <c r="T38" s="2"/>
    </row>
    <row r="39" spans="1:20" ht="15.6" x14ac:dyDescent="0.3">
      <c r="A39" s="112"/>
      <c r="B39" s="113" t="s">
        <v>235</v>
      </c>
      <c r="C39" s="144"/>
      <c r="D39" s="240" t="s">
        <v>260</v>
      </c>
      <c r="E39" s="143"/>
      <c r="F39" s="143" t="s">
        <v>220</v>
      </c>
      <c r="G39" s="143"/>
      <c r="H39" s="143" t="s">
        <v>247</v>
      </c>
      <c r="I39" s="143"/>
      <c r="J39" s="123" t="s">
        <v>250</v>
      </c>
      <c r="K39" s="143"/>
      <c r="L39" s="143" t="s">
        <v>252</v>
      </c>
      <c r="M39" s="142"/>
      <c r="N39" s="143"/>
      <c r="O39" s="123"/>
      <c r="P39" s="123"/>
      <c r="Q39" s="115"/>
      <c r="R39" s="115"/>
      <c r="S39" s="116"/>
      <c r="T39" s="2"/>
    </row>
    <row r="40" spans="1:20" ht="15.6" x14ac:dyDescent="0.3">
      <c r="A40" s="112"/>
      <c r="B40" s="113" t="s">
        <v>236</v>
      </c>
      <c r="C40" s="144"/>
      <c r="D40" s="143">
        <v>1.6118799999999999E-2</v>
      </c>
      <c r="E40" s="143"/>
      <c r="F40" s="143">
        <f>+F37</f>
        <v>1.37188E-2</v>
      </c>
      <c r="G40" s="143"/>
      <c r="H40" s="143">
        <f>+H37</f>
        <v>1.9218800000000001E-2</v>
      </c>
      <c r="I40" s="143"/>
      <c r="J40" s="143">
        <f>+J37</f>
        <v>2.22188E-2</v>
      </c>
      <c r="K40" s="143"/>
      <c r="L40" s="143">
        <f>+L37</f>
        <v>2.57188E-2</v>
      </c>
      <c r="M40" s="142"/>
      <c r="N40" s="143"/>
      <c r="O40" s="123"/>
      <c r="P40" s="123"/>
      <c r="Q40" s="115"/>
      <c r="R40" s="142">
        <f>SUMPRODUCT(D40:L40,D32:L32)/R32</f>
        <v>1.5557196520275577E-2</v>
      </c>
      <c r="S40" s="116"/>
      <c r="T40" s="2"/>
    </row>
    <row r="41" spans="1:20" ht="15.6" x14ac:dyDescent="0.3">
      <c r="A41" s="112"/>
      <c r="B41" s="113" t="s">
        <v>237</v>
      </c>
      <c r="C41" s="144"/>
      <c r="D41" s="143">
        <v>1.6312500000000001E-2</v>
      </c>
      <c r="E41" s="143"/>
      <c r="F41" s="143">
        <f>+F38</f>
        <v>1.39125E-2</v>
      </c>
      <c r="G41" s="143"/>
      <c r="H41" s="143">
        <f>+H38</f>
        <v>1.9412499999999999E-2</v>
      </c>
      <c r="I41" s="143"/>
      <c r="J41" s="143">
        <f>+J38</f>
        <v>2.2412499999999998E-2</v>
      </c>
      <c r="K41" s="143"/>
      <c r="L41" s="143">
        <f>+L38</f>
        <v>2.5912500000000002E-2</v>
      </c>
      <c r="M41" s="142"/>
      <c r="N41" s="143"/>
      <c r="O41" s="123"/>
      <c r="P41" s="123"/>
      <c r="Q41" s="115"/>
      <c r="R41" s="115"/>
      <c r="S41" s="116"/>
      <c r="T41" s="2"/>
    </row>
    <row r="42" spans="1:20" ht="15.6" x14ac:dyDescent="0.3">
      <c r="A42" s="112"/>
      <c r="B42" s="113" t="s">
        <v>238</v>
      </c>
      <c r="C42" s="113"/>
      <c r="D42" s="144">
        <v>43631</v>
      </c>
      <c r="E42" s="144"/>
      <c r="F42" s="144">
        <v>43631</v>
      </c>
      <c r="G42" s="144"/>
      <c r="H42" s="144">
        <v>43631</v>
      </c>
      <c r="I42" s="144"/>
      <c r="J42" s="144">
        <v>43631</v>
      </c>
      <c r="K42" s="144"/>
      <c r="L42" s="144">
        <v>43631</v>
      </c>
      <c r="M42" s="144"/>
      <c r="N42" s="144"/>
      <c r="O42" s="123"/>
      <c r="P42" s="123"/>
      <c r="Q42" s="115"/>
      <c r="R42" s="115"/>
      <c r="S42" s="116"/>
      <c r="T42" s="2"/>
    </row>
    <row r="43" spans="1:20" ht="15.6" x14ac:dyDescent="0.3">
      <c r="A43" s="112"/>
      <c r="B43" s="113" t="s">
        <v>11</v>
      </c>
      <c r="C43" s="113"/>
      <c r="D43" s="144">
        <v>43631</v>
      </c>
      <c r="E43" s="144"/>
      <c r="F43" s="144">
        <v>43631</v>
      </c>
      <c r="G43" s="123"/>
      <c r="H43" s="144">
        <v>43631</v>
      </c>
      <c r="I43" s="123"/>
      <c r="J43" s="144">
        <v>43631</v>
      </c>
      <c r="K43" s="123"/>
      <c r="L43" s="144" t="s">
        <v>97</v>
      </c>
      <c r="M43" s="123"/>
      <c r="N43" s="144"/>
      <c r="O43" s="123"/>
      <c r="P43" s="123"/>
      <c r="Q43" s="115"/>
      <c r="R43" s="115"/>
      <c r="S43" s="116"/>
      <c r="T43" s="2"/>
    </row>
    <row r="44" spans="1:20" ht="15.6" x14ac:dyDescent="0.3">
      <c r="A44" s="112"/>
      <c r="B44" s="113" t="s">
        <v>98</v>
      </c>
      <c r="C44" s="113"/>
      <c r="D44" s="123" t="s">
        <v>241</v>
      </c>
      <c r="E44" s="123"/>
      <c r="F44" s="123" t="s">
        <v>246</v>
      </c>
      <c r="G44" s="123"/>
      <c r="H44" s="123" t="s">
        <v>248</v>
      </c>
      <c r="I44" s="123"/>
      <c r="J44" s="123" t="s">
        <v>251</v>
      </c>
      <c r="K44" s="123"/>
      <c r="L44" s="123" t="s">
        <v>97</v>
      </c>
      <c r="M44" s="123"/>
      <c r="N44" s="123"/>
      <c r="O44" s="145"/>
      <c r="P44" s="145"/>
      <c r="Q44" s="145"/>
      <c r="R44" s="145"/>
      <c r="S44" s="116"/>
      <c r="T44" s="2"/>
    </row>
    <row r="45" spans="1:20" ht="15.6" x14ac:dyDescent="0.3">
      <c r="A45" s="112"/>
      <c r="B45" s="113" t="s">
        <v>239</v>
      </c>
      <c r="C45" s="113"/>
      <c r="D45" s="123" t="s">
        <v>273</v>
      </c>
      <c r="E45" s="123"/>
      <c r="F45" s="123" t="s">
        <v>246</v>
      </c>
      <c r="G45" s="123"/>
      <c r="H45" s="123" t="s">
        <v>248</v>
      </c>
      <c r="I45" s="123"/>
      <c r="J45" s="123" t="s">
        <v>251</v>
      </c>
      <c r="K45" s="123"/>
      <c r="L45" s="123" t="s">
        <v>97</v>
      </c>
      <c r="M45" s="123"/>
      <c r="N45" s="123"/>
      <c r="O45" s="145"/>
      <c r="P45" s="145"/>
      <c r="Q45" s="145"/>
      <c r="R45" s="145"/>
      <c r="S45" s="116"/>
      <c r="T45" s="2"/>
    </row>
    <row r="46" spans="1:20" ht="15.6" x14ac:dyDescent="0.3">
      <c r="A46" s="112"/>
      <c r="B46" s="113"/>
      <c r="C46" s="113"/>
      <c r="D46" s="123"/>
      <c r="E46" s="123"/>
      <c r="F46" s="123"/>
      <c r="G46" s="123"/>
      <c r="H46" s="123"/>
      <c r="I46" s="123"/>
      <c r="J46" s="123"/>
      <c r="K46" s="123"/>
      <c r="L46" s="123"/>
      <c r="M46" s="123"/>
      <c r="N46" s="123"/>
      <c r="O46" s="113"/>
      <c r="P46" s="113"/>
      <c r="Q46" s="113"/>
      <c r="R46" s="142" t="s">
        <v>130</v>
      </c>
      <c r="S46" s="116"/>
      <c r="T46" s="2"/>
    </row>
    <row r="47" spans="1:20" ht="15.6" x14ac:dyDescent="0.3">
      <c r="A47" s="112"/>
      <c r="B47" s="113" t="s">
        <v>253</v>
      </c>
      <c r="C47" s="113"/>
      <c r="D47" s="123"/>
      <c r="E47" s="123"/>
      <c r="F47" s="123"/>
      <c r="G47" s="123"/>
      <c r="H47" s="123"/>
      <c r="I47" s="123"/>
      <c r="J47" s="123"/>
      <c r="K47" s="123"/>
      <c r="L47" s="123"/>
      <c r="M47" s="123"/>
      <c r="N47" s="123"/>
      <c r="O47" s="113"/>
      <c r="P47" s="113"/>
      <c r="Q47" s="113"/>
      <c r="R47" s="238">
        <f>SUM(H31:L31)/(D31+F31)</f>
        <v>0.11731450342446621</v>
      </c>
      <c r="S47" s="116"/>
      <c r="T47" s="2"/>
    </row>
    <row r="48" spans="1:20" ht="15.6" x14ac:dyDescent="0.3">
      <c r="A48" s="112"/>
      <c r="B48" s="113" t="s">
        <v>254</v>
      </c>
      <c r="C48" s="113"/>
      <c r="D48" s="113"/>
      <c r="E48" s="113"/>
      <c r="F48" s="113"/>
      <c r="G48" s="113"/>
      <c r="H48" s="113"/>
      <c r="I48" s="113"/>
      <c r="J48" s="113"/>
      <c r="K48" s="113"/>
      <c r="L48" s="113"/>
      <c r="M48" s="113"/>
      <c r="N48" s="113"/>
      <c r="O48" s="113"/>
      <c r="P48" s="113"/>
      <c r="Q48" s="113"/>
      <c r="R48" s="238">
        <f>SUM(H33:L33)/(D33+F33)</f>
        <v>0.12755747033863485</v>
      </c>
      <c r="S48" s="116"/>
      <c r="T48" s="2"/>
    </row>
    <row r="49" spans="1:21" ht="15.6" x14ac:dyDescent="0.3">
      <c r="A49" s="112"/>
      <c r="B49" s="113" t="s">
        <v>255</v>
      </c>
      <c r="C49" s="113"/>
      <c r="D49" s="113"/>
      <c r="E49" s="113"/>
      <c r="F49" s="113"/>
      <c r="G49" s="113"/>
      <c r="H49" s="113"/>
      <c r="I49" s="113"/>
      <c r="J49" s="113"/>
      <c r="K49" s="113"/>
      <c r="L49" s="113"/>
      <c r="M49" s="113"/>
      <c r="N49" s="113"/>
      <c r="O49" s="113"/>
      <c r="P49" s="123"/>
      <c r="Q49" s="123"/>
      <c r="R49" s="126" t="s">
        <v>149</v>
      </c>
      <c r="S49" s="116"/>
      <c r="T49" s="2"/>
    </row>
    <row r="50" spans="1:21" ht="15.6" x14ac:dyDescent="0.3">
      <c r="A50" s="112"/>
      <c r="B50" s="113"/>
      <c r="C50" s="113"/>
      <c r="D50" s="113"/>
      <c r="E50" s="113"/>
      <c r="F50" s="113"/>
      <c r="G50" s="113"/>
      <c r="H50" s="113"/>
      <c r="I50" s="113"/>
      <c r="J50" s="113"/>
      <c r="K50" s="113"/>
      <c r="L50" s="113"/>
      <c r="M50" s="113"/>
      <c r="N50" s="113"/>
      <c r="O50" s="113"/>
      <c r="P50" s="113"/>
      <c r="Q50" s="113"/>
      <c r="R50" s="146"/>
      <c r="S50" s="116"/>
      <c r="T50" s="2"/>
    </row>
    <row r="51" spans="1:21" ht="15.6" x14ac:dyDescent="0.3">
      <c r="A51" s="112"/>
      <c r="B51" s="113" t="s">
        <v>225</v>
      </c>
      <c r="C51" s="113"/>
      <c r="D51" s="113"/>
      <c r="E51" s="113"/>
      <c r="F51" s="113"/>
      <c r="G51" s="113"/>
      <c r="H51" s="113"/>
      <c r="I51" s="113"/>
      <c r="J51" s="113"/>
      <c r="K51" s="113"/>
      <c r="L51" s="113"/>
      <c r="M51" s="113"/>
      <c r="N51" s="113"/>
      <c r="O51" s="113"/>
      <c r="P51" s="113"/>
      <c r="Q51" s="113"/>
      <c r="R51" s="147" t="s">
        <v>91</v>
      </c>
      <c r="S51" s="116"/>
      <c r="T51" s="2"/>
    </row>
    <row r="52" spans="1:21" ht="15.6" x14ac:dyDescent="0.3">
      <c r="A52" s="112"/>
      <c r="B52" s="121" t="s">
        <v>131</v>
      </c>
      <c r="C52" s="121"/>
      <c r="D52" s="121"/>
      <c r="E52" s="121"/>
      <c r="F52" s="121"/>
      <c r="G52" s="121"/>
      <c r="H52" s="121"/>
      <c r="I52" s="121"/>
      <c r="J52" s="121"/>
      <c r="K52" s="121"/>
      <c r="L52" s="121"/>
      <c r="M52" s="121"/>
      <c r="N52" s="121"/>
      <c r="O52" s="121"/>
      <c r="P52" s="148"/>
      <c r="Q52" s="148"/>
      <c r="R52" s="149">
        <v>42628</v>
      </c>
      <c r="S52" s="116"/>
      <c r="T52" s="2"/>
    </row>
    <row r="53" spans="1:21" ht="15.6" x14ac:dyDescent="0.3">
      <c r="A53" s="112"/>
      <c r="B53" s="113" t="s">
        <v>99</v>
      </c>
      <c r="C53" s="113"/>
      <c r="D53" s="150"/>
      <c r="E53" s="150"/>
      <c r="F53" s="150"/>
      <c r="G53" s="150"/>
      <c r="H53" s="150"/>
      <c r="I53" s="150"/>
      <c r="J53" s="150"/>
      <c r="K53" s="150"/>
      <c r="L53" s="150"/>
      <c r="M53" s="150"/>
      <c r="N53" s="113">
        <f>+R53-P53+1</f>
        <v>92</v>
      </c>
      <c r="O53" s="113"/>
      <c r="P53" s="151">
        <v>42444</v>
      </c>
      <c r="Q53" s="152"/>
      <c r="R53" s="151">
        <v>42535</v>
      </c>
      <c r="S53" s="116"/>
      <c r="T53" s="2"/>
    </row>
    <row r="54" spans="1:21" ht="15.6" x14ac:dyDescent="0.3">
      <c r="A54" s="112"/>
      <c r="B54" s="113" t="s">
        <v>100</v>
      </c>
      <c r="C54" s="113"/>
      <c r="D54" s="113"/>
      <c r="E54" s="113"/>
      <c r="F54" s="113"/>
      <c r="G54" s="113"/>
      <c r="H54" s="113"/>
      <c r="I54" s="113"/>
      <c r="J54" s="113"/>
      <c r="K54" s="113"/>
      <c r="L54" s="113"/>
      <c r="M54" s="113"/>
      <c r="N54" s="113">
        <f>+R54-P54+1</f>
        <v>92</v>
      </c>
      <c r="O54" s="113"/>
      <c r="P54" s="151">
        <v>42536</v>
      </c>
      <c r="Q54" s="152"/>
      <c r="R54" s="151">
        <v>42627</v>
      </c>
      <c r="S54" s="116"/>
      <c r="T54" s="2"/>
    </row>
    <row r="55" spans="1:21" ht="15.6" x14ac:dyDescent="0.3">
      <c r="A55" s="112"/>
      <c r="B55" s="113" t="s">
        <v>261</v>
      </c>
      <c r="C55" s="113"/>
      <c r="D55" s="113"/>
      <c r="E55" s="113"/>
      <c r="F55" s="113"/>
      <c r="G55" s="113"/>
      <c r="H55" s="113"/>
      <c r="I55" s="113"/>
      <c r="J55" s="113"/>
      <c r="K55" s="113"/>
      <c r="L55" s="113"/>
      <c r="M55" s="113"/>
      <c r="N55" s="113"/>
      <c r="O55" s="113"/>
      <c r="P55" s="151"/>
      <c r="Q55" s="152"/>
      <c r="R55" s="151" t="s">
        <v>263</v>
      </c>
      <c r="S55" s="116"/>
      <c r="T55" s="2"/>
    </row>
    <row r="56" spans="1:21" ht="15.6" x14ac:dyDescent="0.3">
      <c r="A56" s="112"/>
      <c r="B56" s="113" t="s">
        <v>262</v>
      </c>
      <c r="C56" s="113"/>
      <c r="D56" s="113"/>
      <c r="E56" s="113"/>
      <c r="F56" s="113"/>
      <c r="G56" s="113"/>
      <c r="H56" s="113"/>
      <c r="I56" s="113"/>
      <c r="J56" s="113"/>
      <c r="K56" s="113"/>
      <c r="L56" s="113"/>
      <c r="M56" s="113"/>
      <c r="N56" s="113"/>
      <c r="O56" s="113"/>
      <c r="P56" s="151"/>
      <c r="Q56" s="152"/>
      <c r="R56" s="151" t="s">
        <v>118</v>
      </c>
      <c r="S56" s="116"/>
      <c r="T56" s="2"/>
      <c r="U56" s="5"/>
    </row>
    <row r="57" spans="1:21" ht="15.6" x14ac:dyDescent="0.3">
      <c r="A57" s="112"/>
      <c r="B57" s="113" t="s">
        <v>12</v>
      </c>
      <c r="C57" s="113"/>
      <c r="D57" s="113"/>
      <c r="E57" s="113"/>
      <c r="F57" s="113"/>
      <c r="G57" s="113"/>
      <c r="H57" s="113"/>
      <c r="I57" s="113"/>
      <c r="J57" s="113"/>
      <c r="K57" s="113"/>
      <c r="L57" s="113"/>
      <c r="M57" s="113"/>
      <c r="N57" s="113"/>
      <c r="O57" s="113"/>
      <c r="P57" s="151"/>
      <c r="Q57" s="152"/>
      <c r="R57" s="239">
        <v>42614</v>
      </c>
      <c r="S57" s="116"/>
      <c r="T57" s="2"/>
    </row>
    <row r="58" spans="1:21" ht="15.6" x14ac:dyDescent="0.3">
      <c r="A58" s="12"/>
      <c r="B58" s="43"/>
      <c r="C58" s="43"/>
      <c r="D58" s="43"/>
      <c r="E58" s="43"/>
      <c r="F58" s="43"/>
      <c r="G58" s="43"/>
      <c r="H58" s="43"/>
      <c r="I58" s="43"/>
      <c r="J58" s="43"/>
      <c r="K58" s="43"/>
      <c r="L58" s="43"/>
      <c r="M58" s="43"/>
      <c r="N58" s="43"/>
      <c r="O58" s="43"/>
      <c r="P58" s="110"/>
      <c r="Q58" s="111"/>
      <c r="R58" s="110"/>
      <c r="S58" s="217"/>
      <c r="T58" s="2"/>
    </row>
    <row r="59" spans="1:21" ht="15.6" x14ac:dyDescent="0.3">
      <c r="A59" s="12"/>
      <c r="B59" s="14"/>
      <c r="C59" s="14"/>
      <c r="D59" s="14"/>
      <c r="E59" s="14"/>
      <c r="F59" s="14"/>
      <c r="G59" s="14"/>
      <c r="H59" s="14"/>
      <c r="I59" s="14"/>
      <c r="J59" s="14"/>
      <c r="K59" s="14"/>
      <c r="L59" s="14"/>
      <c r="M59" s="14"/>
      <c r="N59" s="14"/>
      <c r="O59" s="14"/>
      <c r="P59" s="26"/>
      <c r="Q59" s="27"/>
      <c r="R59" s="26"/>
      <c r="S59" s="217"/>
      <c r="T59" s="2"/>
    </row>
    <row r="60" spans="1:21" ht="18" thickBot="1" x14ac:dyDescent="0.35">
      <c r="A60" s="28"/>
      <c r="B60" s="97" t="s">
        <v>282</v>
      </c>
      <c r="C60" s="29"/>
      <c r="D60" s="29"/>
      <c r="E60" s="29"/>
      <c r="F60" s="29"/>
      <c r="G60" s="29"/>
      <c r="H60" s="29"/>
      <c r="I60" s="29"/>
      <c r="J60" s="29"/>
      <c r="K60" s="29"/>
      <c r="L60" s="29"/>
      <c r="M60" s="29"/>
      <c r="N60" s="29"/>
      <c r="O60" s="29"/>
      <c r="P60" s="29"/>
      <c r="Q60" s="29"/>
      <c r="R60" s="30"/>
      <c r="S60" s="31"/>
      <c r="T60" s="2"/>
    </row>
    <row r="61" spans="1:21" ht="15.6" x14ac:dyDescent="0.3">
      <c r="A61" s="53"/>
      <c r="B61" s="59" t="s">
        <v>13</v>
      </c>
      <c r="C61" s="54"/>
      <c r="D61" s="54"/>
      <c r="E61" s="54"/>
      <c r="F61" s="54"/>
      <c r="G61" s="54"/>
      <c r="H61" s="54"/>
      <c r="I61" s="54"/>
      <c r="J61" s="54"/>
      <c r="K61" s="54"/>
      <c r="L61" s="54"/>
      <c r="M61" s="54"/>
      <c r="N61" s="54"/>
      <c r="O61" s="54"/>
      <c r="P61" s="54"/>
      <c r="Q61" s="54"/>
      <c r="R61" s="60"/>
      <c r="S61" s="54"/>
      <c r="T61" s="2"/>
    </row>
    <row r="62" spans="1:21" ht="15.6" x14ac:dyDescent="0.3">
      <c r="A62" s="12"/>
      <c r="B62" s="20"/>
      <c r="C62" s="14"/>
      <c r="D62" s="14"/>
      <c r="E62" s="14"/>
      <c r="F62" s="14"/>
      <c r="G62" s="14"/>
      <c r="H62" s="14"/>
      <c r="I62" s="14"/>
      <c r="J62" s="14"/>
      <c r="K62" s="14"/>
      <c r="L62" s="14"/>
      <c r="M62" s="14"/>
      <c r="N62" s="14"/>
      <c r="O62" s="14"/>
      <c r="P62" s="14"/>
      <c r="Q62" s="14"/>
      <c r="R62" s="33"/>
      <c r="S62" s="217"/>
      <c r="T62" s="2"/>
    </row>
    <row r="63" spans="1:21" ht="46.8" x14ac:dyDescent="0.3">
      <c r="A63" s="12"/>
      <c r="B63" s="34" t="s">
        <v>14</v>
      </c>
      <c r="C63" s="35"/>
      <c r="D63" s="35"/>
      <c r="E63" s="35"/>
      <c r="F63" s="35" t="s">
        <v>76</v>
      </c>
      <c r="G63" s="35"/>
      <c r="H63" s="35" t="s">
        <v>78</v>
      </c>
      <c r="I63" s="35"/>
      <c r="J63" s="35" t="s">
        <v>162</v>
      </c>
      <c r="K63" s="35"/>
      <c r="L63" s="35" t="s">
        <v>163</v>
      </c>
      <c r="M63" s="35"/>
      <c r="N63" s="35" t="s">
        <v>81</v>
      </c>
      <c r="O63" s="35"/>
      <c r="P63" s="35" t="s">
        <v>86</v>
      </c>
      <c r="Q63" s="35"/>
      <c r="R63" s="36" t="s">
        <v>92</v>
      </c>
      <c r="S63" s="221"/>
      <c r="T63" s="2"/>
    </row>
    <row r="64" spans="1:21" ht="15.6" x14ac:dyDescent="0.3">
      <c r="A64" s="112"/>
      <c r="B64" s="113" t="s">
        <v>15</v>
      </c>
      <c r="C64" s="155"/>
      <c r="D64" s="155"/>
      <c r="E64" s="155"/>
      <c r="F64" s="155">
        <v>244234</v>
      </c>
      <c r="G64" s="155"/>
      <c r="H64" s="156">
        <v>282055</v>
      </c>
      <c r="I64" s="155"/>
      <c r="J64" s="156">
        <v>207</v>
      </c>
      <c r="K64" s="155"/>
      <c r="L64" s="155">
        <f>4562+432-207</f>
        <v>4787</v>
      </c>
      <c r="M64" s="155"/>
      <c r="N64" s="155">
        <f>178+43</f>
        <v>221</v>
      </c>
      <c r="O64" s="155"/>
      <c r="P64" s="155">
        <v>0</v>
      </c>
      <c r="Q64" s="155"/>
      <c r="R64" s="156">
        <f>H64-J64-L64+N64-P64</f>
        <v>277282</v>
      </c>
      <c r="S64" s="116"/>
      <c r="T64" s="2"/>
    </row>
    <row r="65" spans="1:20" ht="15.6" x14ac:dyDescent="0.3">
      <c r="A65" s="112"/>
      <c r="B65" s="113" t="s">
        <v>16</v>
      </c>
      <c r="C65" s="155"/>
      <c r="D65" s="155"/>
      <c r="E65" s="155"/>
      <c r="F65" s="155">
        <v>0</v>
      </c>
      <c r="G65" s="155"/>
      <c r="H65" s="156">
        <v>0</v>
      </c>
      <c r="I65" s="155"/>
      <c r="J65" s="156">
        <v>0</v>
      </c>
      <c r="K65" s="155"/>
      <c r="L65" s="155">
        <v>0</v>
      </c>
      <c r="M65" s="155"/>
      <c r="N65" s="155">
        <v>0</v>
      </c>
      <c r="O65" s="155"/>
      <c r="P65" s="155">
        <v>0</v>
      </c>
      <c r="Q65" s="155"/>
      <c r="R65" s="156">
        <f>F65-J65-L65</f>
        <v>0</v>
      </c>
      <c r="S65" s="116"/>
      <c r="T65" s="2"/>
    </row>
    <row r="66" spans="1:20" ht="15.6" x14ac:dyDescent="0.3">
      <c r="A66" s="112"/>
      <c r="B66" s="113"/>
      <c r="C66" s="155"/>
      <c r="D66" s="155"/>
      <c r="E66" s="155"/>
      <c r="F66" s="155"/>
      <c r="G66" s="155"/>
      <c r="H66" s="156"/>
      <c r="I66" s="155"/>
      <c r="J66" s="156"/>
      <c r="K66" s="155"/>
      <c r="L66" s="155"/>
      <c r="M66" s="155"/>
      <c r="N66" s="155"/>
      <c r="O66" s="155"/>
      <c r="P66" s="155"/>
      <c r="Q66" s="155"/>
      <c r="R66" s="156"/>
      <c r="S66" s="116"/>
      <c r="T66" s="2"/>
    </row>
    <row r="67" spans="1:20" ht="15.6" x14ac:dyDescent="0.3">
      <c r="A67" s="112"/>
      <c r="B67" s="113" t="s">
        <v>17</v>
      </c>
      <c r="C67" s="155"/>
      <c r="D67" s="155"/>
      <c r="E67" s="155"/>
      <c r="F67" s="155">
        <f>SUM(F64:F66)</f>
        <v>244234</v>
      </c>
      <c r="G67" s="155"/>
      <c r="H67" s="155">
        <f>H64+H65</f>
        <v>282055</v>
      </c>
      <c r="I67" s="155"/>
      <c r="J67" s="155">
        <f>J64+J65</f>
        <v>207</v>
      </c>
      <c r="K67" s="155"/>
      <c r="L67" s="155">
        <f>SUM(L64:L66)</f>
        <v>4787</v>
      </c>
      <c r="M67" s="155"/>
      <c r="N67" s="155">
        <f>SUM(N64:N66)</f>
        <v>221</v>
      </c>
      <c r="O67" s="155"/>
      <c r="P67" s="155">
        <f>SUM(P64:P66)</f>
        <v>0</v>
      </c>
      <c r="Q67" s="155"/>
      <c r="R67" s="155">
        <f>SUM(R64:R66)</f>
        <v>277282</v>
      </c>
      <c r="S67" s="116"/>
      <c r="T67" s="2"/>
    </row>
    <row r="68" spans="1:20" ht="15.6" x14ac:dyDescent="0.3">
      <c r="A68" s="12"/>
      <c r="B68" s="43"/>
      <c r="C68" s="153"/>
      <c r="D68" s="153"/>
      <c r="E68" s="153"/>
      <c r="F68" s="153"/>
      <c r="G68" s="153"/>
      <c r="H68" s="153"/>
      <c r="I68" s="153"/>
      <c r="J68" s="153"/>
      <c r="K68" s="153"/>
      <c r="L68" s="153"/>
      <c r="M68" s="153"/>
      <c r="N68" s="153"/>
      <c r="O68" s="153"/>
      <c r="P68" s="153"/>
      <c r="Q68" s="153"/>
      <c r="R68" s="154"/>
      <c r="S68" s="217"/>
      <c r="T68" s="2"/>
    </row>
    <row r="69" spans="1:20" ht="15.6" x14ac:dyDescent="0.3">
      <c r="A69" s="12"/>
      <c r="B69" s="16" t="s">
        <v>18</v>
      </c>
      <c r="C69" s="38"/>
      <c r="D69" s="38"/>
      <c r="E69" s="38"/>
      <c r="F69" s="38"/>
      <c r="G69" s="38"/>
      <c r="H69" s="38"/>
      <c r="I69" s="38"/>
      <c r="J69" s="38"/>
      <c r="K69" s="38"/>
      <c r="L69" s="38"/>
      <c r="M69" s="38"/>
      <c r="N69" s="38"/>
      <c r="O69" s="38"/>
      <c r="P69" s="38"/>
      <c r="Q69" s="38"/>
      <c r="R69" s="39"/>
      <c r="S69" s="217"/>
      <c r="T69" s="2"/>
    </row>
    <row r="70" spans="1:20" ht="15.6" x14ac:dyDescent="0.3">
      <c r="A70" s="12"/>
      <c r="B70" s="14"/>
      <c r="C70" s="38"/>
      <c r="D70" s="38"/>
      <c r="E70" s="38"/>
      <c r="F70" s="38"/>
      <c r="G70" s="38"/>
      <c r="H70" s="38"/>
      <c r="I70" s="38"/>
      <c r="J70" s="38"/>
      <c r="K70" s="38"/>
      <c r="L70" s="38"/>
      <c r="M70" s="38"/>
      <c r="N70" s="38"/>
      <c r="O70" s="38"/>
      <c r="P70" s="38"/>
      <c r="Q70" s="38"/>
      <c r="R70" s="39"/>
      <c r="S70" s="217"/>
      <c r="T70" s="2"/>
    </row>
    <row r="71" spans="1:20" ht="15.6" x14ac:dyDescent="0.3">
      <c r="A71" s="112"/>
      <c r="B71" s="113" t="s">
        <v>15</v>
      </c>
      <c r="C71" s="155"/>
      <c r="D71" s="155"/>
      <c r="E71" s="155"/>
      <c r="F71" s="155"/>
      <c r="G71" s="155"/>
      <c r="H71" s="155"/>
      <c r="I71" s="155"/>
      <c r="J71" s="155"/>
      <c r="K71" s="155"/>
      <c r="L71" s="155"/>
      <c r="M71" s="155"/>
      <c r="N71" s="155"/>
      <c r="O71" s="155"/>
      <c r="P71" s="155"/>
      <c r="Q71" s="155"/>
      <c r="R71" s="155"/>
      <c r="S71" s="116"/>
      <c r="T71" s="2"/>
    </row>
    <row r="72" spans="1:20" ht="15.6" x14ac:dyDescent="0.3">
      <c r="A72" s="112"/>
      <c r="B72" s="113" t="s">
        <v>16</v>
      </c>
      <c r="C72" s="155"/>
      <c r="D72" s="155"/>
      <c r="E72" s="155"/>
      <c r="F72" s="155"/>
      <c r="G72" s="155"/>
      <c r="H72" s="155"/>
      <c r="I72" s="155"/>
      <c r="J72" s="155"/>
      <c r="K72" s="155"/>
      <c r="L72" s="155"/>
      <c r="M72" s="155"/>
      <c r="N72" s="155"/>
      <c r="O72" s="155"/>
      <c r="P72" s="155"/>
      <c r="Q72" s="155"/>
      <c r="R72" s="155"/>
      <c r="S72" s="116"/>
      <c r="T72" s="2"/>
    </row>
    <row r="73" spans="1:20" ht="15.6" x14ac:dyDescent="0.3">
      <c r="A73" s="112"/>
      <c r="B73" s="113"/>
      <c r="C73" s="155"/>
      <c r="D73" s="155"/>
      <c r="E73" s="155"/>
      <c r="F73" s="155"/>
      <c r="G73" s="155"/>
      <c r="H73" s="155"/>
      <c r="I73" s="155"/>
      <c r="J73" s="155"/>
      <c r="K73" s="155"/>
      <c r="L73" s="155"/>
      <c r="M73" s="155"/>
      <c r="N73" s="155"/>
      <c r="O73" s="155"/>
      <c r="P73" s="155"/>
      <c r="Q73" s="155"/>
      <c r="R73" s="155"/>
      <c r="S73" s="116"/>
      <c r="T73" s="2"/>
    </row>
    <row r="74" spans="1:20" ht="15.6" x14ac:dyDescent="0.3">
      <c r="A74" s="112"/>
      <c r="B74" s="113" t="s">
        <v>17</v>
      </c>
      <c r="C74" s="155"/>
      <c r="D74" s="155"/>
      <c r="E74" s="155"/>
      <c r="F74" s="155"/>
      <c r="G74" s="155"/>
      <c r="H74" s="155"/>
      <c r="I74" s="155"/>
      <c r="J74" s="155"/>
      <c r="K74" s="155"/>
      <c r="L74" s="155"/>
      <c r="M74" s="155"/>
      <c r="N74" s="155"/>
      <c r="O74" s="155"/>
      <c r="P74" s="155"/>
      <c r="Q74" s="155"/>
      <c r="R74" s="155"/>
      <c r="S74" s="116"/>
      <c r="T74" s="2"/>
    </row>
    <row r="75" spans="1:20" ht="15.6" x14ac:dyDescent="0.3">
      <c r="A75" s="112"/>
      <c r="B75" s="113"/>
      <c r="C75" s="155"/>
      <c r="D75" s="155"/>
      <c r="E75" s="155"/>
      <c r="F75" s="155"/>
      <c r="G75" s="155"/>
      <c r="H75" s="155"/>
      <c r="I75" s="155"/>
      <c r="J75" s="155"/>
      <c r="K75" s="155"/>
      <c r="L75" s="155"/>
      <c r="M75" s="155"/>
      <c r="N75" s="155"/>
      <c r="O75" s="155"/>
      <c r="P75" s="155"/>
      <c r="Q75" s="155"/>
      <c r="R75" s="155"/>
      <c r="S75" s="116"/>
      <c r="T75" s="2"/>
    </row>
    <row r="76" spans="1:20" ht="15.6" x14ac:dyDescent="0.3">
      <c r="A76" s="112"/>
      <c r="B76" s="113" t="s">
        <v>19</v>
      </c>
      <c r="C76" s="155"/>
      <c r="D76" s="155"/>
      <c r="E76" s="155"/>
      <c r="F76" s="155">
        <v>0</v>
      </c>
      <c r="G76" s="155"/>
      <c r="H76" s="155">
        <v>0</v>
      </c>
      <c r="I76" s="155"/>
      <c r="J76" s="155"/>
      <c r="K76" s="155"/>
      <c r="L76" s="155"/>
      <c r="M76" s="155"/>
      <c r="N76" s="155"/>
      <c r="O76" s="155"/>
      <c r="P76" s="155"/>
      <c r="Q76" s="155"/>
      <c r="R76" s="156">
        <v>0</v>
      </c>
      <c r="S76" s="116"/>
      <c r="T76" s="2"/>
    </row>
    <row r="77" spans="1:20" ht="15.6" x14ac:dyDescent="0.3">
      <c r="A77" s="112"/>
      <c r="B77" s="113" t="s">
        <v>196</v>
      </c>
      <c r="C77" s="155"/>
      <c r="D77" s="155"/>
      <c r="E77" s="155"/>
      <c r="F77" s="155">
        <v>53165</v>
      </c>
      <c r="G77" s="155"/>
      <c r="H77" s="155">
        <v>0</v>
      </c>
      <c r="I77" s="155"/>
      <c r="J77" s="155">
        <v>0</v>
      </c>
      <c r="K77" s="155"/>
      <c r="L77" s="155">
        <v>0</v>
      </c>
      <c r="M77" s="155"/>
      <c r="N77" s="155"/>
      <c r="O77" s="155"/>
      <c r="P77" s="155"/>
      <c r="Q77" s="155"/>
      <c r="R77" s="155">
        <v>0</v>
      </c>
      <c r="S77" s="116"/>
      <c r="T77" s="2"/>
    </row>
    <row r="78" spans="1:20" ht="15.6" x14ac:dyDescent="0.3">
      <c r="A78" s="112"/>
      <c r="B78" s="113" t="s">
        <v>206</v>
      </c>
      <c r="C78" s="155"/>
      <c r="D78" s="155"/>
      <c r="E78" s="155"/>
      <c r="F78" s="155">
        <v>2610</v>
      </c>
      <c r="G78" s="155"/>
      <c r="H78" s="155">
        <v>1344</v>
      </c>
      <c r="I78" s="155"/>
      <c r="J78" s="155"/>
      <c r="K78" s="155"/>
      <c r="L78" s="155"/>
      <c r="M78" s="155"/>
      <c r="N78" s="155">
        <v>-178</v>
      </c>
      <c r="O78" s="155"/>
      <c r="P78" s="155"/>
      <c r="Q78" s="155"/>
      <c r="R78" s="155">
        <f>H78+N78</f>
        <v>1166</v>
      </c>
      <c r="S78" s="116"/>
      <c r="T78" s="2"/>
    </row>
    <row r="79" spans="1:20" ht="15.6" x14ac:dyDescent="0.3">
      <c r="A79" s="112"/>
      <c r="B79" s="113" t="s">
        <v>20</v>
      </c>
      <c r="C79" s="155"/>
      <c r="D79" s="155"/>
      <c r="E79" s="155"/>
      <c r="F79" s="155">
        <v>0</v>
      </c>
      <c r="G79" s="155"/>
      <c r="H79" s="155">
        <v>0</v>
      </c>
      <c r="I79" s="155"/>
      <c r="J79" s="155"/>
      <c r="K79" s="155"/>
      <c r="L79" s="155"/>
      <c r="M79" s="155"/>
      <c r="N79" s="155"/>
      <c r="O79" s="155"/>
      <c r="P79" s="155"/>
      <c r="Q79" s="155"/>
      <c r="R79" s="155">
        <v>0</v>
      </c>
      <c r="S79" s="116"/>
      <c r="T79" s="2"/>
    </row>
    <row r="80" spans="1:20" ht="15.6" x14ac:dyDescent="0.3">
      <c r="A80" s="112"/>
      <c r="B80" s="113" t="s">
        <v>21</v>
      </c>
      <c r="C80" s="155"/>
      <c r="D80" s="155"/>
      <c r="E80" s="155"/>
      <c r="F80" s="155">
        <f>SUM(F67:F79)</f>
        <v>300009</v>
      </c>
      <c r="G80" s="155"/>
      <c r="H80" s="155">
        <f>SUM(H67:H79)</f>
        <v>283399</v>
      </c>
      <c r="I80" s="155"/>
      <c r="J80" s="155"/>
      <c r="K80" s="155"/>
      <c r="L80" s="155"/>
      <c r="M80" s="155"/>
      <c r="N80" s="155"/>
      <c r="O80" s="155"/>
      <c r="P80" s="155"/>
      <c r="Q80" s="155"/>
      <c r="R80" s="155">
        <f>SUM(R67:R79)</f>
        <v>278448</v>
      </c>
      <c r="S80" s="116"/>
      <c r="T80" s="2"/>
    </row>
    <row r="81" spans="1:20" ht="15.6" x14ac:dyDescent="0.3">
      <c r="A81" s="12"/>
      <c r="B81" s="43"/>
      <c r="C81" s="153"/>
      <c r="D81" s="153"/>
      <c r="E81" s="153"/>
      <c r="F81" s="153"/>
      <c r="G81" s="153"/>
      <c r="H81" s="153"/>
      <c r="I81" s="153"/>
      <c r="J81" s="153"/>
      <c r="K81" s="153"/>
      <c r="L81" s="153"/>
      <c r="M81" s="153"/>
      <c r="N81" s="153"/>
      <c r="O81" s="153"/>
      <c r="P81" s="153"/>
      <c r="Q81" s="153"/>
      <c r="R81" s="154"/>
      <c r="S81" s="217"/>
      <c r="T81" s="2"/>
    </row>
    <row r="82" spans="1:20" ht="15.6" x14ac:dyDescent="0.3">
      <c r="A82" s="12"/>
      <c r="B82" s="14"/>
      <c r="C82" s="14"/>
      <c r="D82" s="14"/>
      <c r="E82" s="14"/>
      <c r="F82" s="14"/>
      <c r="G82" s="14"/>
      <c r="H82" s="14"/>
      <c r="I82" s="14"/>
      <c r="J82" s="14"/>
      <c r="K82" s="14"/>
      <c r="L82" s="14"/>
      <c r="M82" s="14"/>
      <c r="N82" s="14"/>
      <c r="O82" s="14"/>
      <c r="P82" s="14"/>
      <c r="Q82" s="14"/>
      <c r="R82" s="14"/>
      <c r="S82" s="217"/>
      <c r="T82" s="2"/>
    </row>
    <row r="83" spans="1:20" ht="15.6" x14ac:dyDescent="0.3">
      <c r="A83" s="53"/>
      <c r="B83" s="61" t="s">
        <v>22</v>
      </c>
      <c r="C83" s="61"/>
      <c r="D83" s="62"/>
      <c r="E83" s="62"/>
      <c r="F83" s="62"/>
      <c r="G83" s="62"/>
      <c r="H83" s="63" t="s">
        <v>77</v>
      </c>
      <c r="I83" s="62"/>
      <c r="J83" s="64">
        <f>+P206</f>
        <v>42613</v>
      </c>
      <c r="K83" s="62"/>
      <c r="L83" s="62"/>
      <c r="M83" s="62"/>
      <c r="N83" s="62"/>
      <c r="O83" s="62"/>
      <c r="P83" s="62" t="s">
        <v>87</v>
      </c>
      <c r="Q83" s="62"/>
      <c r="R83" s="62" t="s">
        <v>93</v>
      </c>
      <c r="S83" s="219"/>
      <c r="T83" s="2"/>
    </row>
    <row r="84" spans="1:20" ht="15.6" x14ac:dyDescent="0.3">
      <c r="A84" s="77"/>
      <c r="B84" s="79" t="s">
        <v>23</v>
      </c>
      <c r="C84" s="25"/>
      <c r="D84" s="25"/>
      <c r="E84" s="25"/>
      <c r="F84" s="25"/>
      <c r="G84" s="25"/>
      <c r="H84" s="25"/>
      <c r="I84" s="25"/>
      <c r="J84" s="25"/>
      <c r="K84" s="25"/>
      <c r="L84" s="25"/>
      <c r="M84" s="25"/>
      <c r="N84" s="25"/>
      <c r="O84" s="25"/>
      <c r="P84" s="78">
        <v>0</v>
      </c>
      <c r="Q84" s="79"/>
      <c r="R84" s="82">
        <v>0</v>
      </c>
      <c r="S84" s="222"/>
      <c r="T84" s="2"/>
    </row>
    <row r="85" spans="1:20" ht="15.6" x14ac:dyDescent="0.3">
      <c r="A85" s="122"/>
      <c r="B85" s="113" t="s">
        <v>218</v>
      </c>
      <c r="C85" s="135"/>
      <c r="D85" s="157"/>
      <c r="E85" s="157"/>
      <c r="F85" s="157"/>
      <c r="G85" s="158"/>
      <c r="H85" s="157"/>
      <c r="I85" s="135"/>
      <c r="J85" s="159"/>
      <c r="K85" s="135"/>
      <c r="L85" s="135"/>
      <c r="M85" s="135"/>
      <c r="N85" s="135"/>
      <c r="O85" s="135"/>
      <c r="P85" s="155">
        <f>-N78</f>
        <v>178</v>
      </c>
      <c r="Q85" s="113"/>
      <c r="R85" s="156"/>
      <c r="S85" s="139"/>
      <c r="T85" s="2"/>
    </row>
    <row r="86" spans="1:20" ht="15.6" x14ac:dyDescent="0.3">
      <c r="A86" s="122"/>
      <c r="B86" s="113" t="s">
        <v>219</v>
      </c>
      <c r="C86" s="135"/>
      <c r="D86" s="157"/>
      <c r="E86" s="157"/>
      <c r="F86" s="157"/>
      <c r="G86" s="158"/>
      <c r="H86" s="157"/>
      <c r="I86" s="135"/>
      <c r="J86" s="159"/>
      <c r="K86" s="135"/>
      <c r="L86" s="135"/>
      <c r="M86" s="135"/>
      <c r="N86" s="135"/>
      <c r="O86" s="135"/>
      <c r="P86" s="155">
        <f>-P85</f>
        <v>-178</v>
      </c>
      <c r="Q86" s="113"/>
      <c r="R86" s="156"/>
      <c r="S86" s="139"/>
      <c r="T86" s="2"/>
    </row>
    <row r="87" spans="1:20" ht="15.6" x14ac:dyDescent="0.3">
      <c r="A87" s="122"/>
      <c r="B87" s="113" t="s">
        <v>24</v>
      </c>
      <c r="C87" s="135"/>
      <c r="D87" s="157"/>
      <c r="E87" s="157"/>
      <c r="F87" s="157"/>
      <c r="G87" s="158"/>
      <c r="H87" s="157"/>
      <c r="I87" s="135"/>
      <c r="J87" s="159"/>
      <c r="K87" s="135"/>
      <c r="L87" s="135"/>
      <c r="M87" s="135"/>
      <c r="N87" s="135"/>
      <c r="O87" s="135"/>
      <c r="P87" s="155">
        <f>+J64+L64</f>
        <v>4994</v>
      </c>
      <c r="Q87" s="113"/>
      <c r="R87" s="156"/>
      <c r="S87" s="139"/>
      <c r="T87" s="2"/>
    </row>
    <row r="88" spans="1:20" ht="15.6" x14ac:dyDescent="0.3">
      <c r="A88" s="122"/>
      <c r="B88" s="113" t="s">
        <v>135</v>
      </c>
      <c r="C88" s="135"/>
      <c r="D88" s="157"/>
      <c r="E88" s="157"/>
      <c r="F88" s="157"/>
      <c r="G88" s="158"/>
      <c r="H88" s="157"/>
      <c r="I88" s="135"/>
      <c r="J88" s="159"/>
      <c r="K88" s="135"/>
      <c r="L88" s="135"/>
      <c r="M88" s="135"/>
      <c r="N88" s="135"/>
      <c r="O88" s="135"/>
      <c r="P88" s="155"/>
      <c r="Q88" s="113"/>
      <c r="R88" s="156">
        <f>3285-431</f>
        <v>2854</v>
      </c>
      <c r="S88" s="139"/>
      <c r="T88" s="2"/>
    </row>
    <row r="89" spans="1:20" ht="15.6" x14ac:dyDescent="0.3">
      <c r="A89" s="122"/>
      <c r="B89" s="113" t="s">
        <v>133</v>
      </c>
      <c r="C89" s="135"/>
      <c r="D89" s="157"/>
      <c r="E89" s="157"/>
      <c r="F89" s="157"/>
      <c r="G89" s="158"/>
      <c r="H89" s="157"/>
      <c r="I89" s="135"/>
      <c r="J89" s="159"/>
      <c r="K89" s="135"/>
      <c r="L89" s="135"/>
      <c r="M89" s="135"/>
      <c r="N89" s="135"/>
      <c r="O89" s="135"/>
      <c r="P89" s="155"/>
      <c r="Q89" s="113"/>
      <c r="R89" s="156">
        <v>70</v>
      </c>
      <c r="S89" s="139"/>
      <c r="T89" s="2"/>
    </row>
    <row r="90" spans="1:20" ht="15.6" x14ac:dyDescent="0.3">
      <c r="A90" s="122"/>
      <c r="B90" s="113" t="s">
        <v>134</v>
      </c>
      <c r="C90" s="135"/>
      <c r="D90" s="157"/>
      <c r="E90" s="157"/>
      <c r="F90" s="157"/>
      <c r="G90" s="158"/>
      <c r="H90" s="157"/>
      <c r="I90" s="135"/>
      <c r="J90" s="159"/>
      <c r="K90" s="135"/>
      <c r="L90" s="135"/>
      <c r="M90" s="135"/>
      <c r="N90" s="135"/>
      <c r="O90" s="135"/>
      <c r="P90" s="155"/>
      <c r="Q90" s="113"/>
      <c r="R90" s="156">
        <v>15</v>
      </c>
      <c r="S90" s="139"/>
      <c r="T90" s="2"/>
    </row>
    <row r="91" spans="1:20" ht="15.6" x14ac:dyDescent="0.3">
      <c r="A91" s="122"/>
      <c r="B91" s="113" t="s">
        <v>143</v>
      </c>
      <c r="C91" s="135"/>
      <c r="D91" s="157"/>
      <c r="E91" s="157"/>
      <c r="F91" s="157"/>
      <c r="G91" s="158"/>
      <c r="H91" s="157"/>
      <c r="I91" s="135"/>
      <c r="J91" s="159"/>
      <c r="K91" s="135"/>
      <c r="L91" s="135"/>
      <c r="M91" s="135"/>
      <c r="N91" s="135"/>
      <c r="O91" s="135"/>
      <c r="P91" s="155"/>
      <c r="Q91" s="113"/>
      <c r="R91" s="156">
        <v>0</v>
      </c>
      <c r="S91" s="139"/>
      <c r="T91" s="2"/>
    </row>
    <row r="92" spans="1:20" ht="15.6" x14ac:dyDescent="0.3">
      <c r="A92" s="122"/>
      <c r="B92" s="113" t="s">
        <v>145</v>
      </c>
      <c r="C92" s="135"/>
      <c r="D92" s="157"/>
      <c r="E92" s="157"/>
      <c r="F92" s="157"/>
      <c r="G92" s="158"/>
      <c r="H92" s="157"/>
      <c r="I92" s="135"/>
      <c r="J92" s="159"/>
      <c r="K92" s="135"/>
      <c r="L92" s="135"/>
      <c r="M92" s="135"/>
      <c r="N92" s="135"/>
      <c r="O92" s="135"/>
      <c r="P92" s="155"/>
      <c r="Q92" s="113"/>
      <c r="R92" s="156">
        <v>24</v>
      </c>
      <c r="S92" s="139"/>
      <c r="T92" s="2"/>
    </row>
    <row r="93" spans="1:20" ht="15.6" x14ac:dyDescent="0.3">
      <c r="A93" s="122"/>
      <c r="B93" s="113" t="s">
        <v>164</v>
      </c>
      <c r="C93" s="135"/>
      <c r="D93" s="157"/>
      <c r="E93" s="157"/>
      <c r="F93" s="157"/>
      <c r="G93" s="158"/>
      <c r="H93" s="157"/>
      <c r="I93" s="135"/>
      <c r="J93" s="159"/>
      <c r="K93" s="135"/>
      <c r="L93" s="135"/>
      <c r="M93" s="135"/>
      <c r="N93" s="135"/>
      <c r="O93" s="135"/>
      <c r="P93" s="155"/>
      <c r="Q93" s="113"/>
      <c r="R93" s="156">
        <v>0</v>
      </c>
      <c r="S93" s="139"/>
      <c r="T93" s="2"/>
    </row>
    <row r="94" spans="1:20" ht="15.6" x14ac:dyDescent="0.3">
      <c r="A94" s="122"/>
      <c r="B94" s="113" t="s">
        <v>165</v>
      </c>
      <c r="C94" s="135"/>
      <c r="D94" s="157"/>
      <c r="E94" s="157"/>
      <c r="F94" s="157"/>
      <c r="G94" s="158"/>
      <c r="H94" s="157"/>
      <c r="I94" s="135"/>
      <c r="J94" s="159"/>
      <c r="K94" s="135"/>
      <c r="L94" s="135"/>
      <c r="M94" s="135"/>
      <c r="N94" s="135"/>
      <c r="O94" s="135"/>
      <c r="P94" s="155"/>
      <c r="Q94" s="113"/>
      <c r="R94" s="156">
        <v>0</v>
      </c>
      <c r="S94" s="139"/>
      <c r="T94" s="2"/>
    </row>
    <row r="95" spans="1:20" ht="15.6" x14ac:dyDescent="0.3">
      <c r="A95" s="122"/>
      <c r="B95" s="113" t="s">
        <v>166</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c r="B96" s="113" t="s">
        <v>264</v>
      </c>
      <c r="C96" s="135"/>
      <c r="D96" s="135"/>
      <c r="E96" s="135"/>
      <c r="F96" s="135"/>
      <c r="G96" s="135"/>
      <c r="H96" s="135"/>
      <c r="I96" s="135"/>
      <c r="J96" s="135"/>
      <c r="K96" s="135"/>
      <c r="L96" s="135"/>
      <c r="M96" s="135"/>
      <c r="N96" s="135"/>
      <c r="O96" s="135"/>
      <c r="P96" s="155"/>
      <c r="Q96" s="113"/>
      <c r="R96" s="156">
        <v>550</v>
      </c>
      <c r="S96" s="139"/>
      <c r="T96" s="2"/>
    </row>
    <row r="97" spans="1:21" ht="15.6" x14ac:dyDescent="0.3">
      <c r="A97" s="122"/>
      <c r="B97" s="113" t="s">
        <v>25</v>
      </c>
      <c r="C97" s="135"/>
      <c r="D97" s="135"/>
      <c r="E97" s="135"/>
      <c r="F97" s="135"/>
      <c r="G97" s="135"/>
      <c r="H97" s="135"/>
      <c r="I97" s="135"/>
      <c r="J97" s="135"/>
      <c r="K97" s="135"/>
      <c r="L97" s="135"/>
      <c r="M97" s="135"/>
      <c r="N97" s="135"/>
      <c r="O97" s="135"/>
      <c r="P97" s="155">
        <f>SUM(P84:P96)</f>
        <v>4994</v>
      </c>
      <c r="Q97" s="113"/>
      <c r="R97" s="155">
        <f>SUM(R84:R96)</f>
        <v>3513</v>
      </c>
      <c r="S97" s="139"/>
      <c r="T97" s="2"/>
    </row>
    <row r="98" spans="1:21" ht="15.6" x14ac:dyDescent="0.3">
      <c r="A98" s="122"/>
      <c r="B98" s="113" t="s">
        <v>26</v>
      </c>
      <c r="C98" s="135"/>
      <c r="D98" s="135"/>
      <c r="E98" s="135"/>
      <c r="F98" s="135"/>
      <c r="G98" s="135"/>
      <c r="H98" s="135"/>
      <c r="I98" s="135"/>
      <c r="J98" s="135"/>
      <c r="K98" s="135"/>
      <c r="L98" s="135"/>
      <c r="M98" s="135"/>
      <c r="N98" s="135"/>
      <c r="O98" s="135"/>
      <c r="P98" s="155">
        <f>-R98</f>
        <v>0</v>
      </c>
      <c r="Q98" s="113"/>
      <c r="R98" s="156">
        <v>0</v>
      </c>
      <c r="S98" s="139"/>
      <c r="T98" s="2"/>
    </row>
    <row r="99" spans="1:21" ht="15.6" x14ac:dyDescent="0.3">
      <c r="A99" s="122"/>
      <c r="B99" s="113" t="s">
        <v>150</v>
      </c>
      <c r="C99" s="135"/>
      <c r="D99" s="135"/>
      <c r="E99" s="135"/>
      <c r="F99" s="135"/>
      <c r="G99" s="135"/>
      <c r="H99" s="135"/>
      <c r="I99" s="135"/>
      <c r="J99" s="135"/>
      <c r="K99" s="135"/>
      <c r="L99" s="135"/>
      <c r="M99" s="135"/>
      <c r="N99" s="135"/>
      <c r="O99" s="135"/>
      <c r="P99" s="155"/>
      <c r="Q99" s="113"/>
      <c r="R99" s="156">
        <v>0</v>
      </c>
      <c r="S99" s="139"/>
      <c r="T99" s="2"/>
    </row>
    <row r="100" spans="1:21" ht="15.6" x14ac:dyDescent="0.3">
      <c r="A100" s="122"/>
      <c r="B100" s="113" t="s">
        <v>27</v>
      </c>
      <c r="C100" s="135"/>
      <c r="D100" s="135"/>
      <c r="E100" s="135"/>
      <c r="F100" s="135"/>
      <c r="G100" s="135"/>
      <c r="H100" s="135"/>
      <c r="I100" s="135"/>
      <c r="J100" s="135"/>
      <c r="K100" s="135"/>
      <c r="L100" s="135"/>
      <c r="M100" s="135"/>
      <c r="N100" s="135"/>
      <c r="O100" s="135"/>
      <c r="P100" s="155">
        <f>P97+P98</f>
        <v>4994</v>
      </c>
      <c r="Q100" s="113"/>
      <c r="R100" s="155">
        <f>R97+R98+R99</f>
        <v>3513</v>
      </c>
      <c r="S100" s="139"/>
      <c r="T100" s="2"/>
    </row>
    <row r="101" spans="1:21" ht="15.6" x14ac:dyDescent="0.3">
      <c r="A101" s="112"/>
      <c r="B101" s="160" t="s">
        <v>28</v>
      </c>
      <c r="C101" s="135"/>
      <c r="D101" s="135"/>
      <c r="E101" s="135"/>
      <c r="F101" s="135"/>
      <c r="G101" s="135"/>
      <c r="H101" s="135"/>
      <c r="I101" s="135"/>
      <c r="J101" s="135"/>
      <c r="K101" s="135"/>
      <c r="L101" s="135"/>
      <c r="M101" s="135"/>
      <c r="N101" s="135"/>
      <c r="O101" s="135"/>
      <c r="P101" s="155"/>
      <c r="Q101" s="113"/>
      <c r="R101" s="156"/>
      <c r="S101" s="139"/>
      <c r="T101" s="2"/>
    </row>
    <row r="102" spans="1:21" ht="15.6" x14ac:dyDescent="0.3">
      <c r="A102" s="122">
        <v>1</v>
      </c>
      <c r="B102" s="113" t="s">
        <v>175</v>
      </c>
      <c r="C102" s="135"/>
      <c r="D102" s="135"/>
      <c r="E102" s="135"/>
      <c r="F102" s="135"/>
      <c r="G102" s="135"/>
      <c r="H102" s="135"/>
      <c r="I102" s="135"/>
      <c r="J102" s="135"/>
      <c r="K102" s="135"/>
      <c r="L102" s="135"/>
      <c r="M102" s="135"/>
      <c r="N102" s="135"/>
      <c r="O102" s="135"/>
      <c r="P102" s="155"/>
      <c r="Q102" s="113"/>
      <c r="R102" s="156">
        <v>0</v>
      </c>
      <c r="S102" s="139"/>
      <c r="T102" s="2"/>
    </row>
    <row r="103" spans="1:21" ht="15.6" x14ac:dyDescent="0.3">
      <c r="A103" s="122">
        <v>2</v>
      </c>
      <c r="B103" s="113" t="s">
        <v>195</v>
      </c>
      <c r="C103" s="113"/>
      <c r="D103" s="135"/>
      <c r="E103" s="135"/>
      <c r="F103" s="135"/>
      <c r="G103" s="135"/>
      <c r="H103" s="135"/>
      <c r="I103" s="135"/>
      <c r="J103" s="135"/>
      <c r="K103" s="135"/>
      <c r="L103" s="135"/>
      <c r="M103" s="135"/>
      <c r="N103" s="135"/>
      <c r="O103" s="135"/>
      <c r="P103" s="113"/>
      <c r="Q103" s="113"/>
      <c r="R103" s="156">
        <v>-3</v>
      </c>
      <c r="S103" s="139"/>
      <c r="T103" s="2"/>
    </row>
    <row r="104" spans="1:21" ht="15.6" x14ac:dyDescent="0.3">
      <c r="A104" s="122">
        <v>3</v>
      </c>
      <c r="B104" s="113" t="s">
        <v>265</v>
      </c>
      <c r="C104" s="113"/>
      <c r="D104" s="135"/>
      <c r="E104" s="135"/>
      <c r="F104" s="135"/>
      <c r="G104" s="135"/>
      <c r="H104" s="135"/>
      <c r="I104" s="135"/>
      <c r="J104" s="135"/>
      <c r="K104" s="135"/>
      <c r="L104" s="135"/>
      <c r="M104" s="135"/>
      <c r="N104" s="135"/>
      <c r="O104" s="135"/>
      <c r="P104" s="113"/>
      <c r="Q104" s="113"/>
      <c r="R104" s="156">
        <f>-107-2-3</f>
        <v>-112</v>
      </c>
      <c r="S104" s="139"/>
      <c r="T104" s="2"/>
    </row>
    <row r="105" spans="1:21" ht="15.6" x14ac:dyDescent="0.3">
      <c r="A105" s="122">
        <v>4</v>
      </c>
      <c r="B105" s="113" t="s">
        <v>96</v>
      </c>
      <c r="C105" s="113"/>
      <c r="D105" s="135"/>
      <c r="E105" s="135"/>
      <c r="F105" s="135"/>
      <c r="G105" s="135"/>
      <c r="H105" s="135"/>
      <c r="I105" s="135"/>
      <c r="J105" s="135"/>
      <c r="K105" s="135"/>
      <c r="L105" s="135"/>
      <c r="M105" s="135"/>
      <c r="N105" s="135"/>
      <c r="O105" s="135"/>
      <c r="P105" s="113"/>
      <c r="Q105" s="113"/>
      <c r="R105" s="156">
        <v>-295</v>
      </c>
      <c r="S105" s="139"/>
      <c r="T105" s="2"/>
    </row>
    <row r="106" spans="1:21" ht="15.6" x14ac:dyDescent="0.3">
      <c r="A106" s="122" t="s">
        <v>274</v>
      </c>
      <c r="B106" s="113" t="s">
        <v>272</v>
      </c>
      <c r="C106" s="113"/>
      <c r="D106" s="135"/>
      <c r="E106" s="135"/>
      <c r="F106" s="135"/>
      <c r="G106" s="135"/>
      <c r="H106" s="135"/>
      <c r="I106" s="135"/>
      <c r="J106" s="135"/>
      <c r="K106" s="135"/>
      <c r="L106" s="135"/>
      <c r="M106" s="135"/>
      <c r="N106" s="135"/>
      <c r="O106" s="135"/>
      <c r="P106" s="113"/>
      <c r="Q106" s="113"/>
      <c r="R106" s="156">
        <v>-445</v>
      </c>
      <c r="S106" s="139"/>
      <c r="T106" s="2"/>
      <c r="U106" s="4"/>
    </row>
    <row r="107" spans="1:21" ht="15.6" x14ac:dyDescent="0.3">
      <c r="A107" s="122" t="s">
        <v>275</v>
      </c>
      <c r="B107" s="113" t="s">
        <v>266</v>
      </c>
      <c r="C107" s="113"/>
      <c r="D107" s="135"/>
      <c r="E107" s="135"/>
      <c r="F107" s="135"/>
      <c r="G107" s="135"/>
      <c r="H107" s="135"/>
      <c r="I107" s="135"/>
      <c r="J107" s="135"/>
      <c r="K107" s="135"/>
      <c r="L107" s="135"/>
      <c r="M107" s="135"/>
      <c r="N107" s="135"/>
      <c r="O107" s="135"/>
      <c r="P107" s="113"/>
      <c r="Q107" s="113"/>
      <c r="R107" s="156">
        <v>-492</v>
      </c>
      <c r="S107" s="139"/>
      <c r="T107" s="2"/>
      <c r="U107" s="4"/>
    </row>
    <row r="108" spans="1:21" ht="15.6" x14ac:dyDescent="0.3">
      <c r="A108" s="122">
        <v>6</v>
      </c>
      <c r="B108" s="113" t="s">
        <v>189</v>
      </c>
      <c r="C108" s="113"/>
      <c r="D108" s="135"/>
      <c r="E108" s="135"/>
      <c r="F108" s="135"/>
      <c r="G108" s="135"/>
      <c r="H108" s="135"/>
      <c r="I108" s="135"/>
      <c r="J108" s="135"/>
      <c r="K108" s="135"/>
      <c r="L108" s="135"/>
      <c r="M108" s="135"/>
      <c r="N108" s="135"/>
      <c r="O108" s="135"/>
      <c r="P108" s="113"/>
      <c r="Q108" s="113"/>
      <c r="R108" s="156">
        <v>-58</v>
      </c>
      <c r="S108" s="139"/>
      <c r="T108" s="2"/>
      <c r="U108" s="4"/>
    </row>
    <row r="109" spans="1:21" ht="15.6" x14ac:dyDescent="0.3">
      <c r="A109" s="122">
        <v>7</v>
      </c>
      <c r="B109" s="113" t="s">
        <v>190</v>
      </c>
      <c r="C109" s="113"/>
      <c r="D109" s="135"/>
      <c r="E109" s="135"/>
      <c r="F109" s="135"/>
      <c r="G109" s="135"/>
      <c r="H109" s="135"/>
      <c r="I109" s="135"/>
      <c r="J109" s="135"/>
      <c r="K109" s="135"/>
      <c r="L109" s="135"/>
      <c r="M109" s="135"/>
      <c r="N109" s="135"/>
      <c r="O109" s="135"/>
      <c r="P109" s="113"/>
      <c r="Q109" s="113"/>
      <c r="R109" s="156">
        <v>-67</v>
      </c>
      <c r="S109" s="139"/>
      <c r="T109" s="2"/>
      <c r="U109" s="4"/>
    </row>
    <row r="110" spans="1:21" ht="15.6" x14ac:dyDescent="0.3">
      <c r="A110" s="122">
        <v>8</v>
      </c>
      <c r="B110" s="113" t="s">
        <v>156</v>
      </c>
      <c r="C110" s="113"/>
      <c r="D110" s="135"/>
      <c r="E110" s="135"/>
      <c r="F110" s="135"/>
      <c r="G110" s="135"/>
      <c r="H110" s="135"/>
      <c r="I110" s="135"/>
      <c r="J110" s="135"/>
      <c r="K110" s="135"/>
      <c r="L110" s="135"/>
      <c r="M110" s="135"/>
      <c r="N110" s="135"/>
      <c r="O110" s="135"/>
      <c r="P110" s="113"/>
      <c r="Q110" s="113"/>
      <c r="R110" s="156">
        <v>0</v>
      </c>
      <c r="S110" s="139"/>
      <c r="T110" s="2"/>
      <c r="U110" s="4"/>
    </row>
    <row r="111" spans="1:21" ht="15.6" x14ac:dyDescent="0.3">
      <c r="A111" s="122">
        <v>9</v>
      </c>
      <c r="B111" s="113" t="s">
        <v>37</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22">
        <v>10</v>
      </c>
      <c r="B112" s="113" t="s">
        <v>101</v>
      </c>
      <c r="C112" s="113"/>
      <c r="D112" s="135"/>
      <c r="E112" s="135"/>
      <c r="F112" s="135"/>
      <c r="G112" s="135"/>
      <c r="H112" s="135"/>
      <c r="I112" s="135"/>
      <c r="J112" s="135"/>
      <c r="K112" s="135"/>
      <c r="L112" s="135"/>
      <c r="M112" s="135"/>
      <c r="N112" s="135"/>
      <c r="O112" s="135"/>
      <c r="P112" s="113"/>
      <c r="Q112" s="113"/>
      <c r="R112" s="156">
        <v>0</v>
      </c>
      <c r="S112" s="139"/>
      <c r="T112" s="2"/>
    </row>
    <row r="113" spans="1:20" ht="15.6" x14ac:dyDescent="0.3">
      <c r="A113" s="122">
        <v>11</v>
      </c>
      <c r="B113" s="113" t="s">
        <v>29</v>
      </c>
      <c r="C113" s="113"/>
      <c r="D113" s="135"/>
      <c r="E113" s="135"/>
      <c r="F113" s="135"/>
      <c r="G113" s="135"/>
      <c r="H113" s="135"/>
      <c r="I113" s="135"/>
      <c r="J113" s="135"/>
      <c r="K113" s="135"/>
      <c r="L113" s="135"/>
      <c r="M113" s="135"/>
      <c r="N113" s="135"/>
      <c r="O113" s="135"/>
      <c r="P113" s="113"/>
      <c r="Q113" s="113"/>
      <c r="R113" s="156">
        <v>-20</v>
      </c>
      <c r="S113" s="139"/>
      <c r="T113" s="2"/>
    </row>
    <row r="114" spans="1:20" ht="15.6" x14ac:dyDescent="0.3">
      <c r="A114" s="122">
        <v>12</v>
      </c>
      <c r="B114" s="113" t="s">
        <v>138</v>
      </c>
      <c r="C114" s="113"/>
      <c r="D114" s="135"/>
      <c r="E114" s="135"/>
      <c r="F114" s="135"/>
      <c r="G114" s="135"/>
      <c r="H114" s="135"/>
      <c r="I114" s="135"/>
      <c r="J114" s="135"/>
      <c r="K114" s="135"/>
      <c r="L114" s="135"/>
      <c r="M114" s="135"/>
      <c r="N114" s="135"/>
      <c r="O114" s="135"/>
      <c r="P114" s="113"/>
      <c r="Q114" s="113"/>
      <c r="R114" s="156">
        <v>0</v>
      </c>
      <c r="S114" s="139"/>
      <c r="T114" s="2"/>
    </row>
    <row r="115" spans="1:20" ht="15.6" x14ac:dyDescent="0.3">
      <c r="A115" s="122">
        <v>13</v>
      </c>
      <c r="B115" s="113" t="s">
        <v>267</v>
      </c>
      <c r="C115" s="113"/>
      <c r="D115" s="135"/>
      <c r="E115" s="135"/>
      <c r="F115" s="135"/>
      <c r="G115" s="135"/>
      <c r="H115" s="135"/>
      <c r="I115" s="135"/>
      <c r="J115" s="135"/>
      <c r="K115" s="135"/>
      <c r="L115" s="135"/>
      <c r="M115" s="135"/>
      <c r="N115" s="135"/>
      <c r="O115" s="135"/>
      <c r="P115" s="113"/>
      <c r="Q115" s="113"/>
      <c r="R115" s="156">
        <v>-49</v>
      </c>
      <c r="S115" s="139"/>
      <c r="T115" s="2"/>
    </row>
    <row r="116" spans="1:20" ht="15.6" x14ac:dyDescent="0.3">
      <c r="A116" s="122">
        <v>14</v>
      </c>
      <c r="B116" s="113" t="s">
        <v>157</v>
      </c>
      <c r="C116" s="113"/>
      <c r="D116" s="135"/>
      <c r="E116" s="135"/>
      <c r="F116" s="135"/>
      <c r="G116" s="135"/>
      <c r="H116" s="135"/>
      <c r="I116" s="135"/>
      <c r="J116" s="135"/>
      <c r="K116" s="135"/>
      <c r="L116" s="135"/>
      <c r="M116" s="135"/>
      <c r="N116" s="135"/>
      <c r="O116" s="135"/>
      <c r="P116" s="113"/>
      <c r="Q116" s="113"/>
      <c r="R116" s="156">
        <v>0</v>
      </c>
      <c r="S116" s="139"/>
      <c r="T116" s="2"/>
    </row>
    <row r="117" spans="1:20" ht="15.6" x14ac:dyDescent="0.3">
      <c r="A117" s="122">
        <v>15</v>
      </c>
      <c r="B117" s="113" t="s">
        <v>207</v>
      </c>
      <c r="C117" s="113"/>
      <c r="D117" s="135"/>
      <c r="E117" s="135"/>
      <c r="F117" s="135"/>
      <c r="G117" s="135"/>
      <c r="H117" s="135"/>
      <c r="I117" s="135"/>
      <c r="J117" s="135"/>
      <c r="K117" s="135"/>
      <c r="L117" s="135"/>
      <c r="M117" s="135"/>
      <c r="N117" s="135"/>
      <c r="O117" s="135"/>
      <c r="P117" s="113"/>
      <c r="Q117" s="113"/>
      <c r="R117" s="156">
        <v>-106</v>
      </c>
      <c r="S117" s="139"/>
      <c r="T117" s="2"/>
    </row>
    <row r="118" spans="1:20" ht="15.6" x14ac:dyDescent="0.3">
      <c r="A118" s="122">
        <v>16</v>
      </c>
      <c r="B118" s="113" t="s">
        <v>167</v>
      </c>
      <c r="C118" s="113"/>
      <c r="D118" s="135"/>
      <c r="E118" s="135"/>
      <c r="F118" s="135"/>
      <c r="G118" s="135"/>
      <c r="H118" s="135"/>
      <c r="I118" s="135"/>
      <c r="J118" s="135"/>
      <c r="K118" s="135"/>
      <c r="L118" s="135"/>
      <c r="M118" s="135"/>
      <c r="N118" s="135"/>
      <c r="O118" s="135"/>
      <c r="P118" s="113"/>
      <c r="Q118" s="113"/>
      <c r="R118" s="156">
        <f>-25-177</f>
        <v>-202</v>
      </c>
      <c r="S118" s="139"/>
      <c r="T118" s="2"/>
    </row>
    <row r="119" spans="1:20" ht="15.6" x14ac:dyDescent="0.3">
      <c r="A119" s="122">
        <v>17</v>
      </c>
      <c r="B119" s="113" t="s">
        <v>268</v>
      </c>
      <c r="C119" s="113"/>
      <c r="D119" s="135"/>
      <c r="E119" s="135"/>
      <c r="F119" s="135"/>
      <c r="G119" s="135"/>
      <c r="H119" s="135"/>
      <c r="I119" s="135"/>
      <c r="J119" s="135"/>
      <c r="K119" s="135"/>
      <c r="L119" s="135"/>
      <c r="M119" s="135"/>
      <c r="N119" s="135"/>
      <c r="O119" s="135"/>
      <c r="P119" s="113"/>
      <c r="Q119" s="113"/>
      <c r="R119" s="156">
        <f>-R100-SUM(R102:R118)</f>
        <v>-1664</v>
      </c>
      <c r="S119" s="139"/>
      <c r="T119" s="2"/>
    </row>
    <row r="120" spans="1:20" ht="15.6" x14ac:dyDescent="0.3">
      <c r="A120" s="112"/>
      <c r="B120" s="160" t="s">
        <v>30</v>
      </c>
      <c r="C120" s="135"/>
      <c r="D120" s="135"/>
      <c r="E120" s="135"/>
      <c r="F120" s="135"/>
      <c r="G120" s="135"/>
      <c r="H120" s="135"/>
      <c r="I120" s="135"/>
      <c r="J120" s="135"/>
      <c r="K120" s="135"/>
      <c r="L120" s="135"/>
      <c r="M120" s="135"/>
      <c r="N120" s="135"/>
      <c r="O120" s="135"/>
      <c r="P120" s="113"/>
      <c r="Q120" s="113"/>
      <c r="R120" s="161"/>
      <c r="S120" s="139"/>
      <c r="T120" s="2"/>
    </row>
    <row r="121" spans="1:20" ht="15.6" x14ac:dyDescent="0.3">
      <c r="A121" s="112"/>
      <c r="B121" s="113" t="s">
        <v>208</v>
      </c>
      <c r="C121" s="135"/>
      <c r="D121" s="135"/>
      <c r="E121" s="135"/>
      <c r="F121" s="135"/>
      <c r="G121" s="135"/>
      <c r="H121" s="135"/>
      <c r="I121" s="135"/>
      <c r="J121" s="135"/>
      <c r="K121" s="135"/>
      <c r="L121" s="135"/>
      <c r="M121" s="135"/>
      <c r="N121" s="135"/>
      <c r="O121" s="135"/>
      <c r="P121" s="155">
        <f>-P188</f>
        <v>-43</v>
      </c>
      <c r="Q121" s="155"/>
      <c r="R121" s="156"/>
      <c r="S121" s="139"/>
      <c r="T121" s="2"/>
    </row>
    <row r="122" spans="1:20" ht="15.6" x14ac:dyDescent="0.3">
      <c r="A122" s="112"/>
      <c r="B122" s="113" t="s">
        <v>209</v>
      </c>
      <c r="C122" s="135"/>
      <c r="D122" s="135"/>
      <c r="E122" s="135"/>
      <c r="F122" s="135"/>
      <c r="G122" s="135"/>
      <c r="H122" s="135"/>
      <c r="I122" s="135"/>
      <c r="J122" s="135"/>
      <c r="K122" s="135"/>
      <c r="L122" s="135"/>
      <c r="M122" s="135"/>
      <c r="N122" s="135"/>
      <c r="O122" s="135"/>
      <c r="P122" s="155">
        <v>0</v>
      </c>
      <c r="Q122" s="155"/>
      <c r="R122" s="156"/>
      <c r="S122" s="139"/>
      <c r="T122" s="2"/>
    </row>
    <row r="123" spans="1:20" ht="15.6" x14ac:dyDescent="0.3">
      <c r="A123" s="112"/>
      <c r="B123" s="113" t="s">
        <v>270</v>
      </c>
      <c r="C123" s="135"/>
      <c r="D123" s="135"/>
      <c r="E123" s="135"/>
      <c r="F123" s="135"/>
      <c r="G123" s="135"/>
      <c r="H123" s="135"/>
      <c r="I123" s="135"/>
      <c r="J123" s="135"/>
      <c r="K123" s="135"/>
      <c r="L123" s="135"/>
      <c r="M123" s="135"/>
      <c r="N123" s="135"/>
      <c r="O123" s="135"/>
      <c r="P123" s="155">
        <v>-2154</v>
      </c>
      <c r="Q123" s="155"/>
      <c r="R123" s="156"/>
      <c r="S123" s="139"/>
      <c r="T123" s="2"/>
    </row>
    <row r="124" spans="1:20" ht="15.6" x14ac:dyDescent="0.3">
      <c r="A124" s="112"/>
      <c r="B124" s="113" t="s">
        <v>269</v>
      </c>
      <c r="C124" s="135"/>
      <c r="D124" s="135"/>
      <c r="E124" s="135"/>
      <c r="F124" s="135"/>
      <c r="G124" s="135"/>
      <c r="H124" s="135"/>
      <c r="I124" s="135"/>
      <c r="J124" s="135"/>
      <c r="K124" s="135"/>
      <c r="L124" s="135"/>
      <c r="M124" s="135"/>
      <c r="N124" s="135"/>
      <c r="O124" s="135"/>
      <c r="P124" s="155">
        <v>-2797</v>
      </c>
      <c r="Q124" s="155"/>
      <c r="R124" s="156"/>
      <c r="S124" s="139"/>
      <c r="T124" s="2"/>
    </row>
    <row r="125" spans="1:20" ht="15.6" x14ac:dyDescent="0.3">
      <c r="A125" s="112"/>
      <c r="B125" s="113" t="s">
        <v>181</v>
      </c>
      <c r="C125" s="135"/>
      <c r="D125" s="135"/>
      <c r="E125" s="135"/>
      <c r="F125" s="135"/>
      <c r="G125" s="135"/>
      <c r="H125" s="135"/>
      <c r="I125" s="135"/>
      <c r="J125" s="135"/>
      <c r="K125" s="135"/>
      <c r="L125" s="135"/>
      <c r="M125" s="135"/>
      <c r="N125" s="135"/>
      <c r="O125" s="135"/>
      <c r="P125" s="155">
        <v>0</v>
      </c>
      <c r="Q125" s="155"/>
      <c r="R125" s="156"/>
      <c r="S125" s="139"/>
      <c r="T125" s="2"/>
    </row>
    <row r="126" spans="1:20" ht="15.6" x14ac:dyDescent="0.3">
      <c r="A126" s="112"/>
      <c r="B126" s="113" t="s">
        <v>182</v>
      </c>
      <c r="C126" s="135"/>
      <c r="D126" s="135"/>
      <c r="E126" s="135"/>
      <c r="F126" s="135"/>
      <c r="G126" s="135"/>
      <c r="H126" s="135"/>
      <c r="I126" s="135"/>
      <c r="J126" s="135"/>
      <c r="K126" s="135"/>
      <c r="L126" s="135"/>
      <c r="M126" s="135"/>
      <c r="N126" s="135"/>
      <c r="O126" s="135"/>
      <c r="P126" s="155">
        <v>0</v>
      </c>
      <c r="Q126" s="155"/>
      <c r="R126" s="156"/>
      <c r="S126" s="139"/>
      <c r="T126" s="2"/>
    </row>
    <row r="127" spans="1:20" ht="15.6" x14ac:dyDescent="0.3">
      <c r="A127" s="112"/>
      <c r="B127" s="113" t="s">
        <v>271</v>
      </c>
      <c r="C127" s="135"/>
      <c r="D127" s="135"/>
      <c r="E127" s="135"/>
      <c r="F127" s="135"/>
      <c r="G127" s="135"/>
      <c r="H127" s="135"/>
      <c r="I127" s="135"/>
      <c r="J127" s="135"/>
      <c r="K127" s="135"/>
      <c r="L127" s="135"/>
      <c r="M127" s="135"/>
      <c r="N127" s="135"/>
      <c r="O127" s="135"/>
      <c r="P127" s="155">
        <v>0</v>
      </c>
      <c r="Q127" s="155"/>
      <c r="R127" s="156"/>
      <c r="S127" s="139"/>
      <c r="T127" s="2"/>
    </row>
    <row r="128" spans="1:20" ht="15.6" x14ac:dyDescent="0.3">
      <c r="A128" s="112"/>
      <c r="B128" s="113" t="s">
        <v>31</v>
      </c>
      <c r="C128" s="135"/>
      <c r="D128" s="135"/>
      <c r="E128" s="135"/>
      <c r="F128" s="135"/>
      <c r="G128" s="135"/>
      <c r="H128" s="135"/>
      <c r="I128" s="135"/>
      <c r="J128" s="135"/>
      <c r="K128" s="135"/>
      <c r="L128" s="135"/>
      <c r="M128" s="135"/>
      <c r="N128" s="135"/>
      <c r="O128" s="135"/>
      <c r="P128" s="155">
        <f>SUM(P121:P127)</f>
        <v>-4994</v>
      </c>
      <c r="Q128" s="155"/>
      <c r="R128" s="155">
        <f>SUM(R101:R127)</f>
        <v>-3513</v>
      </c>
      <c r="S128" s="139"/>
      <c r="T128" s="2"/>
    </row>
    <row r="129" spans="1:20" ht="15.6" x14ac:dyDescent="0.3">
      <c r="A129" s="112"/>
      <c r="B129" s="113" t="s">
        <v>32</v>
      </c>
      <c r="C129" s="135"/>
      <c r="D129" s="135"/>
      <c r="E129" s="135"/>
      <c r="F129" s="135"/>
      <c r="G129" s="135"/>
      <c r="H129" s="135"/>
      <c r="I129" s="135"/>
      <c r="J129" s="135"/>
      <c r="K129" s="135"/>
      <c r="L129" s="135"/>
      <c r="M129" s="135"/>
      <c r="N129" s="135"/>
      <c r="O129" s="135"/>
      <c r="P129" s="155">
        <f>P100+P128+P111</f>
        <v>0</v>
      </c>
      <c r="Q129" s="155"/>
      <c r="R129" s="155">
        <f>R100+R128</f>
        <v>0</v>
      </c>
      <c r="S129" s="139"/>
      <c r="T129" s="2"/>
    </row>
    <row r="130" spans="1:20" ht="15.6" x14ac:dyDescent="0.3">
      <c r="A130" s="12"/>
      <c r="B130" s="43"/>
      <c r="C130" s="43"/>
      <c r="D130" s="43"/>
      <c r="E130" s="43"/>
      <c r="F130" s="43"/>
      <c r="G130" s="43"/>
      <c r="H130" s="43"/>
      <c r="I130" s="43"/>
      <c r="J130" s="43"/>
      <c r="K130" s="43"/>
      <c r="L130" s="43"/>
      <c r="M130" s="43"/>
      <c r="N130" s="43"/>
      <c r="O130" s="43"/>
      <c r="P130" s="153"/>
      <c r="Q130" s="153"/>
      <c r="R130" s="153"/>
      <c r="S130" s="217"/>
      <c r="T130" s="2"/>
    </row>
    <row r="131" spans="1:20" ht="15.6" x14ac:dyDescent="0.3">
      <c r="A131" s="12"/>
      <c r="B131" s="14"/>
      <c r="C131" s="14"/>
      <c r="D131" s="14"/>
      <c r="E131" s="14"/>
      <c r="F131" s="14"/>
      <c r="G131" s="14"/>
      <c r="H131" s="14"/>
      <c r="I131" s="14"/>
      <c r="J131" s="14"/>
      <c r="K131" s="14"/>
      <c r="L131" s="14"/>
      <c r="M131" s="14"/>
      <c r="N131" s="14"/>
      <c r="O131" s="14"/>
      <c r="P131" s="14"/>
      <c r="Q131" s="14"/>
      <c r="R131" s="33"/>
      <c r="S131" s="217"/>
      <c r="T131" s="2"/>
    </row>
    <row r="132" spans="1:20" ht="18" thickBot="1" x14ac:dyDescent="0.35">
      <c r="A132" s="28"/>
      <c r="B132" s="97" t="str">
        <f>B60</f>
        <v>PM22 INVESTOR REPORT QUARTER ENDING AUGUST 2016</v>
      </c>
      <c r="C132" s="29"/>
      <c r="D132" s="29"/>
      <c r="E132" s="29"/>
      <c r="F132" s="29"/>
      <c r="G132" s="29"/>
      <c r="H132" s="29"/>
      <c r="I132" s="29"/>
      <c r="J132" s="29"/>
      <c r="K132" s="29"/>
      <c r="L132" s="29"/>
      <c r="M132" s="29"/>
      <c r="N132" s="29"/>
      <c r="O132" s="29"/>
      <c r="P132" s="29"/>
      <c r="Q132" s="29"/>
      <c r="R132" s="40"/>
      <c r="S132" s="31"/>
      <c r="T132" s="2"/>
    </row>
    <row r="133" spans="1:20" ht="15.6" x14ac:dyDescent="0.3">
      <c r="A133" s="65"/>
      <c r="B133" s="66" t="s">
        <v>33</v>
      </c>
      <c r="C133" s="67"/>
      <c r="D133" s="67"/>
      <c r="E133" s="67"/>
      <c r="F133" s="67"/>
      <c r="G133" s="67"/>
      <c r="H133" s="67"/>
      <c r="I133" s="67"/>
      <c r="J133" s="67"/>
      <c r="K133" s="67"/>
      <c r="L133" s="67"/>
      <c r="M133" s="67"/>
      <c r="N133" s="67"/>
      <c r="O133" s="67"/>
      <c r="P133" s="67"/>
      <c r="Q133" s="67"/>
      <c r="R133" s="68"/>
      <c r="S133" s="223"/>
      <c r="T133" s="2"/>
    </row>
    <row r="134" spans="1:20" ht="15.6" x14ac:dyDescent="0.3">
      <c r="A134" s="12"/>
      <c r="B134" s="22"/>
      <c r="C134" s="14"/>
      <c r="D134" s="14"/>
      <c r="E134" s="14"/>
      <c r="F134" s="14"/>
      <c r="G134" s="14"/>
      <c r="H134" s="14"/>
      <c r="I134" s="14"/>
      <c r="J134" s="14"/>
      <c r="K134" s="14"/>
      <c r="L134" s="14"/>
      <c r="M134" s="14"/>
      <c r="N134" s="14"/>
      <c r="O134" s="14"/>
      <c r="P134" s="14"/>
      <c r="Q134" s="14"/>
      <c r="R134" s="33"/>
      <c r="S134" s="217"/>
      <c r="T134" s="2"/>
    </row>
    <row r="135" spans="1:20" ht="15.6" x14ac:dyDescent="0.3">
      <c r="A135" s="12"/>
      <c r="B135" s="41" t="s">
        <v>34</v>
      </c>
      <c r="C135" s="14"/>
      <c r="D135" s="14"/>
      <c r="E135" s="14"/>
      <c r="F135" s="14"/>
      <c r="G135" s="14"/>
      <c r="H135" s="14"/>
      <c r="I135" s="14"/>
      <c r="J135" s="14"/>
      <c r="K135" s="14"/>
      <c r="L135" s="14"/>
      <c r="M135" s="14"/>
      <c r="N135" s="14"/>
      <c r="O135" s="14"/>
      <c r="P135" s="14"/>
      <c r="Q135" s="14"/>
      <c r="R135" s="33"/>
      <c r="S135" s="217"/>
      <c r="T135" s="2"/>
    </row>
    <row r="136" spans="1:20" ht="15.6" x14ac:dyDescent="0.3">
      <c r="A136" s="112"/>
      <c r="B136" s="113" t="s">
        <v>35</v>
      </c>
      <c r="C136" s="113"/>
      <c r="D136" s="113"/>
      <c r="E136" s="113"/>
      <c r="F136" s="113"/>
      <c r="G136" s="113"/>
      <c r="H136" s="113"/>
      <c r="I136" s="113"/>
      <c r="J136" s="113"/>
      <c r="K136" s="113"/>
      <c r="L136" s="113"/>
      <c r="M136" s="113"/>
      <c r="N136" s="113"/>
      <c r="O136" s="113"/>
      <c r="P136" s="113"/>
      <c r="Q136" s="113"/>
      <c r="R136" s="156">
        <v>7502</v>
      </c>
      <c r="S136" s="116"/>
      <c r="T136" s="2"/>
    </row>
    <row r="137" spans="1:20" ht="15.6" x14ac:dyDescent="0.3">
      <c r="A137" s="112"/>
      <c r="B137" s="113" t="s">
        <v>36</v>
      </c>
      <c r="C137" s="113"/>
      <c r="D137" s="113"/>
      <c r="E137" s="113"/>
      <c r="F137" s="113"/>
      <c r="G137" s="113"/>
      <c r="H137" s="113"/>
      <c r="I137" s="113"/>
      <c r="J137" s="113"/>
      <c r="K137" s="113"/>
      <c r="L137" s="113"/>
      <c r="M137" s="113"/>
      <c r="N137" s="113"/>
      <c r="O137" s="113"/>
      <c r="P137" s="113"/>
      <c r="Q137" s="113"/>
      <c r="R137" s="156">
        <v>0</v>
      </c>
      <c r="S137" s="116"/>
      <c r="T137" s="2"/>
    </row>
    <row r="138" spans="1:20" ht="15.6" x14ac:dyDescent="0.3">
      <c r="A138" s="112"/>
      <c r="B138" s="113" t="s">
        <v>169</v>
      </c>
      <c r="C138" s="113"/>
      <c r="D138" s="113"/>
      <c r="E138" s="113"/>
      <c r="F138" s="113"/>
      <c r="G138" s="113"/>
      <c r="H138" s="113"/>
      <c r="I138" s="113"/>
      <c r="J138" s="113"/>
      <c r="K138" s="113"/>
      <c r="L138" s="113"/>
      <c r="M138" s="113"/>
      <c r="N138" s="113"/>
      <c r="O138" s="113"/>
      <c r="P138" s="113"/>
      <c r="Q138" s="113"/>
      <c r="R138" s="156">
        <f>R136-R139</f>
        <v>728.31218767999962</v>
      </c>
      <c r="S138" s="116"/>
      <c r="T138" s="2"/>
    </row>
    <row r="139" spans="1:20" ht="15.6" x14ac:dyDescent="0.3">
      <c r="A139" s="112"/>
      <c r="B139" s="113" t="s">
        <v>210</v>
      </c>
      <c r="C139" s="113"/>
      <c r="D139" s="113"/>
      <c r="E139" s="113"/>
      <c r="F139" s="113"/>
      <c r="G139" s="113"/>
      <c r="H139" s="113"/>
      <c r="I139" s="113"/>
      <c r="J139" s="113"/>
      <c r="K139" s="113"/>
      <c r="L139" s="113"/>
      <c r="M139" s="113"/>
      <c r="N139" s="113"/>
      <c r="O139" s="113"/>
      <c r="P139" s="113"/>
      <c r="Q139" s="113"/>
      <c r="R139" s="156">
        <f>SUM(D33:J33)*0.025</f>
        <v>6773.6878123200004</v>
      </c>
      <c r="S139" s="116"/>
      <c r="T139" s="2"/>
    </row>
    <row r="140" spans="1:20" ht="15.6" x14ac:dyDescent="0.3">
      <c r="A140" s="112"/>
      <c r="B140" s="113" t="s">
        <v>108</v>
      </c>
      <c r="C140" s="113"/>
      <c r="D140" s="113"/>
      <c r="E140" s="113"/>
      <c r="F140" s="113"/>
      <c r="G140" s="113"/>
      <c r="H140" s="113"/>
      <c r="I140" s="113"/>
      <c r="J140" s="113"/>
      <c r="K140" s="113"/>
      <c r="L140" s="113"/>
      <c r="M140" s="113"/>
      <c r="N140" s="113"/>
      <c r="O140" s="113"/>
      <c r="P140" s="113"/>
      <c r="Q140" s="113"/>
      <c r="R140" s="156"/>
      <c r="S140" s="116"/>
      <c r="T140" s="2"/>
    </row>
    <row r="141" spans="1:20" ht="15.6" x14ac:dyDescent="0.3">
      <c r="A141" s="112"/>
      <c r="B141" s="113" t="s">
        <v>155</v>
      </c>
      <c r="C141" s="113"/>
      <c r="D141" s="113"/>
      <c r="E141" s="113"/>
      <c r="F141" s="113"/>
      <c r="G141" s="113"/>
      <c r="H141" s="113"/>
      <c r="I141" s="113"/>
      <c r="J141" s="113"/>
      <c r="K141" s="113"/>
      <c r="L141" s="113"/>
      <c r="M141" s="113"/>
      <c r="N141" s="113"/>
      <c r="O141" s="113"/>
      <c r="P141" s="113"/>
      <c r="Q141" s="113"/>
      <c r="R141" s="156">
        <v>0</v>
      </c>
      <c r="S141" s="116"/>
      <c r="T141" s="2"/>
    </row>
    <row r="142" spans="1:20" ht="15.6" x14ac:dyDescent="0.3">
      <c r="A142" s="112"/>
      <c r="B142" s="113" t="s">
        <v>189</v>
      </c>
      <c r="C142" s="113"/>
      <c r="D142" s="113"/>
      <c r="E142" s="113"/>
      <c r="F142" s="113"/>
      <c r="G142" s="113"/>
      <c r="H142" s="113"/>
      <c r="I142" s="113"/>
      <c r="J142" s="113"/>
      <c r="K142" s="113"/>
      <c r="L142" s="113"/>
      <c r="M142" s="113"/>
      <c r="N142" s="113"/>
      <c r="O142" s="113"/>
      <c r="P142" s="113"/>
      <c r="Q142" s="113"/>
      <c r="R142" s="156">
        <v>0</v>
      </c>
      <c r="S142" s="116"/>
      <c r="T142" s="2"/>
    </row>
    <row r="143" spans="1:20" ht="15.6" x14ac:dyDescent="0.3">
      <c r="A143" s="112"/>
      <c r="B143" s="113" t="s">
        <v>190</v>
      </c>
      <c r="C143" s="113"/>
      <c r="D143" s="113"/>
      <c r="E143" s="113"/>
      <c r="F143" s="113"/>
      <c r="G143" s="113"/>
      <c r="H143" s="113"/>
      <c r="I143" s="113"/>
      <c r="J143" s="113"/>
      <c r="K143" s="113"/>
      <c r="L143" s="113"/>
      <c r="M143" s="113"/>
      <c r="N143" s="113"/>
      <c r="O143" s="113"/>
      <c r="P143" s="113"/>
      <c r="Q143" s="113"/>
      <c r="R143" s="156">
        <v>0</v>
      </c>
      <c r="S143" s="116"/>
      <c r="T143" s="2"/>
    </row>
    <row r="144" spans="1:20" ht="15.6" x14ac:dyDescent="0.3">
      <c r="A144" s="112"/>
      <c r="B144" s="113" t="s">
        <v>37</v>
      </c>
      <c r="C144" s="113"/>
      <c r="D144" s="113"/>
      <c r="E144" s="113"/>
      <c r="F144" s="113"/>
      <c r="G144" s="113"/>
      <c r="H144" s="113"/>
      <c r="I144" s="113"/>
      <c r="J144" s="113"/>
      <c r="K144" s="113"/>
      <c r="L144" s="113"/>
      <c r="M144" s="113"/>
      <c r="N144" s="113"/>
      <c r="O144" s="113"/>
      <c r="P144" s="113"/>
      <c r="Q144" s="113"/>
      <c r="R144" s="156">
        <v>0</v>
      </c>
      <c r="S144" s="116"/>
      <c r="T144" s="2"/>
    </row>
    <row r="145" spans="1:21" ht="15.6" x14ac:dyDescent="0.3">
      <c r="A145" s="112"/>
      <c r="B145" s="113" t="s">
        <v>102</v>
      </c>
      <c r="C145" s="113"/>
      <c r="D145" s="113"/>
      <c r="E145" s="113"/>
      <c r="F145" s="113"/>
      <c r="G145" s="113"/>
      <c r="H145" s="113"/>
      <c r="I145" s="113"/>
      <c r="J145" s="113"/>
      <c r="K145" s="113"/>
      <c r="L145" s="113"/>
      <c r="M145" s="113"/>
      <c r="N145" s="113"/>
      <c r="O145" s="113"/>
      <c r="P145" s="113"/>
      <c r="Q145" s="113"/>
      <c r="R145" s="156">
        <v>0</v>
      </c>
      <c r="S145" s="116"/>
      <c r="T145" s="2"/>
    </row>
    <row r="146" spans="1:21" ht="15.6" x14ac:dyDescent="0.3">
      <c r="A146" s="112"/>
      <c r="B146" s="113" t="s">
        <v>256</v>
      </c>
      <c r="C146" s="113"/>
      <c r="D146" s="113"/>
      <c r="E146" s="113"/>
      <c r="F146" s="113"/>
      <c r="G146" s="113"/>
      <c r="H146" s="113"/>
      <c r="I146" s="113"/>
      <c r="J146" s="113"/>
      <c r="K146" s="113"/>
      <c r="L146" s="113"/>
      <c r="M146" s="113"/>
      <c r="N146" s="113"/>
      <c r="O146" s="113"/>
      <c r="P146" s="113"/>
      <c r="Q146" s="113"/>
      <c r="R146" s="156">
        <v>0</v>
      </c>
      <c r="S146" s="116"/>
      <c r="T146" s="2"/>
      <c r="U146" s="4"/>
    </row>
    <row r="147" spans="1:21" ht="15.6" x14ac:dyDescent="0.3">
      <c r="A147" s="112"/>
      <c r="B147" s="113" t="s">
        <v>38</v>
      </c>
      <c r="C147" s="113"/>
      <c r="D147" s="113"/>
      <c r="E147" s="113"/>
      <c r="F147" s="113"/>
      <c r="G147" s="113"/>
      <c r="H147" s="113"/>
      <c r="I147" s="113"/>
      <c r="J147" s="113"/>
      <c r="K147" s="113"/>
      <c r="L147" s="113"/>
      <c r="M147" s="113"/>
      <c r="N147" s="113"/>
      <c r="O147" s="113"/>
      <c r="P147" s="113"/>
      <c r="Q147" s="113"/>
      <c r="R147" s="156">
        <f>SUM(R137:R146)</f>
        <v>7502</v>
      </c>
      <c r="S147" s="116"/>
      <c r="T147" s="2"/>
    </row>
    <row r="148" spans="1:21" ht="15.6" x14ac:dyDescent="0.3">
      <c r="A148" s="12"/>
      <c r="B148" s="43"/>
      <c r="C148" s="43"/>
      <c r="D148" s="43"/>
      <c r="E148" s="43"/>
      <c r="F148" s="43"/>
      <c r="G148" s="43"/>
      <c r="H148" s="43"/>
      <c r="I148" s="43"/>
      <c r="J148" s="43"/>
      <c r="K148" s="43"/>
      <c r="L148" s="43"/>
      <c r="M148" s="43"/>
      <c r="N148" s="43"/>
      <c r="O148" s="43"/>
      <c r="P148" s="43"/>
      <c r="Q148" s="43"/>
      <c r="R148" s="162"/>
      <c r="S148" s="217"/>
      <c r="T148" s="2"/>
    </row>
    <row r="149" spans="1:21" ht="15.6" x14ac:dyDescent="0.3">
      <c r="A149" s="12"/>
      <c r="B149" s="41" t="s">
        <v>203</v>
      </c>
      <c r="C149" s="14"/>
      <c r="D149" s="14"/>
      <c r="E149" s="14"/>
      <c r="F149" s="14"/>
      <c r="G149" s="14"/>
      <c r="H149" s="14"/>
      <c r="I149" s="14"/>
      <c r="J149" s="14"/>
      <c r="K149" s="14"/>
      <c r="L149" s="14"/>
      <c r="M149" s="14"/>
      <c r="N149" s="14"/>
      <c r="O149" s="14"/>
      <c r="P149" s="14"/>
      <c r="Q149" s="14"/>
      <c r="R149" s="33"/>
      <c r="S149" s="217"/>
      <c r="T149" s="2"/>
    </row>
    <row r="150" spans="1:21" ht="15.6" x14ac:dyDescent="0.3">
      <c r="A150" s="112"/>
      <c r="B150" s="113" t="s">
        <v>278</v>
      </c>
      <c r="C150" s="113"/>
      <c r="D150" s="113"/>
      <c r="E150" s="113"/>
      <c r="F150" s="113"/>
      <c r="G150" s="113"/>
      <c r="H150" s="113"/>
      <c r="I150" s="113"/>
      <c r="J150" s="113"/>
      <c r="K150" s="113"/>
      <c r="L150" s="113"/>
      <c r="M150" s="113"/>
      <c r="N150" s="113"/>
      <c r="O150" s="113"/>
      <c r="P150" s="113"/>
      <c r="Q150" s="113"/>
      <c r="R150" s="156">
        <v>0</v>
      </c>
      <c r="S150" s="139"/>
      <c r="T150" s="2"/>
    </row>
    <row r="151" spans="1:21" ht="15.6" x14ac:dyDescent="0.3">
      <c r="A151" s="112"/>
      <c r="B151" s="113" t="s">
        <v>191</v>
      </c>
      <c r="C151" s="115"/>
      <c r="D151" s="115"/>
      <c r="E151" s="115"/>
      <c r="F151" s="115"/>
      <c r="G151" s="115"/>
      <c r="H151" s="115"/>
      <c r="I151" s="115"/>
      <c r="J151" s="115"/>
      <c r="K151" s="115"/>
      <c r="L151" s="115"/>
      <c r="M151" s="115"/>
      <c r="N151" s="115"/>
      <c r="O151" s="115"/>
      <c r="P151" s="115"/>
      <c r="Q151" s="115"/>
      <c r="R151" s="156">
        <f>+J77</f>
        <v>0</v>
      </c>
      <c r="S151" s="139"/>
      <c r="T151" s="2"/>
    </row>
    <row r="152" spans="1:21" ht="15.6" x14ac:dyDescent="0.3">
      <c r="A152" s="112"/>
      <c r="B152" s="113" t="s">
        <v>205</v>
      </c>
      <c r="C152" s="113"/>
      <c r="D152" s="113"/>
      <c r="E152" s="113"/>
      <c r="F152" s="113"/>
      <c r="G152" s="113"/>
      <c r="H152" s="113"/>
      <c r="I152" s="113"/>
      <c r="J152" s="113"/>
      <c r="K152" s="113"/>
      <c r="L152" s="113"/>
      <c r="M152" s="113"/>
      <c r="N152" s="113"/>
      <c r="O152" s="113"/>
      <c r="P152" s="113"/>
      <c r="Q152" s="113"/>
      <c r="R152" s="156">
        <f>R150+R151</f>
        <v>0</v>
      </c>
      <c r="S152" s="139"/>
      <c r="T152" s="2"/>
    </row>
    <row r="153" spans="1:21" ht="15.6" x14ac:dyDescent="0.3">
      <c r="A153" s="12"/>
      <c r="B153" s="163"/>
      <c r="C153" s="163"/>
      <c r="D153" s="163"/>
      <c r="E153" s="163"/>
      <c r="F153" s="163"/>
      <c r="G153" s="163"/>
      <c r="H153" s="163"/>
      <c r="I153" s="163"/>
      <c r="J153" s="163"/>
      <c r="K153" s="163"/>
      <c r="L153" s="163"/>
      <c r="M153" s="163"/>
      <c r="N153" s="163"/>
      <c r="O153" s="163"/>
      <c r="P153" s="163"/>
      <c r="Q153" s="163"/>
      <c r="R153" s="195"/>
      <c r="S153" s="217"/>
      <c r="T153" s="2"/>
    </row>
    <row r="154" spans="1:21" ht="15.6" x14ac:dyDescent="0.3">
      <c r="A154" s="12"/>
      <c r="B154" s="41" t="s">
        <v>211</v>
      </c>
      <c r="C154" s="163"/>
      <c r="D154" s="163"/>
      <c r="E154" s="163"/>
      <c r="F154" s="163"/>
      <c r="G154" s="163"/>
      <c r="H154" s="163"/>
      <c r="I154" s="163"/>
      <c r="J154" s="163"/>
      <c r="K154" s="163"/>
      <c r="L154" s="163"/>
      <c r="M154" s="163"/>
      <c r="N154" s="163"/>
      <c r="O154" s="163"/>
      <c r="P154" s="163"/>
      <c r="Q154" s="163"/>
      <c r="R154" s="195"/>
      <c r="S154" s="217"/>
      <c r="T154" s="2"/>
    </row>
    <row r="155" spans="1:21" ht="15.6" x14ac:dyDescent="0.3">
      <c r="A155" s="231"/>
      <c r="B155" s="232" t="s">
        <v>277</v>
      </c>
      <c r="C155" s="232"/>
      <c r="D155" s="232"/>
      <c r="E155" s="232"/>
      <c r="F155" s="232"/>
      <c r="G155" s="232"/>
      <c r="H155" s="232"/>
      <c r="I155" s="232"/>
      <c r="J155" s="232"/>
      <c r="K155" s="232"/>
      <c r="L155" s="232"/>
      <c r="M155" s="232"/>
      <c r="N155" s="232"/>
      <c r="O155" s="232"/>
      <c r="P155" s="232"/>
      <c r="Q155" s="232"/>
      <c r="R155" s="233">
        <f>+'May 16'!R158</f>
        <v>1344</v>
      </c>
      <c r="S155" s="234"/>
      <c r="T155" s="2"/>
    </row>
    <row r="156" spans="1:21" ht="15.6" x14ac:dyDescent="0.3">
      <c r="A156" s="231"/>
      <c r="B156" s="232" t="s">
        <v>213</v>
      </c>
      <c r="C156" s="232"/>
      <c r="D156" s="232"/>
      <c r="E156" s="232"/>
      <c r="F156" s="232"/>
      <c r="G156" s="232"/>
      <c r="H156" s="232"/>
      <c r="I156" s="232"/>
      <c r="J156" s="232"/>
      <c r="K156" s="232"/>
      <c r="L156" s="232"/>
      <c r="M156" s="232"/>
      <c r="N156" s="232"/>
      <c r="O156" s="232"/>
      <c r="P156" s="232"/>
      <c r="Q156" s="232"/>
      <c r="R156" s="233">
        <f>P86</f>
        <v>-178</v>
      </c>
      <c r="S156" s="234"/>
      <c r="T156" s="2"/>
    </row>
    <row r="157" spans="1:21" ht="15.6" x14ac:dyDescent="0.3">
      <c r="A157" s="231"/>
      <c r="B157" s="232" t="s">
        <v>214</v>
      </c>
      <c r="C157" s="232"/>
      <c r="D157" s="232"/>
      <c r="E157" s="232"/>
      <c r="F157" s="232"/>
      <c r="G157" s="232"/>
      <c r="H157" s="232"/>
      <c r="I157" s="232"/>
      <c r="J157" s="232"/>
      <c r="K157" s="232"/>
      <c r="L157" s="232"/>
      <c r="M157" s="232"/>
      <c r="N157" s="232"/>
      <c r="O157" s="232"/>
      <c r="P157" s="232"/>
      <c r="Q157" s="232"/>
      <c r="R157" s="233">
        <v>0</v>
      </c>
      <c r="S157" s="234"/>
      <c r="T157" s="2"/>
    </row>
    <row r="158" spans="1:21" ht="15.6" x14ac:dyDescent="0.3">
      <c r="A158" s="231"/>
      <c r="B158" s="232" t="s">
        <v>215</v>
      </c>
      <c r="C158" s="232"/>
      <c r="D158" s="232"/>
      <c r="E158" s="232"/>
      <c r="F158" s="232"/>
      <c r="G158" s="232"/>
      <c r="H158" s="232"/>
      <c r="I158" s="232"/>
      <c r="J158" s="232"/>
      <c r="K158" s="232"/>
      <c r="L158" s="232"/>
      <c r="M158" s="232"/>
      <c r="N158" s="232"/>
      <c r="O158" s="232"/>
      <c r="P158" s="232"/>
      <c r="Q158" s="232"/>
      <c r="R158" s="233">
        <f>R155+R156+R157</f>
        <v>1166</v>
      </c>
      <c r="S158" s="234"/>
      <c r="T158" s="2"/>
    </row>
    <row r="159" spans="1:21" ht="15.6" x14ac:dyDescent="0.3">
      <c r="A159" s="12"/>
      <c r="B159" s="43"/>
      <c r="C159" s="43"/>
      <c r="D159" s="43"/>
      <c r="E159" s="43"/>
      <c r="F159" s="43"/>
      <c r="G159" s="43"/>
      <c r="H159" s="43"/>
      <c r="I159" s="43"/>
      <c r="J159" s="43"/>
      <c r="K159" s="43"/>
      <c r="L159" s="43"/>
      <c r="M159" s="43"/>
      <c r="N159" s="43"/>
      <c r="O159" s="43"/>
      <c r="P159" s="43"/>
      <c r="Q159" s="43"/>
      <c r="R159" s="162"/>
      <c r="S159" s="217"/>
      <c r="T159" s="2"/>
    </row>
    <row r="160" spans="1:21" ht="15.6" x14ac:dyDescent="0.3">
      <c r="A160" s="12"/>
      <c r="B160" s="41" t="s">
        <v>39</v>
      </c>
      <c r="C160" s="14"/>
      <c r="D160" s="14"/>
      <c r="E160" s="14"/>
      <c r="F160" s="14"/>
      <c r="G160" s="14"/>
      <c r="H160" s="14"/>
      <c r="I160" s="14"/>
      <c r="J160" s="14"/>
      <c r="K160" s="14"/>
      <c r="L160" s="14"/>
      <c r="M160" s="14"/>
      <c r="N160" s="14"/>
      <c r="O160" s="14"/>
      <c r="P160" s="14"/>
      <c r="Q160" s="14"/>
      <c r="R160" s="42"/>
      <c r="S160" s="217"/>
      <c r="T160" s="2"/>
    </row>
    <row r="161" spans="1:252" ht="15.6" x14ac:dyDescent="0.3">
      <c r="A161" s="112"/>
      <c r="B161" s="113" t="s">
        <v>40</v>
      </c>
      <c r="C161" s="113"/>
      <c r="D161" s="113"/>
      <c r="E161" s="113"/>
      <c r="F161" s="113"/>
      <c r="G161" s="113"/>
      <c r="H161" s="113"/>
      <c r="I161" s="113"/>
      <c r="J161" s="113"/>
      <c r="K161" s="113"/>
      <c r="L161" s="113"/>
      <c r="M161" s="113"/>
      <c r="N161" s="113"/>
      <c r="O161" s="113"/>
      <c r="P161" s="113"/>
      <c r="Q161" s="113"/>
      <c r="R161" s="156">
        <v>0</v>
      </c>
      <c r="S161" s="116"/>
      <c r="T161" s="2"/>
    </row>
    <row r="162" spans="1:252" ht="15.6" x14ac:dyDescent="0.3">
      <c r="A162" s="112"/>
      <c r="B162" s="113" t="s">
        <v>41</v>
      </c>
      <c r="C162" s="113"/>
      <c r="D162" s="113"/>
      <c r="E162" s="113"/>
      <c r="F162" s="113"/>
      <c r="G162" s="113"/>
      <c r="H162" s="113"/>
      <c r="I162" s="113"/>
      <c r="J162" s="113"/>
      <c r="K162" s="113"/>
      <c r="L162" s="113"/>
      <c r="M162" s="113"/>
      <c r="N162" s="113"/>
      <c r="O162" s="113"/>
      <c r="P162" s="113"/>
      <c r="Q162" s="113"/>
      <c r="R162" s="156">
        <v>0</v>
      </c>
      <c r="S162" s="116"/>
      <c r="T162" s="2"/>
    </row>
    <row r="163" spans="1:252" ht="15.6" x14ac:dyDescent="0.3">
      <c r="A163" s="112"/>
      <c r="B163" s="113" t="s">
        <v>42</v>
      </c>
      <c r="C163" s="113"/>
      <c r="D163" s="113"/>
      <c r="E163" s="113"/>
      <c r="F163" s="113"/>
      <c r="G163" s="113"/>
      <c r="H163" s="113"/>
      <c r="I163" s="113"/>
      <c r="J163" s="113"/>
      <c r="K163" s="113"/>
      <c r="L163" s="113"/>
      <c r="M163" s="113"/>
      <c r="N163" s="113"/>
      <c r="O163" s="113"/>
      <c r="P163" s="113"/>
      <c r="Q163" s="113"/>
      <c r="R163" s="156">
        <f>R162+R161</f>
        <v>0</v>
      </c>
      <c r="S163" s="116"/>
      <c r="T163" s="2"/>
    </row>
    <row r="164" spans="1:252" ht="15.6" x14ac:dyDescent="0.3">
      <c r="A164" s="112"/>
      <c r="B164" s="113" t="s">
        <v>174</v>
      </c>
      <c r="C164" s="113"/>
      <c r="D164" s="113"/>
      <c r="E164" s="113"/>
      <c r="F164" s="113"/>
      <c r="G164" s="113"/>
      <c r="H164" s="113"/>
      <c r="I164" s="113"/>
      <c r="J164" s="113"/>
      <c r="K164" s="113"/>
      <c r="L164" s="113"/>
      <c r="M164" s="113"/>
      <c r="N164" s="113"/>
      <c r="O164" s="113"/>
      <c r="P164" s="113"/>
      <c r="Q164" s="113"/>
      <c r="R164" s="156">
        <f>R111</f>
        <v>0</v>
      </c>
      <c r="S164" s="116"/>
      <c r="T164" s="2"/>
    </row>
    <row r="165" spans="1:252" ht="15.6" x14ac:dyDescent="0.3">
      <c r="A165" s="112"/>
      <c r="B165" s="113" t="s">
        <v>43</v>
      </c>
      <c r="C165" s="113"/>
      <c r="D165" s="113"/>
      <c r="E165" s="113"/>
      <c r="F165" s="113"/>
      <c r="G165" s="113"/>
      <c r="H165" s="113"/>
      <c r="I165" s="113"/>
      <c r="J165" s="113"/>
      <c r="K165" s="113"/>
      <c r="L165" s="113"/>
      <c r="M165" s="113"/>
      <c r="N165" s="113"/>
      <c r="O165" s="113"/>
      <c r="P165" s="113"/>
      <c r="Q165" s="113"/>
      <c r="R165" s="156">
        <f>R163+R164</f>
        <v>0</v>
      </c>
      <c r="S165" s="116"/>
      <c r="T165" s="2"/>
    </row>
    <row r="166" spans="1:252" ht="15.6" x14ac:dyDescent="0.3">
      <c r="A166" s="112"/>
      <c r="B166" s="113" t="s">
        <v>150</v>
      </c>
      <c r="C166" s="113"/>
      <c r="D166" s="113"/>
      <c r="E166" s="113"/>
      <c r="F166" s="113"/>
      <c r="G166" s="113"/>
      <c r="H166" s="113"/>
      <c r="I166" s="113"/>
      <c r="J166" s="113"/>
      <c r="K166" s="113"/>
      <c r="L166" s="113"/>
      <c r="M166" s="113"/>
      <c r="N166" s="113"/>
      <c r="O166" s="113"/>
      <c r="P166" s="113"/>
      <c r="Q166" s="113"/>
      <c r="R166" s="156">
        <f>-R99</f>
        <v>0</v>
      </c>
      <c r="S166" s="116"/>
      <c r="T166" s="2"/>
    </row>
    <row r="167" spans="1:252" ht="16.2" thickBot="1" x14ac:dyDescent="0.35">
      <c r="A167" s="12"/>
      <c r="B167" s="43"/>
      <c r="C167" s="43"/>
      <c r="D167" s="43"/>
      <c r="E167" s="43"/>
      <c r="F167" s="43"/>
      <c r="G167" s="43"/>
      <c r="H167" s="43"/>
      <c r="I167" s="43"/>
      <c r="J167" s="43"/>
      <c r="K167" s="43"/>
      <c r="L167" s="43"/>
      <c r="M167" s="43"/>
      <c r="N167" s="43"/>
      <c r="O167" s="43"/>
      <c r="P167" s="43"/>
      <c r="Q167" s="43"/>
      <c r="R167" s="162"/>
      <c r="S167" s="217"/>
      <c r="T167" s="2"/>
    </row>
    <row r="168" spans="1:252" ht="15.6" x14ac:dyDescent="0.3">
      <c r="A168" s="10"/>
      <c r="B168" s="11"/>
      <c r="C168" s="11"/>
      <c r="D168" s="11"/>
      <c r="E168" s="11"/>
      <c r="F168" s="11"/>
      <c r="G168" s="11"/>
      <c r="H168" s="11"/>
      <c r="I168" s="11"/>
      <c r="J168" s="11"/>
      <c r="K168" s="11"/>
      <c r="L168" s="11"/>
      <c r="M168" s="11"/>
      <c r="N168" s="11"/>
      <c r="O168" s="11"/>
      <c r="P168" s="11"/>
      <c r="Q168" s="11"/>
      <c r="R168" s="32"/>
      <c r="S168" s="216"/>
      <c r="T168" s="2"/>
    </row>
    <row r="169" spans="1:252" s="6" customFormat="1" ht="15.6" x14ac:dyDescent="0.3">
      <c r="A169" s="12"/>
      <c r="B169" s="41" t="s">
        <v>204</v>
      </c>
      <c r="C169" s="43"/>
      <c r="D169" s="43"/>
      <c r="E169" s="43"/>
      <c r="F169" s="43"/>
      <c r="G169" s="43"/>
      <c r="H169" s="43"/>
      <c r="I169" s="43"/>
      <c r="J169" s="43"/>
      <c r="K169" s="43"/>
      <c r="L169" s="43"/>
      <c r="M169" s="43"/>
      <c r="N169" s="43"/>
      <c r="O169" s="43"/>
      <c r="P169" s="43"/>
      <c r="Q169" s="43"/>
      <c r="R169" s="44"/>
      <c r="S169" s="217"/>
      <c r="T169" s="2"/>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row>
    <row r="170" spans="1:252" s="7" customFormat="1" ht="15.6" x14ac:dyDescent="0.3">
      <c r="A170" s="112"/>
      <c r="B170" s="113" t="s">
        <v>141</v>
      </c>
      <c r="C170" s="113"/>
      <c r="D170" s="113"/>
      <c r="E170" s="113"/>
      <c r="F170" s="113"/>
      <c r="G170" s="113"/>
      <c r="H170" s="113"/>
      <c r="I170" s="113"/>
      <c r="J170" s="113"/>
      <c r="K170" s="113"/>
      <c r="L170" s="113"/>
      <c r="M170" s="113"/>
      <c r="N170" s="113"/>
      <c r="O170" s="113"/>
      <c r="P170" s="113"/>
      <c r="Q170" s="113"/>
      <c r="R170" s="156">
        <f>+'May 16'!R172</f>
        <v>376</v>
      </c>
      <c r="S170" s="116"/>
      <c r="T170" s="2"/>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row>
    <row r="171" spans="1:252" s="7" customFormat="1" ht="15.6" x14ac:dyDescent="0.3">
      <c r="A171" s="112"/>
      <c r="B171" s="113" t="s">
        <v>283</v>
      </c>
      <c r="C171" s="113"/>
      <c r="D171" s="113"/>
      <c r="E171" s="113"/>
      <c r="F171" s="113"/>
      <c r="G171" s="113"/>
      <c r="H171" s="113"/>
      <c r="I171" s="113"/>
      <c r="J171" s="113"/>
      <c r="K171" s="113"/>
      <c r="L171" s="113"/>
      <c r="M171" s="113"/>
      <c r="N171" s="113"/>
      <c r="O171" s="113"/>
      <c r="P171" s="113"/>
      <c r="Q171" s="113"/>
      <c r="R171" s="156">
        <v>45</v>
      </c>
      <c r="S171" s="116"/>
      <c r="T171" s="2"/>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1:252" s="7" customFormat="1" ht="15.6" x14ac:dyDescent="0.3">
      <c r="A172" s="112"/>
      <c r="B172" s="113" t="s">
        <v>144</v>
      </c>
      <c r="C172" s="113"/>
      <c r="D172" s="113"/>
      <c r="E172" s="113"/>
      <c r="F172" s="113"/>
      <c r="G172" s="113"/>
      <c r="H172" s="113"/>
      <c r="I172" s="113"/>
      <c r="J172" s="113"/>
      <c r="K172" s="113"/>
      <c r="L172" s="113"/>
      <c r="M172" s="113"/>
      <c r="N172" s="113"/>
      <c r="O172" s="113"/>
      <c r="P172" s="113"/>
      <c r="Q172" s="113"/>
      <c r="R172" s="156">
        <f>+R92</f>
        <v>24</v>
      </c>
      <c r="S172" s="116"/>
      <c r="T172" s="2"/>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1:252" s="7" customFormat="1" ht="15.6" x14ac:dyDescent="0.3">
      <c r="A173" s="112"/>
      <c r="B173" s="113" t="s">
        <v>142</v>
      </c>
      <c r="C173" s="113"/>
      <c r="D173" s="113"/>
      <c r="E173" s="113"/>
      <c r="F173" s="113"/>
      <c r="G173" s="113"/>
      <c r="H173" s="113"/>
      <c r="I173" s="113"/>
      <c r="J173" s="113"/>
      <c r="K173" s="113"/>
      <c r="L173" s="113"/>
      <c r="M173" s="113"/>
      <c r="N173" s="113"/>
      <c r="O173" s="113"/>
      <c r="P173" s="113"/>
      <c r="Q173" s="113"/>
      <c r="R173" s="156">
        <f>R170+R171-R172</f>
        <v>397</v>
      </c>
      <c r="S173" s="116"/>
      <c r="T173" s="2"/>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1:252" s="8" customFormat="1" ht="16.2" thickBot="1" x14ac:dyDescent="0.35">
      <c r="A174" s="28"/>
      <c r="B174" s="43"/>
      <c r="C174" s="43"/>
      <c r="D174" s="43"/>
      <c r="E174" s="43"/>
      <c r="F174" s="43"/>
      <c r="G174" s="43"/>
      <c r="H174" s="43"/>
      <c r="I174" s="43"/>
      <c r="J174" s="43"/>
      <c r="K174" s="43"/>
      <c r="L174" s="43"/>
      <c r="M174" s="43"/>
      <c r="N174" s="43"/>
      <c r="O174" s="43"/>
      <c r="P174" s="43"/>
      <c r="Q174" s="43"/>
      <c r="R174" s="162"/>
      <c r="S174" s="217"/>
      <c r="T174" s="2"/>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1:252" s="9" customFormat="1" ht="15.6" x14ac:dyDescent="0.3">
      <c r="A175" s="10"/>
      <c r="B175" s="11"/>
      <c r="C175" s="11"/>
      <c r="D175" s="11"/>
      <c r="E175" s="11"/>
      <c r="F175" s="11"/>
      <c r="G175" s="11"/>
      <c r="H175" s="11"/>
      <c r="I175" s="11"/>
      <c r="J175" s="11"/>
      <c r="K175" s="11"/>
      <c r="L175" s="11"/>
      <c r="M175" s="11"/>
      <c r="N175" s="11"/>
      <c r="O175" s="11"/>
      <c r="P175" s="11"/>
      <c r="Q175" s="11"/>
      <c r="R175" s="32"/>
      <c r="S175" s="216"/>
      <c r="T175" s="2"/>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row>
    <row r="176" spans="1:252" ht="15.6" x14ac:dyDescent="0.3">
      <c r="A176" s="12"/>
      <c r="B176" s="41" t="s">
        <v>44</v>
      </c>
      <c r="C176" s="14"/>
      <c r="D176" s="14"/>
      <c r="E176" s="14"/>
      <c r="F176" s="14"/>
      <c r="G176" s="14"/>
      <c r="H176" s="14"/>
      <c r="I176" s="14"/>
      <c r="J176" s="14"/>
      <c r="K176" s="14"/>
      <c r="L176" s="14"/>
      <c r="M176" s="14"/>
      <c r="N176" s="14"/>
      <c r="O176" s="14"/>
      <c r="P176" s="14"/>
      <c r="Q176" s="14"/>
      <c r="R176" s="33"/>
      <c r="S176" s="217"/>
      <c r="T176" s="2"/>
    </row>
    <row r="177" spans="1:20" ht="15.6" x14ac:dyDescent="0.3">
      <c r="A177" s="12"/>
      <c r="B177" s="22"/>
      <c r="C177" s="14"/>
      <c r="D177" s="14"/>
      <c r="E177" s="14"/>
      <c r="F177" s="14"/>
      <c r="G177" s="14"/>
      <c r="H177" s="14"/>
      <c r="I177" s="14"/>
      <c r="J177" s="14"/>
      <c r="K177" s="14"/>
      <c r="L177" s="14"/>
      <c r="M177" s="14"/>
      <c r="N177" s="14"/>
      <c r="O177" s="14"/>
      <c r="P177" s="14"/>
      <c r="Q177" s="14"/>
      <c r="R177" s="33"/>
      <c r="S177" s="217"/>
      <c r="T177" s="2"/>
    </row>
    <row r="178" spans="1:20" ht="15.6" x14ac:dyDescent="0.3">
      <c r="A178" s="112"/>
      <c r="B178" s="113" t="s">
        <v>172</v>
      </c>
      <c r="C178" s="113"/>
      <c r="D178" s="113"/>
      <c r="E178" s="113"/>
      <c r="F178" s="113"/>
      <c r="G178" s="113"/>
      <c r="H178" s="113"/>
      <c r="I178" s="113"/>
      <c r="J178" s="113"/>
      <c r="K178" s="113"/>
      <c r="L178" s="113"/>
      <c r="M178" s="113"/>
      <c r="N178" s="113"/>
      <c r="O178" s="113"/>
      <c r="P178" s="113"/>
      <c r="Q178" s="113"/>
      <c r="R178" s="156">
        <f>+R67</f>
        <v>277282</v>
      </c>
      <c r="S178" s="116"/>
      <c r="T178" s="2"/>
    </row>
    <row r="179" spans="1:20" ht="15.6" x14ac:dyDescent="0.3">
      <c r="A179" s="112"/>
      <c r="B179" s="113" t="s">
        <v>173</v>
      </c>
      <c r="C179" s="113"/>
      <c r="D179" s="113"/>
      <c r="E179" s="113"/>
      <c r="F179" s="113"/>
      <c r="G179" s="113"/>
      <c r="H179" s="113"/>
      <c r="I179" s="113"/>
      <c r="J179" s="113"/>
      <c r="K179" s="113"/>
      <c r="L179" s="113"/>
      <c r="M179" s="113"/>
      <c r="N179" s="113"/>
      <c r="O179" s="113"/>
      <c r="P179" s="113"/>
      <c r="Q179" s="113"/>
      <c r="R179" s="156">
        <f>+R77</f>
        <v>0</v>
      </c>
      <c r="S179" s="116"/>
      <c r="T179" s="2"/>
    </row>
    <row r="180" spans="1:20" ht="15.6" x14ac:dyDescent="0.3">
      <c r="A180" s="112"/>
      <c r="B180" s="113" t="s">
        <v>216</v>
      </c>
      <c r="C180" s="113"/>
      <c r="D180" s="113"/>
      <c r="E180" s="113"/>
      <c r="F180" s="113"/>
      <c r="G180" s="113"/>
      <c r="H180" s="113"/>
      <c r="I180" s="113"/>
      <c r="J180" s="113"/>
      <c r="K180" s="113"/>
      <c r="L180" s="113"/>
      <c r="M180" s="113"/>
      <c r="N180" s="113"/>
      <c r="O180" s="113"/>
      <c r="P180" s="113"/>
      <c r="Q180" s="113"/>
      <c r="R180" s="156">
        <f>+R78</f>
        <v>1166</v>
      </c>
      <c r="S180" s="116"/>
      <c r="T180" s="2"/>
    </row>
    <row r="181" spans="1:20" ht="15.6" x14ac:dyDescent="0.3">
      <c r="A181" s="112"/>
      <c r="B181" s="113" t="s">
        <v>126</v>
      </c>
      <c r="C181" s="113"/>
      <c r="D181" s="113"/>
      <c r="E181" s="113"/>
      <c r="F181" s="113"/>
      <c r="G181" s="113"/>
      <c r="H181" s="113"/>
      <c r="I181" s="113"/>
      <c r="J181" s="113"/>
      <c r="K181" s="113"/>
      <c r="L181" s="113"/>
      <c r="M181" s="113"/>
      <c r="N181" s="113"/>
      <c r="O181" s="113"/>
      <c r="P181" s="113"/>
      <c r="Q181" s="113"/>
      <c r="R181" s="156">
        <f>+R178+R179+R180</f>
        <v>278448</v>
      </c>
      <c r="S181" s="116"/>
      <c r="T181" s="2"/>
    </row>
    <row r="182" spans="1:20" ht="15.6" x14ac:dyDescent="0.3">
      <c r="A182" s="112"/>
      <c r="B182" s="113" t="s">
        <v>45</v>
      </c>
      <c r="C182" s="113"/>
      <c r="D182" s="113"/>
      <c r="E182" s="113"/>
      <c r="F182" s="113"/>
      <c r="G182" s="113"/>
      <c r="H182" s="113"/>
      <c r="I182" s="113"/>
      <c r="J182" s="113"/>
      <c r="K182" s="113"/>
      <c r="L182" s="113"/>
      <c r="M182" s="113"/>
      <c r="N182" s="113"/>
      <c r="O182" s="113"/>
      <c r="P182" s="113"/>
      <c r="Q182" s="113"/>
      <c r="R182" s="156">
        <f>R80</f>
        <v>278448</v>
      </c>
      <c r="S182" s="116"/>
      <c r="T182" s="2"/>
    </row>
    <row r="183" spans="1:20" ht="16.2" thickBot="1" x14ac:dyDescent="0.35">
      <c r="A183" s="12"/>
      <c r="B183" s="43"/>
      <c r="C183" s="43"/>
      <c r="D183" s="43"/>
      <c r="E183" s="43"/>
      <c r="F183" s="43"/>
      <c r="G183" s="43"/>
      <c r="H183" s="43"/>
      <c r="I183" s="43"/>
      <c r="J183" s="43"/>
      <c r="K183" s="43"/>
      <c r="L183" s="43"/>
      <c r="M183" s="43"/>
      <c r="N183" s="43"/>
      <c r="O183" s="43"/>
      <c r="P183" s="43"/>
      <c r="Q183" s="43"/>
      <c r="R183" s="162"/>
      <c r="S183" s="217"/>
      <c r="T183" s="2"/>
    </row>
    <row r="184" spans="1:20" ht="15.6" x14ac:dyDescent="0.3">
      <c r="A184" s="10"/>
      <c r="B184" s="11"/>
      <c r="C184" s="11"/>
      <c r="D184" s="11"/>
      <c r="E184" s="11"/>
      <c r="F184" s="11"/>
      <c r="G184" s="11"/>
      <c r="H184" s="11"/>
      <c r="I184" s="11"/>
      <c r="J184" s="11"/>
      <c r="K184" s="11"/>
      <c r="L184" s="11"/>
      <c r="M184" s="11"/>
      <c r="N184" s="11"/>
      <c r="O184" s="11"/>
      <c r="P184" s="11"/>
      <c r="Q184" s="11"/>
      <c r="R184" s="32"/>
      <c r="S184" s="216"/>
      <c r="T184" s="2"/>
    </row>
    <row r="185" spans="1:20" ht="15.6" x14ac:dyDescent="0.3">
      <c r="A185" s="12"/>
      <c r="B185" s="41" t="s">
        <v>46</v>
      </c>
      <c r="C185" s="37"/>
      <c r="D185" s="45"/>
      <c r="E185" s="45"/>
      <c r="F185" s="45"/>
      <c r="G185" s="45"/>
      <c r="H185" s="45"/>
      <c r="I185" s="45"/>
      <c r="J185" s="45"/>
      <c r="K185" s="45"/>
      <c r="L185" s="45"/>
      <c r="M185" s="45"/>
      <c r="N185" s="45"/>
      <c r="O185" s="45" t="s">
        <v>82</v>
      </c>
      <c r="P185" s="45" t="s">
        <v>170</v>
      </c>
      <c r="Q185" s="16"/>
      <c r="R185" s="46" t="s">
        <v>94</v>
      </c>
      <c r="S185" s="224"/>
      <c r="T185" s="2"/>
    </row>
    <row r="186" spans="1:20" ht="15.6" x14ac:dyDescent="0.3">
      <c r="A186" s="112"/>
      <c r="B186" s="113" t="s">
        <v>47</v>
      </c>
      <c r="C186" s="113"/>
      <c r="D186" s="113"/>
      <c r="E186" s="113"/>
      <c r="F186" s="113"/>
      <c r="G186" s="113"/>
      <c r="H186" s="113"/>
      <c r="I186" s="113"/>
      <c r="J186" s="113"/>
      <c r="K186" s="113"/>
      <c r="L186" s="113"/>
      <c r="M186" s="113"/>
      <c r="N186" s="113"/>
      <c r="O186" s="156">
        <f>+R31*0.08</f>
        <v>24000.720000000001</v>
      </c>
      <c r="P186" s="145"/>
      <c r="Q186" s="113"/>
      <c r="R186" s="156"/>
      <c r="S186" s="116"/>
      <c r="T186" s="2"/>
    </row>
    <row r="187" spans="1:20" ht="15.6" x14ac:dyDescent="0.3">
      <c r="A187" s="112"/>
      <c r="B187" s="113" t="s">
        <v>48</v>
      </c>
      <c r="C187" s="113"/>
      <c r="D187" s="113"/>
      <c r="E187" s="113"/>
      <c r="F187" s="113"/>
      <c r="G187" s="113"/>
      <c r="H187" s="113"/>
      <c r="I187" s="113"/>
      <c r="J187" s="113"/>
      <c r="K187" s="113"/>
      <c r="L187" s="113"/>
      <c r="M187" s="113"/>
      <c r="N187" s="113"/>
      <c r="O187" s="156">
        <f>+'May 16'!O188</f>
        <v>321</v>
      </c>
      <c r="P187" s="156">
        <f>+'May 16'!P188</f>
        <v>635</v>
      </c>
      <c r="Q187" s="113"/>
      <c r="R187" s="156">
        <f>O187+P187</f>
        <v>956</v>
      </c>
      <c r="S187" s="116"/>
      <c r="T187" s="2"/>
    </row>
    <row r="188" spans="1:20" ht="15.6" x14ac:dyDescent="0.3">
      <c r="A188" s="112"/>
      <c r="B188" s="113" t="s">
        <v>49</v>
      </c>
      <c r="C188" s="113"/>
      <c r="D188" s="113"/>
      <c r="E188" s="113"/>
      <c r="F188" s="113"/>
      <c r="G188" s="113"/>
      <c r="H188" s="113"/>
      <c r="I188" s="113"/>
      <c r="J188" s="113"/>
      <c r="K188" s="113"/>
      <c r="L188" s="113"/>
      <c r="M188" s="113"/>
      <c r="N188" s="113"/>
      <c r="O188" s="155">
        <v>178</v>
      </c>
      <c r="P188" s="155">
        <v>43</v>
      </c>
      <c r="Q188" s="113"/>
      <c r="R188" s="156">
        <f>O188+P188</f>
        <v>221</v>
      </c>
      <c r="S188" s="116"/>
      <c r="T188" s="2"/>
    </row>
    <row r="189" spans="1:20" ht="15.6" x14ac:dyDescent="0.3">
      <c r="A189" s="112"/>
      <c r="B189" s="113" t="s">
        <v>50</v>
      </c>
      <c r="C189" s="113"/>
      <c r="D189" s="113"/>
      <c r="E189" s="113"/>
      <c r="F189" s="113"/>
      <c r="G189" s="113"/>
      <c r="H189" s="113"/>
      <c r="I189" s="113"/>
      <c r="J189" s="113"/>
      <c r="K189" s="113"/>
      <c r="L189" s="113"/>
      <c r="M189" s="113"/>
      <c r="N189" s="113"/>
      <c r="O189" s="156">
        <f>O187+O188</f>
        <v>499</v>
      </c>
      <c r="P189" s="156">
        <f>P188+P187</f>
        <v>678</v>
      </c>
      <c r="Q189" s="113"/>
      <c r="R189" s="156">
        <f>O189+P189</f>
        <v>1177</v>
      </c>
      <c r="S189" s="116"/>
      <c r="T189" s="2"/>
    </row>
    <row r="190" spans="1:20" ht="15.6" x14ac:dyDescent="0.3">
      <c r="A190" s="112"/>
      <c r="B190" s="113" t="s">
        <v>51</v>
      </c>
      <c r="C190" s="113"/>
      <c r="D190" s="113"/>
      <c r="E190" s="113"/>
      <c r="F190" s="113"/>
      <c r="G190" s="113"/>
      <c r="H190" s="113"/>
      <c r="I190" s="113"/>
      <c r="J190" s="113"/>
      <c r="K190" s="113"/>
      <c r="L190" s="113"/>
      <c r="M190" s="113"/>
      <c r="N190" s="113"/>
      <c r="O190" s="156">
        <f>O186-O189-P189</f>
        <v>22823.72</v>
      </c>
      <c r="P190" s="145"/>
      <c r="Q190" s="113"/>
      <c r="R190" s="156"/>
      <c r="S190" s="116"/>
      <c r="T190" s="2"/>
    </row>
    <row r="191" spans="1:20" ht="16.2" thickBot="1" x14ac:dyDescent="0.35">
      <c r="A191" s="12"/>
      <c r="B191" s="43"/>
      <c r="C191" s="43"/>
      <c r="D191" s="43"/>
      <c r="E191" s="43"/>
      <c r="F191" s="43"/>
      <c r="G191" s="43"/>
      <c r="H191" s="43"/>
      <c r="I191" s="43"/>
      <c r="J191" s="43"/>
      <c r="K191" s="43"/>
      <c r="L191" s="43"/>
      <c r="M191" s="43"/>
      <c r="N191" s="43"/>
      <c r="O191" s="43"/>
      <c r="P191" s="43"/>
      <c r="Q191" s="43"/>
      <c r="R191" s="162"/>
      <c r="S191" s="217"/>
      <c r="T191" s="2"/>
    </row>
    <row r="192" spans="1:20" ht="15.6" x14ac:dyDescent="0.3">
      <c r="A192" s="10"/>
      <c r="B192" s="11"/>
      <c r="C192" s="11"/>
      <c r="D192" s="11"/>
      <c r="E192" s="11"/>
      <c r="F192" s="11"/>
      <c r="G192" s="11"/>
      <c r="H192" s="11"/>
      <c r="I192" s="11"/>
      <c r="J192" s="11"/>
      <c r="K192" s="11"/>
      <c r="L192" s="11"/>
      <c r="M192" s="11"/>
      <c r="N192" s="11"/>
      <c r="O192" s="11"/>
      <c r="P192" s="11"/>
      <c r="Q192" s="11"/>
      <c r="R192" s="32"/>
      <c r="S192" s="216"/>
      <c r="T192" s="2"/>
    </row>
    <row r="193" spans="1:20" ht="15.6" x14ac:dyDescent="0.3">
      <c r="A193" s="12"/>
      <c r="B193" s="41" t="s">
        <v>52</v>
      </c>
      <c r="C193" s="14"/>
      <c r="D193" s="14"/>
      <c r="E193" s="14"/>
      <c r="F193" s="14"/>
      <c r="G193" s="14"/>
      <c r="H193" s="14"/>
      <c r="I193" s="14"/>
      <c r="J193" s="14"/>
      <c r="K193" s="14"/>
      <c r="L193" s="14"/>
      <c r="M193" s="14"/>
      <c r="N193" s="14"/>
      <c r="O193" s="14"/>
      <c r="P193" s="14"/>
      <c r="Q193" s="14"/>
      <c r="R193" s="47"/>
      <c r="S193" s="217"/>
      <c r="T193" s="2"/>
    </row>
    <row r="194" spans="1:20" ht="15.6" x14ac:dyDescent="0.3">
      <c r="A194" s="112"/>
      <c r="B194" s="113" t="s">
        <v>53</v>
      </c>
      <c r="C194" s="113"/>
      <c r="D194" s="113"/>
      <c r="E194" s="113"/>
      <c r="F194" s="113"/>
      <c r="G194" s="113"/>
      <c r="H194" s="113"/>
      <c r="I194" s="113"/>
      <c r="J194" s="113"/>
      <c r="K194" s="113"/>
      <c r="L194" s="113"/>
      <c r="M194" s="113"/>
      <c r="N194" s="113"/>
      <c r="O194" s="113"/>
      <c r="P194" s="113"/>
      <c r="Q194" s="113"/>
      <c r="R194" s="161">
        <f>(R100+R102+R103+R104+R105)/-(R106+R107)</f>
        <v>3.3116328708644609</v>
      </c>
      <c r="S194" s="116" t="s">
        <v>95</v>
      </c>
      <c r="T194" s="2"/>
    </row>
    <row r="195" spans="1:20" ht="15.6" x14ac:dyDescent="0.3">
      <c r="A195" s="112"/>
      <c r="B195" s="113" t="s">
        <v>54</v>
      </c>
      <c r="C195" s="113"/>
      <c r="D195" s="113"/>
      <c r="E195" s="113"/>
      <c r="F195" s="113"/>
      <c r="G195" s="113"/>
      <c r="H195" s="113"/>
      <c r="I195" s="113"/>
      <c r="J195" s="113"/>
      <c r="K195" s="113"/>
      <c r="L195" s="113"/>
      <c r="M195" s="113"/>
      <c r="N195" s="113"/>
      <c r="O195" s="113"/>
      <c r="P195" s="113"/>
      <c r="Q195" s="113"/>
      <c r="R195" s="241">
        <v>3.18</v>
      </c>
      <c r="S195" s="116" t="s">
        <v>95</v>
      </c>
      <c r="T195" s="2"/>
    </row>
    <row r="196" spans="1:20" ht="15.6" x14ac:dyDescent="0.3">
      <c r="A196" s="112"/>
      <c r="B196" s="113" t="s">
        <v>183</v>
      </c>
      <c r="C196" s="113"/>
      <c r="D196" s="113"/>
      <c r="E196" s="113"/>
      <c r="F196" s="113"/>
      <c r="G196" s="113"/>
      <c r="H196" s="113"/>
      <c r="I196" s="113"/>
      <c r="J196" s="113"/>
      <c r="K196" s="113"/>
      <c r="L196" s="113"/>
      <c r="M196" s="113"/>
      <c r="N196" s="113"/>
      <c r="O196" s="113"/>
      <c r="P196" s="113"/>
      <c r="Q196" s="113"/>
      <c r="R196" s="242">
        <f>(R100+R102+R103+R104+R105+R106+R107)/-(R108)</f>
        <v>37.344827586206897</v>
      </c>
      <c r="S196" s="116" t="s">
        <v>95</v>
      </c>
      <c r="T196" s="2"/>
    </row>
    <row r="197" spans="1:20" ht="15.6" x14ac:dyDescent="0.3">
      <c r="A197" s="112"/>
      <c r="B197" s="113" t="s">
        <v>184</v>
      </c>
      <c r="C197" s="113"/>
      <c r="D197" s="113"/>
      <c r="E197" s="113"/>
      <c r="F197" s="113"/>
      <c r="G197" s="113"/>
      <c r="H197" s="113"/>
      <c r="I197" s="113"/>
      <c r="J197" s="113"/>
      <c r="K197" s="113"/>
      <c r="L197" s="113"/>
      <c r="M197" s="113"/>
      <c r="N197" s="113"/>
      <c r="O197" s="113"/>
      <c r="P197" s="113"/>
      <c r="Q197" s="113"/>
      <c r="R197" s="241">
        <v>36.47</v>
      </c>
      <c r="S197" s="116" t="s">
        <v>95</v>
      </c>
      <c r="T197" s="2"/>
    </row>
    <row r="198" spans="1:20" ht="15.6" x14ac:dyDescent="0.3">
      <c r="A198" s="112"/>
      <c r="B198" s="113" t="s">
        <v>185</v>
      </c>
      <c r="C198" s="113"/>
      <c r="D198" s="113"/>
      <c r="E198" s="113"/>
      <c r="F198" s="113"/>
      <c r="G198" s="113"/>
      <c r="H198" s="113"/>
      <c r="I198" s="113"/>
      <c r="J198" s="113"/>
      <c r="K198" s="113"/>
      <c r="L198" s="113"/>
      <c r="M198" s="113"/>
      <c r="N198" s="113"/>
      <c r="O198" s="113"/>
      <c r="P198" s="113"/>
      <c r="Q198" s="113"/>
      <c r="R198" s="242">
        <f>(R100+R102+R103+R104+R105+R106+R107+R108)/-(R109)</f>
        <v>31.46268656716418</v>
      </c>
      <c r="S198" s="116" t="s">
        <v>95</v>
      </c>
      <c r="T198" s="2"/>
    </row>
    <row r="199" spans="1:20" ht="15.6" x14ac:dyDescent="0.3">
      <c r="A199" s="112"/>
      <c r="B199" s="113" t="s">
        <v>186</v>
      </c>
      <c r="C199" s="113"/>
      <c r="D199" s="113"/>
      <c r="E199" s="113"/>
      <c r="F199" s="113"/>
      <c r="G199" s="113"/>
      <c r="H199" s="113"/>
      <c r="I199" s="113"/>
      <c r="J199" s="113"/>
      <c r="K199" s="113"/>
      <c r="L199" s="113"/>
      <c r="M199" s="113"/>
      <c r="N199" s="113"/>
      <c r="O199" s="113"/>
      <c r="P199" s="113"/>
      <c r="Q199" s="113"/>
      <c r="R199" s="241">
        <v>30.71</v>
      </c>
      <c r="S199" s="116" t="s">
        <v>95</v>
      </c>
      <c r="T199" s="2"/>
    </row>
    <row r="200" spans="1:20" ht="15.6" x14ac:dyDescent="0.3">
      <c r="A200" s="112"/>
      <c r="B200" s="113" t="s">
        <v>257</v>
      </c>
      <c r="C200" s="113"/>
      <c r="D200" s="113"/>
      <c r="E200" s="113"/>
      <c r="F200" s="113"/>
      <c r="G200" s="113"/>
      <c r="H200" s="113"/>
      <c r="I200" s="113"/>
      <c r="J200" s="113"/>
      <c r="K200" s="113"/>
      <c r="L200" s="113"/>
      <c r="M200" s="113"/>
      <c r="N200" s="113"/>
      <c r="O200" s="113"/>
      <c r="P200" s="113"/>
      <c r="Q200" s="113"/>
      <c r="R200" s="242">
        <f>(R100+R102+R103+R104+R105+R106+R107+R108+R109+R110+R111+R112+R113+R114)/-(R115)</f>
        <v>41.244897959183675</v>
      </c>
      <c r="S200" s="116" t="s">
        <v>95</v>
      </c>
      <c r="T200" s="2"/>
    </row>
    <row r="201" spans="1:20" ht="15.6" x14ac:dyDescent="0.3">
      <c r="A201" s="112"/>
      <c r="B201" s="113" t="s">
        <v>258</v>
      </c>
      <c r="C201" s="113"/>
      <c r="D201" s="113"/>
      <c r="E201" s="113"/>
      <c r="F201" s="113"/>
      <c r="G201" s="113"/>
      <c r="H201" s="113"/>
      <c r="I201" s="113"/>
      <c r="J201" s="113"/>
      <c r="K201" s="113"/>
      <c r="L201" s="113"/>
      <c r="M201" s="113"/>
      <c r="N201" s="113"/>
      <c r="O201" s="113"/>
      <c r="P201" s="113"/>
      <c r="Q201" s="113"/>
      <c r="R201" s="241">
        <v>40.6</v>
      </c>
      <c r="S201" s="116" t="s">
        <v>95</v>
      </c>
      <c r="T201" s="2"/>
    </row>
    <row r="202" spans="1:20" ht="15.6" x14ac:dyDescent="0.3">
      <c r="A202" s="112"/>
      <c r="B202" s="113"/>
      <c r="C202" s="113"/>
      <c r="D202" s="113"/>
      <c r="E202" s="113"/>
      <c r="F202" s="113"/>
      <c r="G202" s="113"/>
      <c r="H202" s="113"/>
      <c r="I202" s="113"/>
      <c r="J202" s="113"/>
      <c r="K202" s="113"/>
      <c r="L202" s="113"/>
      <c r="M202" s="113"/>
      <c r="N202" s="113"/>
      <c r="O202" s="113"/>
      <c r="P202" s="113"/>
      <c r="Q202" s="113"/>
      <c r="R202" s="113"/>
      <c r="S202" s="116"/>
      <c r="T202" s="2"/>
    </row>
    <row r="203" spans="1:20" ht="15.6" x14ac:dyDescent="0.3">
      <c r="A203" s="12"/>
      <c r="B203" s="163"/>
      <c r="C203" s="163"/>
      <c r="D203" s="163"/>
      <c r="E203" s="163"/>
      <c r="F203" s="163"/>
      <c r="G203" s="163"/>
      <c r="H203" s="163"/>
      <c r="I203" s="163"/>
      <c r="J203" s="163"/>
      <c r="K203" s="163"/>
      <c r="L203" s="163"/>
      <c r="M203" s="163"/>
      <c r="N203" s="163"/>
      <c r="O203" s="163"/>
      <c r="P203" s="163"/>
      <c r="Q203" s="163"/>
      <c r="R203" s="163"/>
      <c r="S203" s="218"/>
      <c r="T203" s="2"/>
    </row>
    <row r="204" spans="1:20" ht="15.6" x14ac:dyDescent="0.3">
      <c r="A204" s="12"/>
      <c r="B204" s="84"/>
      <c r="C204" s="84"/>
      <c r="D204" s="84"/>
      <c r="E204" s="84"/>
      <c r="F204" s="84"/>
      <c r="G204" s="84"/>
      <c r="H204" s="84"/>
      <c r="I204" s="84"/>
      <c r="J204" s="84"/>
      <c r="K204" s="84"/>
      <c r="L204" s="84"/>
      <c r="M204" s="84"/>
      <c r="N204" s="84"/>
      <c r="O204" s="84"/>
      <c r="P204" s="84"/>
      <c r="Q204" s="84"/>
      <c r="R204" s="84"/>
      <c r="S204" s="218"/>
      <c r="T204" s="2"/>
    </row>
    <row r="205" spans="1:20" ht="18" thickBot="1" x14ac:dyDescent="0.35">
      <c r="A205" s="28"/>
      <c r="B205" s="97" t="str">
        <f>B132</f>
        <v>PM22 INVESTOR REPORT QUARTER ENDING AUGUST 2016</v>
      </c>
      <c r="C205" s="98"/>
      <c r="D205" s="98"/>
      <c r="E205" s="98"/>
      <c r="F205" s="98"/>
      <c r="G205" s="98"/>
      <c r="H205" s="98"/>
      <c r="I205" s="98"/>
      <c r="J205" s="98"/>
      <c r="K205" s="98"/>
      <c r="L205" s="98"/>
      <c r="M205" s="98"/>
      <c r="N205" s="98"/>
      <c r="O205" s="98"/>
      <c r="P205" s="98"/>
      <c r="Q205" s="98"/>
      <c r="R205" s="98"/>
      <c r="S205" s="99"/>
      <c r="T205" s="2"/>
    </row>
    <row r="206" spans="1:20" ht="15.6" x14ac:dyDescent="0.3">
      <c r="A206" s="65"/>
      <c r="B206" s="66" t="s">
        <v>55</v>
      </c>
      <c r="C206" s="69"/>
      <c r="D206" s="70"/>
      <c r="E206" s="70"/>
      <c r="F206" s="70"/>
      <c r="G206" s="70"/>
      <c r="H206" s="70"/>
      <c r="I206" s="70"/>
      <c r="J206" s="70"/>
      <c r="K206" s="70"/>
      <c r="L206" s="70"/>
      <c r="M206" s="70"/>
      <c r="N206" s="70"/>
      <c r="O206" s="70"/>
      <c r="P206" s="70">
        <v>42613</v>
      </c>
      <c r="Q206" s="67"/>
      <c r="R206" s="67"/>
      <c r="S206" s="223"/>
      <c r="T206" s="2"/>
    </row>
    <row r="207" spans="1:20" ht="15.6" x14ac:dyDescent="0.3">
      <c r="A207" s="48"/>
      <c r="B207" s="49"/>
      <c r="C207" s="50"/>
      <c r="D207" s="51"/>
      <c r="E207" s="51"/>
      <c r="F207" s="51"/>
      <c r="G207" s="51"/>
      <c r="H207" s="51"/>
      <c r="I207" s="51"/>
      <c r="J207" s="51"/>
      <c r="K207" s="51"/>
      <c r="L207" s="51"/>
      <c r="M207" s="51"/>
      <c r="N207" s="51"/>
      <c r="O207" s="51"/>
      <c r="P207" s="51"/>
      <c r="Q207" s="14"/>
      <c r="R207" s="14"/>
      <c r="S207" s="217"/>
      <c r="T207" s="2"/>
    </row>
    <row r="208" spans="1:20" ht="15.6" x14ac:dyDescent="0.3">
      <c r="A208" s="166"/>
      <c r="B208" s="113" t="s">
        <v>56</v>
      </c>
      <c r="C208" s="167"/>
      <c r="D208" s="148"/>
      <c r="E208" s="148"/>
      <c r="F208" s="148"/>
      <c r="G208" s="148"/>
      <c r="H208" s="148"/>
      <c r="I208" s="148"/>
      <c r="J208" s="148"/>
      <c r="K208" s="148"/>
      <c r="L208" s="148"/>
      <c r="M208" s="148"/>
      <c r="N208" s="148"/>
      <c r="O208" s="148"/>
      <c r="P208" s="142">
        <v>4.079E-2</v>
      </c>
      <c r="Q208" s="113"/>
      <c r="R208" s="113"/>
      <c r="S208" s="116"/>
      <c r="T208" s="2"/>
    </row>
    <row r="209" spans="1:20" ht="15.6" x14ac:dyDescent="0.3">
      <c r="A209" s="166"/>
      <c r="B209" s="113" t="s">
        <v>158</v>
      </c>
      <c r="C209" s="167"/>
      <c r="D209" s="148"/>
      <c r="E209" s="148"/>
      <c r="F209" s="148"/>
      <c r="G209" s="148"/>
      <c r="H209" s="148"/>
      <c r="I209" s="148"/>
      <c r="J209" s="148"/>
      <c r="K209" s="148"/>
      <c r="L209" s="148"/>
      <c r="M209" s="148"/>
      <c r="N209" s="148"/>
      <c r="O209" s="148"/>
      <c r="P209" s="142">
        <v>1.5340718167454973E-2</v>
      </c>
      <c r="Q209" s="113"/>
      <c r="R209" s="113"/>
      <c r="S209" s="116"/>
      <c r="T209" s="2"/>
    </row>
    <row r="210" spans="1:20" ht="15.6" x14ac:dyDescent="0.3">
      <c r="A210" s="166"/>
      <c r="B210" s="113" t="s">
        <v>57</v>
      </c>
      <c r="C210" s="167"/>
      <c r="D210" s="148"/>
      <c r="E210" s="148"/>
      <c r="F210" s="148"/>
      <c r="G210" s="148"/>
      <c r="H210" s="148"/>
      <c r="I210" s="148"/>
      <c r="J210" s="148"/>
      <c r="K210" s="148"/>
      <c r="L210" s="148"/>
      <c r="M210" s="148"/>
      <c r="N210" s="148"/>
      <c r="O210" s="148"/>
      <c r="P210" s="210">
        <f>P208-P209</f>
        <v>2.5449281832545027E-2</v>
      </c>
      <c r="Q210" s="113"/>
      <c r="R210" s="113"/>
      <c r="S210" s="116"/>
      <c r="T210" s="2"/>
    </row>
    <row r="211" spans="1:20" ht="15.6" x14ac:dyDescent="0.3">
      <c r="A211" s="166"/>
      <c r="B211" s="113" t="s">
        <v>161</v>
      </c>
      <c r="C211" s="167"/>
      <c r="D211" s="148"/>
      <c r="E211" s="148"/>
      <c r="F211" s="148"/>
      <c r="G211" s="148"/>
      <c r="H211" s="148"/>
      <c r="I211" s="148"/>
      <c r="J211" s="148"/>
      <c r="K211" s="148"/>
      <c r="L211" s="148"/>
      <c r="M211" s="148"/>
      <c r="N211" s="148"/>
      <c r="O211" s="148"/>
      <c r="P211" s="210">
        <v>4.5718800000000004E-2</v>
      </c>
      <c r="Q211" s="113"/>
      <c r="R211" s="113"/>
      <c r="S211" s="116"/>
      <c r="T211" s="2"/>
    </row>
    <row r="212" spans="1:20" ht="15.6" x14ac:dyDescent="0.3">
      <c r="A212" s="166"/>
      <c r="B212" s="113" t="s">
        <v>58</v>
      </c>
      <c r="C212" s="167"/>
      <c r="D212" s="148"/>
      <c r="E212" s="148"/>
      <c r="F212" s="148"/>
      <c r="G212" s="148"/>
      <c r="H212" s="148"/>
      <c r="I212" s="148"/>
      <c r="J212" s="148"/>
      <c r="K212" s="148"/>
      <c r="L212" s="148"/>
      <c r="M212" s="148"/>
      <c r="N212" s="148"/>
      <c r="O212" s="148"/>
      <c r="P212" s="208">
        <v>4.0680000000000001E-2</v>
      </c>
      <c r="Q212" s="113"/>
      <c r="R212" s="113"/>
      <c r="S212" s="116"/>
      <c r="T212" s="2"/>
    </row>
    <row r="213" spans="1:20" ht="15.6" x14ac:dyDescent="0.3">
      <c r="A213" s="166"/>
      <c r="B213" s="113" t="s">
        <v>159</v>
      </c>
      <c r="C213" s="167"/>
      <c r="D213" s="148"/>
      <c r="E213" s="148"/>
      <c r="F213" s="148"/>
      <c r="G213" s="148"/>
      <c r="H213" s="148"/>
      <c r="I213" s="148"/>
      <c r="J213" s="148"/>
      <c r="K213" s="148"/>
      <c r="L213" s="148"/>
      <c r="M213" s="148"/>
      <c r="N213" s="148"/>
      <c r="O213" s="148"/>
      <c r="P213" s="142">
        <f>R40</f>
        <v>1.5557196520275577E-2</v>
      </c>
      <c r="Q213" s="113"/>
      <c r="R213" s="113"/>
      <c r="S213" s="116"/>
      <c r="T213" s="2"/>
    </row>
    <row r="214" spans="1:20" ht="15.6" x14ac:dyDescent="0.3">
      <c r="A214" s="166"/>
      <c r="B214" s="113" t="s">
        <v>59</v>
      </c>
      <c r="C214" s="167"/>
      <c r="D214" s="148"/>
      <c r="E214" s="148"/>
      <c r="F214" s="148"/>
      <c r="G214" s="148"/>
      <c r="H214" s="148"/>
      <c r="I214" s="148"/>
      <c r="J214" s="148"/>
      <c r="K214" s="148"/>
      <c r="L214" s="148"/>
      <c r="M214" s="148"/>
      <c r="N214" s="148"/>
      <c r="O214" s="148"/>
      <c r="P214" s="142">
        <f>P212-P213</f>
        <v>2.5122803479724426E-2</v>
      </c>
      <c r="Q214" s="113"/>
      <c r="R214" s="113"/>
      <c r="S214" s="116"/>
      <c r="T214" s="2"/>
    </row>
    <row r="215" spans="1:20" ht="15.6" x14ac:dyDescent="0.3">
      <c r="A215" s="166"/>
      <c r="B215" s="113" t="s">
        <v>139</v>
      </c>
      <c r="C215" s="167"/>
      <c r="D215" s="148"/>
      <c r="E215" s="148"/>
      <c r="F215" s="148"/>
      <c r="G215" s="148"/>
      <c r="H215" s="148"/>
      <c r="I215" s="148"/>
      <c r="J215" s="148"/>
      <c r="K215" s="148"/>
      <c r="L215" s="148"/>
      <c r="M215" s="148"/>
      <c r="N215" s="148"/>
      <c r="O215" s="148"/>
      <c r="P215" s="142">
        <f>(+R100+R102)/H80</f>
        <v>1.2395950585570168E-2</v>
      </c>
      <c r="Q215" s="113"/>
      <c r="R215" s="113"/>
      <c r="S215" s="116"/>
      <c r="T215" s="2"/>
    </row>
    <row r="216" spans="1:20" ht="15.6" x14ac:dyDescent="0.3">
      <c r="A216" s="166"/>
      <c r="B216" s="113" t="s">
        <v>132</v>
      </c>
      <c r="C216" s="167"/>
      <c r="D216" s="148"/>
      <c r="E216" s="148"/>
      <c r="F216" s="148"/>
      <c r="G216" s="148"/>
      <c r="H216" s="148"/>
      <c r="I216" s="148"/>
      <c r="J216" s="148"/>
      <c r="K216" s="148"/>
      <c r="L216" s="148"/>
      <c r="M216" s="148"/>
      <c r="N216" s="148"/>
      <c r="O216" s="148"/>
      <c r="P216" s="168">
        <v>52124</v>
      </c>
      <c r="Q216" s="113"/>
      <c r="R216" s="113"/>
      <c r="S216" s="116"/>
      <c r="T216" s="2"/>
    </row>
    <row r="217" spans="1:20" ht="15.6" x14ac:dyDescent="0.3">
      <c r="A217" s="166"/>
      <c r="B217" s="113" t="s">
        <v>187</v>
      </c>
      <c r="C217" s="167"/>
      <c r="D217" s="148"/>
      <c r="E217" s="148"/>
      <c r="F217" s="148"/>
      <c r="G217" s="148"/>
      <c r="H217" s="148"/>
      <c r="I217" s="148"/>
      <c r="J217" s="148"/>
      <c r="K217" s="148"/>
      <c r="L217" s="148"/>
      <c r="M217" s="148"/>
      <c r="N217" s="148"/>
      <c r="O217" s="148"/>
      <c r="P217" s="168">
        <v>15599</v>
      </c>
      <c r="Q217" s="113"/>
      <c r="R217" s="113"/>
      <c r="S217" s="116"/>
      <c r="T217" s="2"/>
    </row>
    <row r="218" spans="1:20" ht="15.6" x14ac:dyDescent="0.3">
      <c r="A218" s="166"/>
      <c r="B218" s="113" t="s">
        <v>188</v>
      </c>
      <c r="C218" s="167"/>
      <c r="D218" s="148"/>
      <c r="E218" s="148"/>
      <c r="F218" s="148"/>
      <c r="G218" s="148"/>
      <c r="H218" s="148"/>
      <c r="I218" s="148"/>
      <c r="J218" s="148"/>
      <c r="K218" s="148"/>
      <c r="L218" s="148"/>
      <c r="M218" s="148"/>
      <c r="N218" s="148"/>
      <c r="O218" s="148"/>
      <c r="P218" s="168">
        <v>15599</v>
      </c>
      <c r="Q218" s="113"/>
      <c r="R218" s="113"/>
      <c r="S218" s="116"/>
      <c r="T218" s="2"/>
    </row>
    <row r="219" spans="1:20" ht="15.6" x14ac:dyDescent="0.3">
      <c r="A219" s="166"/>
      <c r="B219" s="113" t="s">
        <v>259</v>
      </c>
      <c r="C219" s="167"/>
      <c r="D219" s="148"/>
      <c r="E219" s="148"/>
      <c r="F219" s="148"/>
      <c r="G219" s="148"/>
      <c r="H219" s="148"/>
      <c r="I219" s="148"/>
      <c r="J219" s="148"/>
      <c r="K219" s="148"/>
      <c r="L219" s="148"/>
      <c r="M219" s="148"/>
      <c r="N219" s="148"/>
      <c r="O219" s="148"/>
      <c r="P219" s="168">
        <v>15599</v>
      </c>
      <c r="Q219" s="113"/>
      <c r="R219" s="113"/>
      <c r="S219" s="116"/>
      <c r="T219" s="2"/>
    </row>
    <row r="220" spans="1:20" ht="15.6" x14ac:dyDescent="0.3">
      <c r="A220" s="166"/>
      <c r="B220" s="113" t="s">
        <v>60</v>
      </c>
      <c r="C220" s="167"/>
      <c r="D220" s="148"/>
      <c r="E220" s="148"/>
      <c r="F220" s="148"/>
      <c r="G220" s="148"/>
      <c r="H220" s="148"/>
      <c r="I220" s="148"/>
      <c r="J220" s="148"/>
      <c r="K220" s="148"/>
      <c r="L220" s="148"/>
      <c r="M220" s="148"/>
      <c r="N220" s="148"/>
      <c r="O220" s="148"/>
      <c r="P220" s="146">
        <v>20.55</v>
      </c>
      <c r="Q220" s="113" t="s">
        <v>90</v>
      </c>
      <c r="R220" s="113"/>
      <c r="S220" s="116"/>
      <c r="T220" s="2"/>
    </row>
    <row r="221" spans="1:20" ht="15.6" x14ac:dyDescent="0.3">
      <c r="A221" s="166"/>
      <c r="B221" s="113" t="s">
        <v>61</v>
      </c>
      <c r="C221" s="167"/>
      <c r="D221" s="148"/>
      <c r="E221" s="148"/>
      <c r="F221" s="148"/>
      <c r="G221" s="148"/>
      <c r="H221" s="148"/>
      <c r="I221" s="148"/>
      <c r="J221" s="148"/>
      <c r="K221" s="148"/>
      <c r="L221" s="148"/>
      <c r="M221" s="148"/>
      <c r="N221" s="148"/>
      <c r="O221" s="148"/>
      <c r="P221" s="209">
        <v>19.239999999999998</v>
      </c>
      <c r="Q221" s="113" t="s">
        <v>90</v>
      </c>
      <c r="R221" s="113"/>
      <c r="S221" s="116"/>
      <c r="T221" s="2"/>
    </row>
    <row r="222" spans="1:20" ht="15.6" x14ac:dyDescent="0.3">
      <c r="A222" s="166"/>
      <c r="B222" s="113" t="s">
        <v>62</v>
      </c>
      <c r="C222" s="167"/>
      <c r="D222" s="148"/>
      <c r="E222" s="148"/>
      <c r="F222" s="148"/>
      <c r="G222" s="148"/>
      <c r="H222" s="148"/>
      <c r="I222" s="148"/>
      <c r="J222" s="148"/>
      <c r="K222" s="148"/>
      <c r="L222" s="148"/>
      <c r="M222" s="148"/>
      <c r="N222" s="148"/>
      <c r="O222" s="148"/>
      <c r="P222" s="142">
        <f>(+J64+L64)/H64</f>
        <v>1.7705766605803832E-2</v>
      </c>
      <c r="Q222" s="113"/>
      <c r="R222" s="113"/>
      <c r="S222" s="116"/>
      <c r="T222" s="2"/>
    </row>
    <row r="223" spans="1:20" ht="15.6" x14ac:dyDescent="0.3">
      <c r="A223" s="166"/>
      <c r="B223" s="113" t="s">
        <v>63</v>
      </c>
      <c r="C223" s="167"/>
      <c r="D223" s="148"/>
      <c r="E223" s="148"/>
      <c r="F223" s="148"/>
      <c r="G223" s="148"/>
      <c r="H223" s="148"/>
      <c r="I223" s="148"/>
      <c r="J223" s="148"/>
      <c r="K223" s="148"/>
      <c r="L223" s="148"/>
      <c r="M223" s="148"/>
      <c r="N223" s="148"/>
      <c r="O223" s="148"/>
      <c r="P223" s="210">
        <v>4.8899999999999999E-2</v>
      </c>
      <c r="Q223" s="113"/>
      <c r="R223" s="113"/>
      <c r="S223" s="116"/>
      <c r="T223" s="2"/>
    </row>
    <row r="224" spans="1:20" ht="15.6" x14ac:dyDescent="0.3">
      <c r="A224" s="48"/>
      <c r="B224" s="164"/>
      <c r="C224" s="164"/>
      <c r="D224" s="43"/>
      <c r="E224" s="43"/>
      <c r="F224" s="43"/>
      <c r="G224" s="43"/>
      <c r="H224" s="43"/>
      <c r="I224" s="43"/>
      <c r="J224" s="43"/>
      <c r="K224" s="43"/>
      <c r="L224" s="43"/>
      <c r="M224" s="43"/>
      <c r="N224" s="43"/>
      <c r="O224" s="43"/>
      <c r="P224" s="162"/>
      <c r="Q224" s="43"/>
      <c r="R224" s="165"/>
      <c r="S224" s="217"/>
      <c r="T224" s="2"/>
    </row>
    <row r="225" spans="1:20" ht="15.6" x14ac:dyDescent="0.3">
      <c r="A225" s="71"/>
      <c r="B225" s="61" t="s">
        <v>64</v>
      </c>
      <c r="C225" s="62"/>
      <c r="D225" s="62"/>
      <c r="E225" s="62"/>
      <c r="F225" s="62"/>
      <c r="G225" s="62"/>
      <c r="H225" s="62"/>
      <c r="I225" s="62"/>
      <c r="J225" s="62"/>
      <c r="K225" s="62"/>
      <c r="L225" s="62"/>
      <c r="M225" s="62"/>
      <c r="N225" s="62"/>
      <c r="O225" s="62" t="s">
        <v>83</v>
      </c>
      <c r="P225" s="72" t="s">
        <v>88</v>
      </c>
      <c r="Q225" s="54"/>
      <c r="R225" s="54"/>
      <c r="S225" s="219"/>
      <c r="T225" s="2"/>
    </row>
    <row r="226" spans="1:20" ht="15.6" x14ac:dyDescent="0.3">
      <c r="A226" s="52"/>
      <c r="B226" s="79" t="s">
        <v>65</v>
      </c>
      <c r="C226" s="78"/>
      <c r="D226" s="95"/>
      <c r="E226" s="95"/>
      <c r="F226" s="95"/>
      <c r="G226" s="95"/>
      <c r="H226" s="95"/>
      <c r="I226" s="95"/>
      <c r="J226" s="95"/>
      <c r="K226" s="95"/>
      <c r="L226" s="95"/>
      <c r="M226" s="95"/>
      <c r="N226" s="95"/>
      <c r="O226" s="95">
        <v>0</v>
      </c>
      <c r="P226" s="96">
        <v>0</v>
      </c>
      <c r="Q226" s="79"/>
      <c r="R226" s="94"/>
      <c r="S226" s="225"/>
      <c r="T226" s="2"/>
    </row>
    <row r="227" spans="1:20" ht="15.6" x14ac:dyDescent="0.3">
      <c r="A227" s="172"/>
      <c r="B227" s="113" t="s">
        <v>113</v>
      </c>
      <c r="C227" s="155"/>
      <c r="D227" s="123"/>
      <c r="E227" s="123"/>
      <c r="F227" s="123"/>
      <c r="G227" s="123"/>
      <c r="H227" s="123"/>
      <c r="I227" s="123"/>
      <c r="J227" s="123"/>
      <c r="K227" s="123"/>
      <c r="L227" s="123"/>
      <c r="M227" s="123"/>
      <c r="N227" s="123"/>
      <c r="O227" s="173">
        <f>+N279</f>
        <v>0</v>
      </c>
      <c r="P227" s="174">
        <f>+P279</f>
        <v>0</v>
      </c>
      <c r="Q227" s="113"/>
      <c r="R227" s="175"/>
      <c r="S227" s="176"/>
      <c r="T227" s="2"/>
    </row>
    <row r="228" spans="1:20" ht="15.6" x14ac:dyDescent="0.3">
      <c r="A228" s="172"/>
      <c r="B228" s="113" t="s">
        <v>66</v>
      </c>
      <c r="C228" s="155"/>
      <c r="D228" s="123"/>
      <c r="E228" s="123"/>
      <c r="F228" s="123"/>
      <c r="G228" s="123"/>
      <c r="H228" s="123"/>
      <c r="I228" s="123"/>
      <c r="J228" s="123"/>
      <c r="K228" s="123"/>
      <c r="L228" s="123"/>
      <c r="M228" s="123"/>
      <c r="N228" s="123"/>
      <c r="O228" s="173">
        <f>+N291</f>
        <v>0</v>
      </c>
      <c r="P228" s="174">
        <f>+P291</f>
        <v>0</v>
      </c>
      <c r="Q228" s="113"/>
      <c r="R228" s="175"/>
      <c r="S228" s="176"/>
      <c r="T228" s="2"/>
    </row>
    <row r="229" spans="1:20" ht="15.6" x14ac:dyDescent="0.3">
      <c r="A229" s="172"/>
      <c r="B229" s="134" t="s">
        <v>284</v>
      </c>
      <c r="C229" s="177"/>
      <c r="D229" s="135"/>
      <c r="E229" s="135"/>
      <c r="F229" s="135"/>
      <c r="G229" s="135"/>
      <c r="H229" s="135"/>
      <c r="I229" s="135"/>
      <c r="J229" s="135"/>
      <c r="K229" s="135"/>
      <c r="L229" s="135"/>
      <c r="M229" s="135"/>
      <c r="N229" s="135"/>
      <c r="O229" s="113"/>
      <c r="P229" s="174">
        <v>0</v>
      </c>
      <c r="Q229" s="135"/>
      <c r="R229" s="178"/>
      <c r="S229" s="176"/>
      <c r="T229" s="2"/>
    </row>
    <row r="230" spans="1:20" ht="15.6" x14ac:dyDescent="0.3">
      <c r="A230" s="172"/>
      <c r="B230" s="134" t="s">
        <v>140</v>
      </c>
      <c r="C230" s="177"/>
      <c r="D230" s="135"/>
      <c r="E230" s="135"/>
      <c r="F230" s="135"/>
      <c r="G230" s="135"/>
      <c r="H230" s="135"/>
      <c r="I230" s="135"/>
      <c r="J230" s="135"/>
      <c r="K230" s="135"/>
      <c r="L230" s="135"/>
      <c r="M230" s="135"/>
      <c r="N230" s="135"/>
      <c r="O230" s="113"/>
      <c r="P230" s="174">
        <f>-J77</f>
        <v>0</v>
      </c>
      <c r="Q230" s="135"/>
      <c r="R230" s="178"/>
      <c r="S230" s="176"/>
      <c r="T230" s="2"/>
    </row>
    <row r="231" spans="1:20" ht="15.6" x14ac:dyDescent="0.3">
      <c r="A231" s="179"/>
      <c r="B231" s="134" t="s">
        <v>67</v>
      </c>
      <c r="C231" s="180"/>
      <c r="D231" s="135"/>
      <c r="E231" s="135"/>
      <c r="F231" s="135"/>
      <c r="G231" s="135"/>
      <c r="H231" s="135"/>
      <c r="I231" s="135"/>
      <c r="J231" s="135"/>
      <c r="K231" s="135"/>
      <c r="L231" s="135"/>
      <c r="M231" s="135"/>
      <c r="N231" s="135"/>
      <c r="O231" s="113"/>
      <c r="P231" s="174"/>
      <c r="Q231" s="135"/>
      <c r="R231" s="178"/>
      <c r="S231" s="181"/>
      <c r="T231" s="2"/>
    </row>
    <row r="232" spans="1:20" ht="15.6" x14ac:dyDescent="0.3">
      <c r="A232" s="179"/>
      <c r="B232" s="118" t="s">
        <v>68</v>
      </c>
      <c r="C232" s="180"/>
      <c r="D232" s="135"/>
      <c r="E232" s="135"/>
      <c r="F232" s="135"/>
      <c r="G232" s="135"/>
      <c r="H232" s="135"/>
      <c r="I232" s="135"/>
      <c r="J232" s="135"/>
      <c r="K232" s="135"/>
      <c r="L232" s="135"/>
      <c r="M232" s="135"/>
      <c r="N232" s="135"/>
      <c r="O232" s="123"/>
      <c r="P232" s="174">
        <f>R162</f>
        <v>0</v>
      </c>
      <c r="Q232" s="135"/>
      <c r="R232" s="178"/>
      <c r="S232" s="181"/>
      <c r="T232" s="2"/>
    </row>
    <row r="233" spans="1:20" ht="15.6" x14ac:dyDescent="0.3">
      <c r="A233" s="172"/>
      <c r="B233" s="113" t="s">
        <v>69</v>
      </c>
      <c r="C233" s="177"/>
      <c r="D233" s="135"/>
      <c r="E233" s="135"/>
      <c r="F233" s="135"/>
      <c r="G233" s="135"/>
      <c r="H233" s="135"/>
      <c r="I233" s="135"/>
      <c r="J233" s="135"/>
      <c r="K233" s="135"/>
      <c r="L233" s="135"/>
      <c r="M233" s="135"/>
      <c r="N233" s="135"/>
      <c r="O233" s="123"/>
      <c r="P233" s="174">
        <f>'May 16'!P232+P232</f>
        <v>0</v>
      </c>
      <c r="Q233" s="135"/>
      <c r="R233" s="178"/>
      <c r="S233" s="181"/>
      <c r="T233" s="2"/>
    </row>
    <row r="234" spans="1:20" ht="15.6" x14ac:dyDescent="0.3">
      <c r="A234" s="179"/>
      <c r="B234" s="134" t="s">
        <v>151</v>
      </c>
      <c r="C234" s="180"/>
      <c r="D234" s="135"/>
      <c r="E234" s="135"/>
      <c r="F234" s="135"/>
      <c r="G234" s="135"/>
      <c r="H234" s="135"/>
      <c r="I234" s="135"/>
      <c r="J234" s="135"/>
      <c r="K234" s="135"/>
      <c r="L234" s="135"/>
      <c r="M234" s="135"/>
      <c r="N234" s="135"/>
      <c r="O234" s="123"/>
      <c r="P234" s="174"/>
      <c r="Q234" s="135"/>
      <c r="R234" s="178"/>
      <c r="S234" s="181"/>
      <c r="T234" s="2"/>
    </row>
    <row r="235" spans="1:20" ht="15.6" x14ac:dyDescent="0.3">
      <c r="A235" s="179"/>
      <c r="B235" s="113" t="s">
        <v>160</v>
      </c>
      <c r="C235" s="180"/>
      <c r="D235" s="135"/>
      <c r="E235" s="135"/>
      <c r="F235" s="135"/>
      <c r="G235" s="135"/>
      <c r="H235" s="135"/>
      <c r="I235" s="135"/>
      <c r="J235" s="135"/>
      <c r="K235" s="135"/>
      <c r="L235" s="135"/>
      <c r="M235" s="135"/>
      <c r="N235" s="135"/>
      <c r="O235" s="123">
        <v>0</v>
      </c>
      <c r="P235" s="174">
        <v>0</v>
      </c>
      <c r="Q235" s="135"/>
      <c r="R235" s="178"/>
      <c r="S235" s="181"/>
      <c r="T235" s="2"/>
    </row>
    <row r="236" spans="1:20" ht="15.6" x14ac:dyDescent="0.3">
      <c r="A236" s="172"/>
      <c r="B236" s="113" t="s">
        <v>70</v>
      </c>
      <c r="C236" s="182"/>
      <c r="D236" s="135"/>
      <c r="E236" s="135"/>
      <c r="F236" s="135"/>
      <c r="G236" s="135"/>
      <c r="H236" s="135"/>
      <c r="I236" s="135"/>
      <c r="J236" s="135"/>
      <c r="K236" s="135"/>
      <c r="L236" s="135"/>
      <c r="M236" s="135"/>
      <c r="N236" s="135"/>
      <c r="O236" s="113"/>
      <c r="P236" s="183">
        <v>0</v>
      </c>
      <c r="Q236" s="135"/>
      <c r="R236" s="178"/>
      <c r="S236" s="181"/>
      <c r="T236" s="2"/>
    </row>
    <row r="237" spans="1:20" ht="15.6" x14ac:dyDescent="0.3">
      <c r="A237" s="172"/>
      <c r="B237" s="113" t="s">
        <v>71</v>
      </c>
      <c r="C237" s="182"/>
      <c r="D237" s="135"/>
      <c r="E237" s="135"/>
      <c r="F237" s="135"/>
      <c r="G237" s="135"/>
      <c r="H237" s="135"/>
      <c r="I237" s="135"/>
      <c r="J237" s="135"/>
      <c r="K237" s="135"/>
      <c r="L237" s="135"/>
      <c r="M237" s="135"/>
      <c r="N237" s="135"/>
      <c r="O237" s="113"/>
      <c r="P237" s="183">
        <v>0</v>
      </c>
      <c r="Q237" s="135"/>
      <c r="R237" s="178"/>
      <c r="S237" s="181"/>
      <c r="T237" s="2"/>
    </row>
    <row r="238" spans="1:20" ht="15.6" x14ac:dyDescent="0.3">
      <c r="A238" s="172"/>
      <c r="B238" s="134" t="s">
        <v>136</v>
      </c>
      <c r="C238" s="182"/>
      <c r="D238" s="135"/>
      <c r="E238" s="135"/>
      <c r="F238" s="135"/>
      <c r="G238" s="135"/>
      <c r="H238" s="135"/>
      <c r="I238" s="135"/>
      <c r="J238" s="135"/>
      <c r="K238" s="135"/>
      <c r="L238" s="135"/>
      <c r="M238" s="135"/>
      <c r="N238" s="135"/>
      <c r="O238" s="113"/>
      <c r="P238" s="184"/>
      <c r="Q238" s="135"/>
      <c r="R238" s="178"/>
      <c r="S238" s="181"/>
      <c r="T238" s="2"/>
    </row>
    <row r="239" spans="1:20" ht="15.6" x14ac:dyDescent="0.3">
      <c r="A239" s="172"/>
      <c r="B239" s="113" t="s">
        <v>160</v>
      </c>
      <c r="C239" s="182"/>
      <c r="D239" s="135"/>
      <c r="E239" s="135"/>
      <c r="F239" s="135"/>
      <c r="G239" s="135"/>
      <c r="H239" s="135"/>
      <c r="I239" s="135"/>
      <c r="J239" s="135"/>
      <c r="K239" s="135"/>
      <c r="L239" s="135"/>
      <c r="M239" s="135"/>
      <c r="N239" s="135"/>
      <c r="O239" s="123">
        <v>0</v>
      </c>
      <c r="P239" s="174">
        <v>0</v>
      </c>
      <c r="Q239" s="135"/>
      <c r="R239" s="178"/>
      <c r="S239" s="181"/>
      <c r="T239" s="2"/>
    </row>
    <row r="240" spans="1:20" ht="15.6" x14ac:dyDescent="0.3">
      <c r="A240" s="172"/>
      <c r="B240" s="113" t="s">
        <v>137</v>
      </c>
      <c r="C240" s="182"/>
      <c r="D240" s="135"/>
      <c r="E240" s="135"/>
      <c r="F240" s="135"/>
      <c r="G240" s="135"/>
      <c r="H240" s="135"/>
      <c r="I240" s="135"/>
      <c r="J240" s="135"/>
      <c r="K240" s="135"/>
      <c r="L240" s="135"/>
      <c r="M240" s="135"/>
      <c r="N240" s="135"/>
      <c r="O240" s="113"/>
      <c r="P240" s="183">
        <v>0</v>
      </c>
      <c r="Q240" s="135"/>
      <c r="R240" s="178"/>
      <c r="S240" s="181"/>
      <c r="T240" s="2"/>
    </row>
    <row r="241" spans="1:20" ht="15.6" x14ac:dyDescent="0.3">
      <c r="A241" s="172"/>
      <c r="B241" s="180"/>
      <c r="C241" s="182"/>
      <c r="D241" s="135"/>
      <c r="E241" s="135"/>
      <c r="F241" s="135"/>
      <c r="G241" s="135"/>
      <c r="H241" s="135"/>
      <c r="I241" s="135"/>
      <c r="J241" s="135"/>
      <c r="K241" s="135"/>
      <c r="L241" s="135"/>
      <c r="M241" s="135"/>
      <c r="N241" s="135"/>
      <c r="O241" s="113"/>
      <c r="P241" s="184"/>
      <c r="Q241" s="135"/>
      <c r="R241" s="178"/>
      <c r="S241" s="181"/>
      <c r="T241" s="2"/>
    </row>
    <row r="242" spans="1:20" ht="15.6" x14ac:dyDescent="0.3">
      <c r="A242" s="172"/>
      <c r="B242" s="180"/>
      <c r="C242" s="182"/>
      <c r="D242" s="135"/>
      <c r="E242" s="135"/>
      <c r="F242" s="135"/>
      <c r="G242" s="135"/>
      <c r="H242" s="135"/>
      <c r="I242" s="135"/>
      <c r="J242" s="135"/>
      <c r="K242" s="135"/>
      <c r="L242" s="135"/>
      <c r="M242" s="135"/>
      <c r="N242" s="135"/>
      <c r="O242" s="135"/>
      <c r="P242" s="185"/>
      <c r="Q242" s="135"/>
      <c r="R242" s="178"/>
      <c r="S242" s="181"/>
      <c r="T242" s="2"/>
    </row>
    <row r="243" spans="1:20" ht="17.399999999999999" x14ac:dyDescent="0.3">
      <c r="A243" s="172"/>
      <c r="B243" s="186" t="s">
        <v>129</v>
      </c>
      <c r="C243" s="182"/>
      <c r="D243" s="135"/>
      <c r="E243" s="135"/>
      <c r="F243" s="135"/>
      <c r="G243" s="135"/>
      <c r="H243" s="135"/>
      <c r="I243" s="135"/>
      <c r="J243" s="135"/>
      <c r="K243" s="135"/>
      <c r="L243" s="187"/>
      <c r="M243" s="135"/>
      <c r="N243" s="187" t="s">
        <v>128</v>
      </c>
      <c r="O243" s="187"/>
      <c r="P243" s="185"/>
      <c r="Q243" s="135"/>
      <c r="R243" s="178"/>
      <c r="S243" s="181"/>
      <c r="T243" s="2"/>
    </row>
    <row r="244" spans="1:20" ht="17.399999999999999" x14ac:dyDescent="0.3">
      <c r="A244" s="169"/>
      <c r="B244" s="199"/>
      <c r="C244" s="170"/>
      <c r="D244" s="43"/>
      <c r="E244" s="43"/>
      <c r="F244" s="43"/>
      <c r="G244" s="43"/>
      <c r="H244" s="43"/>
      <c r="I244" s="43"/>
      <c r="J244" s="43"/>
      <c r="K244" s="43"/>
      <c r="L244" s="200"/>
      <c r="M244" s="43"/>
      <c r="N244" s="43"/>
      <c r="O244" s="43"/>
      <c r="P244" s="171"/>
      <c r="Q244" s="43"/>
      <c r="R244" s="165"/>
      <c r="S244" s="226"/>
      <c r="T244" s="2"/>
    </row>
    <row r="245" spans="1:20" ht="15.6" x14ac:dyDescent="0.3">
      <c r="A245" s="53"/>
      <c r="B245" s="61" t="s">
        <v>152</v>
      </c>
      <c r="C245" s="62"/>
      <c r="D245" s="62"/>
      <c r="E245" s="62"/>
      <c r="F245" s="62"/>
      <c r="G245" s="62"/>
      <c r="H245" s="62"/>
      <c r="I245" s="62"/>
      <c r="J245" s="62"/>
      <c r="K245" s="62"/>
      <c r="L245" s="62"/>
      <c r="M245" s="62"/>
      <c r="N245" s="72" t="s">
        <v>83</v>
      </c>
      <c r="O245" s="62" t="s">
        <v>84</v>
      </c>
      <c r="P245" s="72" t="s">
        <v>89</v>
      </c>
      <c r="Q245" s="62" t="s">
        <v>84</v>
      </c>
      <c r="R245" s="54"/>
      <c r="S245" s="227"/>
      <c r="T245" s="2"/>
    </row>
    <row r="246" spans="1:20" ht="15.6" x14ac:dyDescent="0.3">
      <c r="A246" s="24"/>
      <c r="B246" s="78" t="s">
        <v>72</v>
      </c>
      <c r="C246" s="93"/>
      <c r="D246" s="93"/>
      <c r="E246" s="93"/>
      <c r="F246" s="93"/>
      <c r="G246" s="93"/>
      <c r="H246" s="93"/>
      <c r="I246" s="93"/>
      <c r="J246" s="93"/>
      <c r="K246" s="93"/>
      <c r="L246" s="93"/>
      <c r="M246" s="93"/>
      <c r="N246" s="78">
        <f>+N258+N270+N282</f>
        <v>1734</v>
      </c>
      <c r="O246" s="81">
        <f>N246/$N$255</f>
        <v>1</v>
      </c>
      <c r="P246" s="82">
        <f t="shared" ref="P246:P253" si="5">+P258+P270+P282</f>
        <v>277282</v>
      </c>
      <c r="Q246" s="81">
        <f t="shared" ref="Q246:Q253" si="6">P246/$P$255</f>
        <v>1</v>
      </c>
      <c r="R246" s="94"/>
      <c r="S246" s="228"/>
      <c r="T246" s="2"/>
    </row>
    <row r="247" spans="1:20" ht="15.6" x14ac:dyDescent="0.3">
      <c r="A247" s="112"/>
      <c r="B247" s="155" t="s">
        <v>73</v>
      </c>
      <c r="C247" s="191"/>
      <c r="D247" s="191"/>
      <c r="E247" s="191"/>
      <c r="F247" s="191"/>
      <c r="G247" s="191"/>
      <c r="H247" s="191"/>
      <c r="I247" s="191"/>
      <c r="J247" s="191"/>
      <c r="K247" s="191"/>
      <c r="L247" s="191"/>
      <c r="M247" s="191"/>
      <c r="N247" s="155">
        <f t="shared" ref="N247:N253" si="7">+N259+N271+N283</f>
        <v>0</v>
      </c>
      <c r="O247" s="192">
        <f t="shared" ref="O247:O253" si="8">N247/$N$255</f>
        <v>0</v>
      </c>
      <c r="P247" s="156">
        <f t="shared" si="5"/>
        <v>0</v>
      </c>
      <c r="Q247" s="192">
        <f t="shared" si="6"/>
        <v>0</v>
      </c>
      <c r="R247" s="175"/>
      <c r="S247" s="193"/>
      <c r="T247" s="2"/>
    </row>
    <row r="248" spans="1:20" ht="15.6" x14ac:dyDescent="0.3">
      <c r="A248" s="112"/>
      <c r="B248" s="155" t="s">
        <v>74</v>
      </c>
      <c r="C248" s="191"/>
      <c r="D248" s="191"/>
      <c r="E248" s="191"/>
      <c r="F248" s="191"/>
      <c r="G248" s="191"/>
      <c r="H248" s="191"/>
      <c r="I248" s="191"/>
      <c r="J248" s="191"/>
      <c r="K248" s="191"/>
      <c r="L248" s="191"/>
      <c r="M248" s="191"/>
      <c r="N248" s="155">
        <f t="shared" si="7"/>
        <v>0</v>
      </c>
      <c r="O248" s="192">
        <f t="shared" si="8"/>
        <v>0</v>
      </c>
      <c r="P248" s="156">
        <f t="shared" si="5"/>
        <v>0</v>
      </c>
      <c r="Q248" s="192">
        <f t="shared" si="6"/>
        <v>0</v>
      </c>
      <c r="R248" s="175"/>
      <c r="S248" s="193"/>
      <c r="T248" s="2"/>
    </row>
    <row r="249" spans="1:20" ht="15.6" x14ac:dyDescent="0.3">
      <c r="A249" s="112"/>
      <c r="B249" s="155" t="s">
        <v>119</v>
      </c>
      <c r="C249" s="191"/>
      <c r="D249" s="191"/>
      <c r="E249" s="191"/>
      <c r="F249" s="191"/>
      <c r="G249" s="191"/>
      <c r="H249" s="191"/>
      <c r="I249" s="191"/>
      <c r="J249" s="191"/>
      <c r="K249" s="191"/>
      <c r="L249" s="191"/>
      <c r="M249" s="191"/>
      <c r="N249" s="155">
        <f t="shared" si="7"/>
        <v>0</v>
      </c>
      <c r="O249" s="192">
        <f t="shared" si="8"/>
        <v>0</v>
      </c>
      <c r="P249" s="156">
        <f t="shared" si="5"/>
        <v>0</v>
      </c>
      <c r="Q249" s="192">
        <f t="shared" si="6"/>
        <v>0</v>
      </c>
      <c r="R249" s="175"/>
      <c r="S249" s="193"/>
      <c r="T249" s="2"/>
    </row>
    <row r="250" spans="1:20" ht="15.6" x14ac:dyDescent="0.3">
      <c r="A250" s="112"/>
      <c r="B250" s="155" t="s">
        <v>120</v>
      </c>
      <c r="C250" s="191"/>
      <c r="D250" s="191"/>
      <c r="E250" s="191"/>
      <c r="F250" s="191"/>
      <c r="G250" s="191"/>
      <c r="H250" s="191"/>
      <c r="I250" s="191"/>
      <c r="J250" s="191"/>
      <c r="K250" s="191"/>
      <c r="L250" s="191"/>
      <c r="M250" s="191"/>
      <c r="N250" s="155">
        <f t="shared" si="7"/>
        <v>0</v>
      </c>
      <c r="O250" s="192">
        <f t="shared" si="8"/>
        <v>0</v>
      </c>
      <c r="P250" s="156">
        <f t="shared" si="5"/>
        <v>0</v>
      </c>
      <c r="Q250" s="192">
        <f t="shared" si="6"/>
        <v>0</v>
      </c>
      <c r="R250" s="175"/>
      <c r="S250" s="193"/>
      <c r="T250" s="2"/>
    </row>
    <row r="251" spans="1:20" ht="15.6" x14ac:dyDescent="0.3">
      <c r="A251" s="112"/>
      <c r="B251" s="155" t="s">
        <v>121</v>
      </c>
      <c r="C251" s="191"/>
      <c r="D251" s="191"/>
      <c r="E251" s="191"/>
      <c r="F251" s="191"/>
      <c r="G251" s="191"/>
      <c r="H251" s="191"/>
      <c r="I251" s="191"/>
      <c r="J251" s="191"/>
      <c r="K251" s="191"/>
      <c r="L251" s="191"/>
      <c r="M251" s="191"/>
      <c r="N251" s="155">
        <f t="shared" si="7"/>
        <v>0</v>
      </c>
      <c r="O251" s="192">
        <f t="shared" si="8"/>
        <v>0</v>
      </c>
      <c r="P251" s="156">
        <f t="shared" si="5"/>
        <v>0</v>
      </c>
      <c r="Q251" s="192">
        <f t="shared" si="6"/>
        <v>0</v>
      </c>
      <c r="R251" s="175"/>
      <c r="S251" s="193"/>
      <c r="T251" s="2"/>
    </row>
    <row r="252" spans="1:20" ht="15.6" x14ac:dyDescent="0.3">
      <c r="A252" s="112"/>
      <c r="B252" s="155" t="s">
        <v>122</v>
      </c>
      <c r="C252" s="191"/>
      <c r="D252" s="191"/>
      <c r="E252" s="191"/>
      <c r="F252" s="191"/>
      <c r="G252" s="191"/>
      <c r="H252" s="191"/>
      <c r="I252" s="191"/>
      <c r="J252" s="191"/>
      <c r="K252" s="191"/>
      <c r="L252" s="191"/>
      <c r="M252" s="191"/>
      <c r="N252" s="155">
        <f t="shared" si="7"/>
        <v>0</v>
      </c>
      <c r="O252" s="192">
        <f t="shared" si="8"/>
        <v>0</v>
      </c>
      <c r="P252" s="156">
        <f t="shared" si="5"/>
        <v>0</v>
      </c>
      <c r="Q252" s="192">
        <f t="shared" si="6"/>
        <v>0</v>
      </c>
      <c r="R252" s="175"/>
      <c r="S252" s="193"/>
      <c r="T252" s="2"/>
    </row>
    <row r="253" spans="1:20" ht="15.6" x14ac:dyDescent="0.3">
      <c r="A253" s="112"/>
      <c r="B253" s="155" t="s">
        <v>123</v>
      </c>
      <c r="C253" s="191"/>
      <c r="D253" s="191"/>
      <c r="E253" s="191"/>
      <c r="F253" s="191"/>
      <c r="G253" s="191"/>
      <c r="H253" s="191"/>
      <c r="I253" s="191"/>
      <c r="J253" s="191"/>
      <c r="K253" s="191"/>
      <c r="L253" s="191"/>
      <c r="M253" s="191"/>
      <c r="N253" s="155">
        <f t="shared" si="7"/>
        <v>0</v>
      </c>
      <c r="O253" s="192">
        <f t="shared" si="8"/>
        <v>0</v>
      </c>
      <c r="P253" s="156">
        <f t="shared" si="5"/>
        <v>0</v>
      </c>
      <c r="Q253" s="192">
        <f t="shared" si="6"/>
        <v>0</v>
      </c>
      <c r="R253" s="175"/>
      <c r="S253" s="193"/>
      <c r="T253" s="2"/>
    </row>
    <row r="254" spans="1:20" ht="15.6" x14ac:dyDescent="0.3">
      <c r="A254" s="112"/>
      <c r="B254" s="155"/>
      <c r="C254" s="191"/>
      <c r="D254" s="191"/>
      <c r="E254" s="191"/>
      <c r="F254" s="191"/>
      <c r="G254" s="191"/>
      <c r="H254" s="191"/>
      <c r="I254" s="191"/>
      <c r="J254" s="191"/>
      <c r="K254" s="191"/>
      <c r="L254" s="191"/>
      <c r="M254" s="191"/>
      <c r="N254" s="155"/>
      <c r="O254" s="192"/>
      <c r="P254" s="156"/>
      <c r="Q254" s="192"/>
      <c r="R254" s="175"/>
      <c r="S254" s="193"/>
      <c r="T254" s="2"/>
    </row>
    <row r="255" spans="1:20" ht="15.6" x14ac:dyDescent="0.3">
      <c r="A255" s="112"/>
      <c r="B255" s="113" t="s">
        <v>94</v>
      </c>
      <c r="C255" s="113"/>
      <c r="D255" s="194"/>
      <c r="E255" s="194"/>
      <c r="F255" s="194"/>
      <c r="G255" s="194"/>
      <c r="H255" s="194"/>
      <c r="I255" s="194"/>
      <c r="J255" s="194"/>
      <c r="K255" s="194"/>
      <c r="L255" s="194"/>
      <c r="M255" s="194"/>
      <c r="N255" s="155">
        <f>SUM(N246:N254)</f>
        <v>1734</v>
      </c>
      <c r="O255" s="192">
        <f>SUM(O246:O254)</f>
        <v>1</v>
      </c>
      <c r="P255" s="156">
        <f>SUM(P246:P254)</f>
        <v>277282</v>
      </c>
      <c r="Q255" s="192">
        <f>SUM(Q246:Q254)</f>
        <v>1</v>
      </c>
      <c r="R255" s="113"/>
      <c r="S255" s="116"/>
      <c r="T255" s="2"/>
    </row>
    <row r="256" spans="1:20" ht="15.6" x14ac:dyDescent="0.3">
      <c r="A256" s="12"/>
      <c r="B256" s="164"/>
      <c r="C256" s="170"/>
      <c r="D256" s="43"/>
      <c r="E256" s="43"/>
      <c r="F256" s="43"/>
      <c r="G256" s="43"/>
      <c r="H256" s="43"/>
      <c r="I256" s="43"/>
      <c r="J256" s="43"/>
      <c r="K256" s="43"/>
      <c r="L256" s="43"/>
      <c r="M256" s="43"/>
      <c r="N256" s="43"/>
      <c r="O256" s="43"/>
      <c r="P256" s="171"/>
      <c r="Q256" s="43"/>
      <c r="R256" s="43"/>
      <c r="S256" s="217"/>
      <c r="T256" s="2"/>
    </row>
    <row r="257" spans="1:21" ht="15.6" x14ac:dyDescent="0.3">
      <c r="A257" s="53"/>
      <c r="B257" s="61" t="s">
        <v>124</v>
      </c>
      <c r="C257" s="62"/>
      <c r="D257" s="62"/>
      <c r="E257" s="62"/>
      <c r="F257" s="62"/>
      <c r="G257" s="62"/>
      <c r="H257" s="62"/>
      <c r="I257" s="62"/>
      <c r="J257" s="62"/>
      <c r="K257" s="62"/>
      <c r="L257" s="62"/>
      <c r="M257" s="62"/>
      <c r="N257" s="72" t="s">
        <v>83</v>
      </c>
      <c r="O257" s="62" t="s">
        <v>84</v>
      </c>
      <c r="P257" s="72" t="s">
        <v>89</v>
      </c>
      <c r="Q257" s="62" t="s">
        <v>84</v>
      </c>
      <c r="R257" s="54"/>
      <c r="S257" s="227"/>
      <c r="T257" s="2"/>
    </row>
    <row r="258" spans="1:21" ht="15.6" x14ac:dyDescent="0.3">
      <c r="A258" s="24"/>
      <c r="B258" s="78" t="s">
        <v>72</v>
      </c>
      <c r="C258" s="93"/>
      <c r="D258" s="93"/>
      <c r="E258" s="93"/>
      <c r="F258" s="93"/>
      <c r="G258" s="93"/>
      <c r="H258" s="93"/>
      <c r="I258" s="93"/>
      <c r="J258" s="93"/>
      <c r="K258" s="93"/>
      <c r="L258" s="93"/>
      <c r="M258" s="93"/>
      <c r="N258" s="78">
        <v>1734</v>
      </c>
      <c r="O258" s="81">
        <f>N258/$N$267</f>
        <v>1</v>
      </c>
      <c r="P258" s="82">
        <v>277282</v>
      </c>
      <c r="Q258" s="81">
        <f>P258/$P$267</f>
        <v>1</v>
      </c>
      <c r="R258" s="94"/>
      <c r="S258" s="228"/>
      <c r="T258" s="2"/>
    </row>
    <row r="259" spans="1:21" ht="15.6" x14ac:dyDescent="0.3">
      <c r="A259" s="112"/>
      <c r="B259" s="155" t="s">
        <v>73</v>
      </c>
      <c r="C259" s="191"/>
      <c r="D259" s="191"/>
      <c r="E259" s="191"/>
      <c r="F259" s="191"/>
      <c r="G259" s="191"/>
      <c r="H259" s="191"/>
      <c r="I259" s="191"/>
      <c r="J259" s="191"/>
      <c r="K259" s="191"/>
      <c r="L259" s="191"/>
      <c r="M259" s="191"/>
      <c r="N259" s="155">
        <v>0</v>
      </c>
      <c r="O259" s="192">
        <f t="shared" ref="O259:O265" si="9">N259/$N$267</f>
        <v>0</v>
      </c>
      <c r="P259" s="156">
        <v>0</v>
      </c>
      <c r="Q259" s="192">
        <f t="shared" ref="Q259:Q265" si="10">P259/$P$267</f>
        <v>0</v>
      </c>
      <c r="R259" s="175"/>
      <c r="S259" s="193"/>
      <c r="T259" s="2"/>
      <c r="U259" s="4"/>
    </row>
    <row r="260" spans="1:21" ht="15.6" x14ac:dyDescent="0.3">
      <c r="A260" s="112"/>
      <c r="B260" s="155" t="s">
        <v>74</v>
      </c>
      <c r="C260" s="191"/>
      <c r="D260" s="191"/>
      <c r="E260" s="191"/>
      <c r="F260" s="191"/>
      <c r="G260" s="191"/>
      <c r="H260" s="191"/>
      <c r="I260" s="191"/>
      <c r="J260" s="191"/>
      <c r="K260" s="191"/>
      <c r="L260" s="191"/>
      <c r="M260" s="191"/>
      <c r="N260" s="155">
        <v>0</v>
      </c>
      <c r="O260" s="192">
        <f t="shared" si="9"/>
        <v>0</v>
      </c>
      <c r="P260" s="156">
        <v>0</v>
      </c>
      <c r="Q260" s="192">
        <f t="shared" si="10"/>
        <v>0</v>
      </c>
      <c r="R260" s="175"/>
      <c r="S260" s="193"/>
      <c r="T260" s="2"/>
    </row>
    <row r="261" spans="1:21" ht="15.6" x14ac:dyDescent="0.3">
      <c r="A261" s="112"/>
      <c r="B261" s="155" t="s">
        <v>119</v>
      </c>
      <c r="C261" s="191"/>
      <c r="D261" s="191"/>
      <c r="E261" s="191"/>
      <c r="F261" s="191"/>
      <c r="G261" s="191"/>
      <c r="H261" s="191"/>
      <c r="I261" s="191"/>
      <c r="J261" s="191"/>
      <c r="K261" s="191"/>
      <c r="L261" s="191"/>
      <c r="M261" s="191"/>
      <c r="N261" s="155">
        <v>0</v>
      </c>
      <c r="O261" s="192">
        <f t="shared" si="9"/>
        <v>0</v>
      </c>
      <c r="P261" s="156">
        <v>0</v>
      </c>
      <c r="Q261" s="192">
        <f t="shared" si="10"/>
        <v>0</v>
      </c>
      <c r="R261" s="175"/>
      <c r="S261" s="193"/>
      <c r="T261" s="2"/>
      <c r="U261" s="4"/>
    </row>
    <row r="262" spans="1:21" ht="15.6" x14ac:dyDescent="0.3">
      <c r="A262" s="112"/>
      <c r="B262" s="155" t="s">
        <v>120</v>
      </c>
      <c r="C262" s="191"/>
      <c r="D262" s="191"/>
      <c r="E262" s="191"/>
      <c r="F262" s="191"/>
      <c r="G262" s="191"/>
      <c r="H262" s="191"/>
      <c r="I262" s="191"/>
      <c r="J262" s="191"/>
      <c r="K262" s="191"/>
      <c r="L262" s="191"/>
      <c r="M262" s="191"/>
      <c r="N262" s="155">
        <v>0</v>
      </c>
      <c r="O262" s="192">
        <f t="shared" si="9"/>
        <v>0</v>
      </c>
      <c r="P262" s="156">
        <v>0</v>
      </c>
      <c r="Q262" s="192">
        <f t="shared" si="10"/>
        <v>0</v>
      </c>
      <c r="R262" s="175"/>
      <c r="S262" s="193"/>
      <c r="T262" s="2"/>
    </row>
    <row r="263" spans="1:21" ht="15.6" x14ac:dyDescent="0.3">
      <c r="A263" s="112"/>
      <c r="B263" s="155" t="s">
        <v>121</v>
      </c>
      <c r="C263" s="191"/>
      <c r="D263" s="191"/>
      <c r="E263" s="191"/>
      <c r="F263" s="191"/>
      <c r="G263" s="191"/>
      <c r="H263" s="191"/>
      <c r="I263" s="191"/>
      <c r="J263" s="191"/>
      <c r="K263" s="191"/>
      <c r="L263" s="191"/>
      <c r="M263" s="191"/>
      <c r="N263" s="155">
        <v>0</v>
      </c>
      <c r="O263" s="192">
        <f t="shared" si="9"/>
        <v>0</v>
      </c>
      <c r="P263" s="156">
        <v>0</v>
      </c>
      <c r="Q263" s="192">
        <f t="shared" si="10"/>
        <v>0</v>
      </c>
      <c r="R263" s="175"/>
      <c r="S263" s="193"/>
      <c r="T263" s="2"/>
      <c r="U263" s="4"/>
    </row>
    <row r="264" spans="1:21" ht="15.6" x14ac:dyDescent="0.3">
      <c r="A264" s="112"/>
      <c r="B264" s="155" t="s">
        <v>122</v>
      </c>
      <c r="C264" s="191"/>
      <c r="D264" s="191"/>
      <c r="E264" s="191"/>
      <c r="F264" s="191"/>
      <c r="G264" s="191"/>
      <c r="H264" s="191"/>
      <c r="I264" s="191"/>
      <c r="J264" s="191"/>
      <c r="K264" s="191"/>
      <c r="L264" s="191"/>
      <c r="M264" s="191"/>
      <c r="N264" s="155">
        <v>0</v>
      </c>
      <c r="O264" s="192">
        <f t="shared" si="9"/>
        <v>0</v>
      </c>
      <c r="P264" s="156">
        <v>0</v>
      </c>
      <c r="Q264" s="192">
        <f t="shared" si="10"/>
        <v>0</v>
      </c>
      <c r="R264" s="175"/>
      <c r="S264" s="193"/>
      <c r="T264" s="2"/>
    </row>
    <row r="265" spans="1:21" ht="15.6" x14ac:dyDescent="0.3">
      <c r="A265" s="112"/>
      <c r="B265" s="155" t="s">
        <v>123</v>
      </c>
      <c r="C265" s="191"/>
      <c r="D265" s="191"/>
      <c r="E265" s="191"/>
      <c r="F265" s="191"/>
      <c r="G265" s="191"/>
      <c r="H265" s="191"/>
      <c r="I265" s="191"/>
      <c r="J265" s="191"/>
      <c r="K265" s="191"/>
      <c r="L265" s="191"/>
      <c r="M265" s="191"/>
      <c r="N265" s="155">
        <v>0</v>
      </c>
      <c r="O265" s="192">
        <f t="shared" si="9"/>
        <v>0</v>
      </c>
      <c r="P265" s="156">
        <v>0</v>
      </c>
      <c r="Q265" s="192">
        <f t="shared" si="10"/>
        <v>0</v>
      </c>
      <c r="R265" s="175"/>
      <c r="S265" s="193"/>
      <c r="T265" s="2"/>
      <c r="U265" s="4"/>
    </row>
    <row r="266" spans="1:21" ht="15.6" x14ac:dyDescent="0.3">
      <c r="A266" s="112"/>
      <c r="B266" s="155"/>
      <c r="C266" s="191"/>
      <c r="D266" s="191"/>
      <c r="E266" s="191"/>
      <c r="F266" s="191"/>
      <c r="G266" s="191"/>
      <c r="H266" s="191"/>
      <c r="I266" s="191"/>
      <c r="J266" s="191"/>
      <c r="K266" s="191"/>
      <c r="L266" s="191"/>
      <c r="M266" s="191"/>
      <c r="N266" s="155"/>
      <c r="O266" s="192"/>
      <c r="P266" s="156"/>
      <c r="Q266" s="192"/>
      <c r="R266" s="175"/>
      <c r="S266" s="193"/>
      <c r="T266" s="2"/>
    </row>
    <row r="267" spans="1:21" ht="15.6" x14ac:dyDescent="0.3">
      <c r="A267" s="112"/>
      <c r="B267" s="113" t="s">
        <v>94</v>
      </c>
      <c r="C267" s="113"/>
      <c r="D267" s="194"/>
      <c r="E267" s="194"/>
      <c r="F267" s="194"/>
      <c r="G267" s="194"/>
      <c r="H267" s="194"/>
      <c r="I267" s="194"/>
      <c r="J267" s="194"/>
      <c r="K267" s="194"/>
      <c r="L267" s="194"/>
      <c r="M267" s="194"/>
      <c r="N267" s="155">
        <f>SUM(N258:N266)</f>
        <v>1734</v>
      </c>
      <c r="O267" s="192">
        <f>SUM(O258:O266)</f>
        <v>1</v>
      </c>
      <c r="P267" s="156">
        <f>SUM(P258:P266)</f>
        <v>277282</v>
      </c>
      <c r="Q267" s="192">
        <f>SUM(Q258:Q266)</f>
        <v>1</v>
      </c>
      <c r="R267" s="113"/>
      <c r="S267" s="116"/>
      <c r="T267" s="2"/>
    </row>
    <row r="268" spans="1:21" ht="15.6" x14ac:dyDescent="0.3">
      <c r="A268" s="12"/>
      <c r="B268" s="43"/>
      <c r="C268" s="43"/>
      <c r="D268" s="188"/>
      <c r="E268" s="188"/>
      <c r="F268" s="188"/>
      <c r="G268" s="188"/>
      <c r="H268" s="188"/>
      <c r="I268" s="188"/>
      <c r="J268" s="188"/>
      <c r="K268" s="188"/>
      <c r="L268" s="188"/>
      <c r="M268" s="188"/>
      <c r="N268" s="153"/>
      <c r="O268" s="189"/>
      <c r="P268" s="190"/>
      <c r="Q268" s="189"/>
      <c r="R268" s="43"/>
      <c r="S268" s="217"/>
      <c r="T268" s="2"/>
    </row>
    <row r="269" spans="1:21" ht="15.6" x14ac:dyDescent="0.3">
      <c r="A269" s="73"/>
      <c r="B269" s="61" t="s">
        <v>146</v>
      </c>
      <c r="C269" s="62"/>
      <c r="D269" s="62"/>
      <c r="E269" s="62"/>
      <c r="F269" s="62"/>
      <c r="G269" s="62"/>
      <c r="H269" s="62"/>
      <c r="I269" s="62"/>
      <c r="J269" s="62"/>
      <c r="K269" s="62"/>
      <c r="L269" s="62"/>
      <c r="M269" s="62"/>
      <c r="N269" s="72" t="s">
        <v>83</v>
      </c>
      <c r="O269" s="62" t="s">
        <v>84</v>
      </c>
      <c r="P269" s="72" t="s">
        <v>89</v>
      </c>
      <c r="Q269" s="62" t="s">
        <v>84</v>
      </c>
      <c r="R269" s="74"/>
      <c r="S269" s="75"/>
      <c r="T269" s="2"/>
    </row>
    <row r="270" spans="1:21" ht="15.6" x14ac:dyDescent="0.3">
      <c r="A270" s="24"/>
      <c r="B270" s="78" t="s">
        <v>72</v>
      </c>
      <c r="C270" s="93"/>
      <c r="D270" s="93"/>
      <c r="E270" s="93"/>
      <c r="F270" s="93"/>
      <c r="G270" s="93"/>
      <c r="H270" s="93"/>
      <c r="I270" s="93"/>
      <c r="J270" s="93"/>
      <c r="K270" s="93"/>
      <c r="L270" s="93"/>
      <c r="M270" s="93"/>
      <c r="N270" s="78">
        <v>0</v>
      </c>
      <c r="O270" s="81">
        <v>0</v>
      </c>
      <c r="P270" s="82">
        <v>0</v>
      </c>
      <c r="Q270" s="81">
        <v>0</v>
      </c>
      <c r="R270" s="79"/>
      <c r="S270" s="220"/>
      <c r="T270" s="2"/>
    </row>
    <row r="271" spans="1:21" ht="15.6" x14ac:dyDescent="0.3">
      <c r="A271" s="112"/>
      <c r="B271" s="155" t="s">
        <v>73</v>
      </c>
      <c r="C271" s="191"/>
      <c r="D271" s="191"/>
      <c r="E271" s="191"/>
      <c r="F271" s="191"/>
      <c r="G271" s="191"/>
      <c r="H271" s="191"/>
      <c r="I271" s="191"/>
      <c r="J271" s="191"/>
      <c r="K271" s="191"/>
      <c r="L271" s="191"/>
      <c r="M271" s="191"/>
      <c r="N271" s="155">
        <v>0</v>
      </c>
      <c r="O271" s="192">
        <v>0</v>
      </c>
      <c r="P271" s="156">
        <v>0</v>
      </c>
      <c r="Q271" s="192">
        <v>0</v>
      </c>
      <c r="R271" s="113"/>
      <c r="S271" s="116"/>
      <c r="T271" s="2"/>
    </row>
    <row r="272" spans="1:21" ht="15.6" x14ac:dyDescent="0.3">
      <c r="A272" s="112"/>
      <c r="B272" s="155" t="s">
        <v>74</v>
      </c>
      <c r="C272" s="191"/>
      <c r="D272" s="191"/>
      <c r="E272" s="191"/>
      <c r="F272" s="191"/>
      <c r="G272" s="191"/>
      <c r="H272" s="191"/>
      <c r="I272" s="191"/>
      <c r="J272" s="191"/>
      <c r="K272" s="191"/>
      <c r="L272" s="191"/>
      <c r="M272" s="191"/>
      <c r="N272" s="155">
        <v>0</v>
      </c>
      <c r="O272" s="192">
        <v>0</v>
      </c>
      <c r="P272" s="156">
        <v>0</v>
      </c>
      <c r="Q272" s="192">
        <v>0</v>
      </c>
      <c r="R272" s="113"/>
      <c r="S272" s="116"/>
      <c r="T272" s="2"/>
    </row>
    <row r="273" spans="1:20" ht="15.6" x14ac:dyDescent="0.3">
      <c r="A273" s="112"/>
      <c r="B273" s="155" t="s">
        <v>119</v>
      </c>
      <c r="C273" s="191"/>
      <c r="D273" s="191"/>
      <c r="E273" s="191"/>
      <c r="F273" s="191"/>
      <c r="G273" s="191"/>
      <c r="H273" s="191"/>
      <c r="I273" s="191"/>
      <c r="J273" s="191"/>
      <c r="K273" s="191"/>
      <c r="L273" s="191"/>
      <c r="M273" s="191"/>
      <c r="N273" s="155">
        <v>0</v>
      </c>
      <c r="O273" s="192">
        <v>0</v>
      </c>
      <c r="P273" s="156">
        <v>0</v>
      </c>
      <c r="Q273" s="192">
        <v>0</v>
      </c>
      <c r="R273" s="113"/>
      <c r="S273" s="116"/>
      <c r="T273" s="2"/>
    </row>
    <row r="274" spans="1:20" ht="15.6" x14ac:dyDescent="0.3">
      <c r="A274" s="112"/>
      <c r="B274" s="155" t="s">
        <v>120</v>
      </c>
      <c r="C274" s="191"/>
      <c r="D274" s="191"/>
      <c r="E274" s="191"/>
      <c r="F274" s="191"/>
      <c r="G274" s="191"/>
      <c r="H274" s="191"/>
      <c r="I274" s="191"/>
      <c r="J274" s="191"/>
      <c r="K274" s="191"/>
      <c r="L274" s="191"/>
      <c r="M274" s="191"/>
      <c r="N274" s="155">
        <v>0</v>
      </c>
      <c r="O274" s="192">
        <v>0</v>
      </c>
      <c r="P274" s="156">
        <v>0</v>
      </c>
      <c r="Q274" s="192">
        <v>0</v>
      </c>
      <c r="R274" s="113"/>
      <c r="S274" s="116"/>
      <c r="T274" s="2"/>
    </row>
    <row r="275" spans="1:20" ht="15.6" x14ac:dyDescent="0.3">
      <c r="A275" s="112"/>
      <c r="B275" s="155" t="s">
        <v>121</v>
      </c>
      <c r="C275" s="191"/>
      <c r="D275" s="191"/>
      <c r="E275" s="191"/>
      <c r="F275" s="191"/>
      <c r="G275" s="191"/>
      <c r="H275" s="191"/>
      <c r="I275" s="191"/>
      <c r="J275" s="191"/>
      <c r="K275" s="191"/>
      <c r="L275" s="191"/>
      <c r="M275" s="191"/>
      <c r="N275" s="155">
        <v>0</v>
      </c>
      <c r="O275" s="192">
        <v>0</v>
      </c>
      <c r="P275" s="156">
        <v>0</v>
      </c>
      <c r="Q275" s="192">
        <v>0</v>
      </c>
      <c r="R275" s="113"/>
      <c r="S275" s="116"/>
      <c r="T275" s="2"/>
    </row>
    <row r="276" spans="1:20" ht="15.6" x14ac:dyDescent="0.3">
      <c r="A276" s="112"/>
      <c r="B276" s="155" t="s">
        <v>122</v>
      </c>
      <c r="C276" s="191"/>
      <c r="D276" s="191"/>
      <c r="E276" s="191"/>
      <c r="F276" s="191"/>
      <c r="G276" s="191"/>
      <c r="H276" s="191"/>
      <c r="I276" s="191"/>
      <c r="J276" s="191"/>
      <c r="K276" s="191"/>
      <c r="L276" s="191"/>
      <c r="M276" s="191"/>
      <c r="N276" s="155">
        <v>0</v>
      </c>
      <c r="O276" s="192">
        <v>0</v>
      </c>
      <c r="P276" s="156">
        <v>0</v>
      </c>
      <c r="Q276" s="192">
        <v>0</v>
      </c>
      <c r="R276" s="113"/>
      <c r="S276" s="116"/>
      <c r="T276" s="2"/>
    </row>
    <row r="277" spans="1:20" ht="15.6" x14ac:dyDescent="0.3">
      <c r="A277" s="112"/>
      <c r="B277" s="155" t="s">
        <v>123</v>
      </c>
      <c r="C277" s="191"/>
      <c r="D277" s="191"/>
      <c r="E277" s="191"/>
      <c r="F277" s="191"/>
      <c r="G277" s="191"/>
      <c r="H277" s="191"/>
      <c r="I277" s="191"/>
      <c r="J277" s="191"/>
      <c r="K277" s="191"/>
      <c r="L277" s="191"/>
      <c r="M277" s="191"/>
      <c r="N277" s="155">
        <v>0</v>
      </c>
      <c r="O277" s="192">
        <v>0</v>
      </c>
      <c r="P277" s="156">
        <v>0</v>
      </c>
      <c r="Q277" s="192">
        <v>0</v>
      </c>
      <c r="R277" s="113"/>
      <c r="S277" s="116"/>
      <c r="T277" s="2"/>
    </row>
    <row r="278" spans="1:20" ht="15.6" x14ac:dyDescent="0.3">
      <c r="A278" s="112"/>
      <c r="B278" s="155"/>
      <c r="C278" s="191"/>
      <c r="D278" s="191"/>
      <c r="E278" s="191"/>
      <c r="F278" s="191"/>
      <c r="G278" s="191"/>
      <c r="H278" s="191"/>
      <c r="I278" s="191"/>
      <c r="J278" s="191"/>
      <c r="K278" s="191"/>
      <c r="L278" s="191"/>
      <c r="M278" s="191"/>
      <c r="N278" s="155"/>
      <c r="O278" s="192"/>
      <c r="P278" s="156"/>
      <c r="Q278" s="192"/>
      <c r="R278" s="113"/>
      <c r="S278" s="116"/>
      <c r="T278" s="2"/>
    </row>
    <row r="279" spans="1:20" ht="15.6" x14ac:dyDescent="0.3">
      <c r="A279" s="112"/>
      <c r="B279" s="113" t="s">
        <v>94</v>
      </c>
      <c r="C279" s="113"/>
      <c r="D279" s="194"/>
      <c r="E279" s="194"/>
      <c r="F279" s="194"/>
      <c r="G279" s="194"/>
      <c r="H279" s="194"/>
      <c r="I279" s="194"/>
      <c r="J279" s="194"/>
      <c r="K279" s="194"/>
      <c r="L279" s="194"/>
      <c r="M279" s="194"/>
      <c r="N279" s="155">
        <f>SUM(N270:N278)</f>
        <v>0</v>
      </c>
      <c r="O279" s="192">
        <f>SUM(O270:O278)</f>
        <v>0</v>
      </c>
      <c r="P279" s="156">
        <f>SUM(P270:P278)</f>
        <v>0</v>
      </c>
      <c r="Q279" s="192">
        <f>SUM(Q270:Q278)</f>
        <v>0</v>
      </c>
      <c r="R279" s="113"/>
      <c r="S279" s="116"/>
      <c r="T279" s="2"/>
    </row>
    <row r="280" spans="1:20" ht="15.6" x14ac:dyDescent="0.3">
      <c r="A280" s="12"/>
      <c r="B280" s="43"/>
      <c r="C280" s="43"/>
      <c r="D280" s="188"/>
      <c r="E280" s="188"/>
      <c r="F280" s="188"/>
      <c r="G280" s="188"/>
      <c r="H280" s="188"/>
      <c r="I280" s="188"/>
      <c r="J280" s="188"/>
      <c r="K280" s="188"/>
      <c r="L280" s="188"/>
      <c r="M280" s="188"/>
      <c r="N280" s="153"/>
      <c r="O280" s="189"/>
      <c r="P280" s="190"/>
      <c r="Q280" s="189"/>
      <c r="R280" s="43"/>
      <c r="S280" s="217"/>
      <c r="T280" s="2"/>
    </row>
    <row r="281" spans="1:20" ht="15.6" x14ac:dyDescent="0.3">
      <c r="A281" s="73"/>
      <c r="B281" s="61" t="s">
        <v>125</v>
      </c>
      <c r="C281" s="74"/>
      <c r="D281" s="76"/>
      <c r="E281" s="76"/>
      <c r="F281" s="76"/>
      <c r="G281" s="76"/>
      <c r="H281" s="76"/>
      <c r="I281" s="76"/>
      <c r="J281" s="76"/>
      <c r="K281" s="76"/>
      <c r="L281" s="76"/>
      <c r="M281" s="76"/>
      <c r="N281" s="72" t="s">
        <v>83</v>
      </c>
      <c r="O281" s="62" t="s">
        <v>84</v>
      </c>
      <c r="P281" s="72" t="s">
        <v>89</v>
      </c>
      <c r="Q281" s="62" t="s">
        <v>84</v>
      </c>
      <c r="R281" s="74"/>
      <c r="S281" s="75"/>
      <c r="T281" s="2"/>
    </row>
    <row r="282" spans="1:20" ht="15.6" x14ac:dyDescent="0.3">
      <c r="A282" s="77"/>
      <c r="B282" s="78" t="s">
        <v>72</v>
      </c>
      <c r="C282" s="79"/>
      <c r="D282" s="80"/>
      <c r="E282" s="80"/>
      <c r="F282" s="80"/>
      <c r="G282" s="80"/>
      <c r="H282" s="80"/>
      <c r="I282" s="80"/>
      <c r="J282" s="80"/>
      <c r="K282" s="80"/>
      <c r="L282" s="80"/>
      <c r="M282" s="80"/>
      <c r="N282" s="78">
        <v>0</v>
      </c>
      <c r="O282" s="81">
        <v>0</v>
      </c>
      <c r="P282" s="82">
        <v>0</v>
      </c>
      <c r="Q282" s="81">
        <v>0</v>
      </c>
      <c r="R282" s="79"/>
      <c r="S282" s="220"/>
      <c r="T282" s="2"/>
    </row>
    <row r="283" spans="1:20" ht="15.6" x14ac:dyDescent="0.3">
      <c r="A283" s="122"/>
      <c r="B283" s="155" t="s">
        <v>73</v>
      </c>
      <c r="C283" s="113"/>
      <c r="D283" s="194"/>
      <c r="E283" s="194"/>
      <c r="F283" s="194"/>
      <c r="G283" s="194"/>
      <c r="H283" s="194"/>
      <c r="I283" s="194"/>
      <c r="J283" s="194"/>
      <c r="K283" s="194"/>
      <c r="L283" s="194"/>
      <c r="M283" s="194"/>
      <c r="N283" s="155">
        <v>0</v>
      </c>
      <c r="O283" s="192">
        <v>0</v>
      </c>
      <c r="P283" s="156">
        <v>0</v>
      </c>
      <c r="Q283" s="192">
        <v>0</v>
      </c>
      <c r="R283" s="113"/>
      <c r="S283" s="116"/>
      <c r="T283" s="2"/>
    </row>
    <row r="284" spans="1:20" ht="15.6" x14ac:dyDescent="0.3">
      <c r="A284" s="122"/>
      <c r="B284" s="155" t="s">
        <v>74</v>
      </c>
      <c r="C284" s="113"/>
      <c r="D284" s="194"/>
      <c r="E284" s="194"/>
      <c r="F284" s="194"/>
      <c r="G284" s="194"/>
      <c r="H284" s="194"/>
      <c r="I284" s="194"/>
      <c r="J284" s="194"/>
      <c r="K284" s="194"/>
      <c r="L284" s="194"/>
      <c r="M284" s="194"/>
      <c r="N284" s="155">
        <v>0</v>
      </c>
      <c r="O284" s="192">
        <v>0</v>
      </c>
      <c r="P284" s="156">
        <v>0</v>
      </c>
      <c r="Q284" s="192">
        <v>0</v>
      </c>
      <c r="R284" s="113"/>
      <c r="S284" s="116"/>
      <c r="T284" s="2"/>
    </row>
    <row r="285" spans="1:20" ht="15.6" x14ac:dyDescent="0.3">
      <c r="A285" s="122"/>
      <c r="B285" s="155" t="s">
        <v>119</v>
      </c>
      <c r="C285" s="113"/>
      <c r="D285" s="194"/>
      <c r="E285" s="194"/>
      <c r="F285" s="194"/>
      <c r="G285" s="194"/>
      <c r="H285" s="194"/>
      <c r="I285" s="194"/>
      <c r="J285" s="194"/>
      <c r="K285" s="194"/>
      <c r="L285" s="194"/>
      <c r="M285" s="194"/>
      <c r="N285" s="155">
        <v>0</v>
      </c>
      <c r="O285" s="192">
        <v>0</v>
      </c>
      <c r="P285" s="156">
        <v>0</v>
      </c>
      <c r="Q285" s="192">
        <v>0</v>
      </c>
      <c r="R285" s="113"/>
      <c r="S285" s="116"/>
      <c r="T285" s="2"/>
    </row>
    <row r="286" spans="1:20" ht="15.6" x14ac:dyDescent="0.3">
      <c r="A286" s="122"/>
      <c r="B286" s="155" t="s">
        <v>120</v>
      </c>
      <c r="C286" s="113"/>
      <c r="D286" s="194"/>
      <c r="E286" s="194"/>
      <c r="F286" s="194"/>
      <c r="G286" s="194"/>
      <c r="H286" s="194"/>
      <c r="I286" s="194"/>
      <c r="J286" s="194"/>
      <c r="K286" s="194"/>
      <c r="L286" s="194"/>
      <c r="M286" s="194"/>
      <c r="N286" s="155">
        <v>0</v>
      </c>
      <c r="O286" s="192">
        <v>0</v>
      </c>
      <c r="P286" s="156">
        <v>0</v>
      </c>
      <c r="Q286" s="192">
        <v>0</v>
      </c>
      <c r="R286" s="113"/>
      <c r="S286" s="116"/>
      <c r="T286" s="2"/>
    </row>
    <row r="287" spans="1:20" ht="15.6" x14ac:dyDescent="0.3">
      <c r="A287" s="122"/>
      <c r="B287" s="155" t="s">
        <v>121</v>
      </c>
      <c r="C287" s="113"/>
      <c r="D287" s="194"/>
      <c r="E287" s="194"/>
      <c r="F287" s="194"/>
      <c r="G287" s="194"/>
      <c r="H287" s="194"/>
      <c r="I287" s="194"/>
      <c r="J287" s="194"/>
      <c r="K287" s="194"/>
      <c r="L287" s="194"/>
      <c r="M287" s="194"/>
      <c r="N287" s="155">
        <v>0</v>
      </c>
      <c r="O287" s="192">
        <v>0</v>
      </c>
      <c r="P287" s="156">
        <v>0</v>
      </c>
      <c r="Q287" s="192">
        <v>0</v>
      </c>
      <c r="R287" s="113"/>
      <c r="S287" s="116"/>
      <c r="T287" s="2"/>
    </row>
    <row r="288" spans="1:20" ht="15.6" x14ac:dyDescent="0.3">
      <c r="A288" s="122"/>
      <c r="B288" s="155" t="s">
        <v>122</v>
      </c>
      <c r="C288" s="113"/>
      <c r="D288" s="194"/>
      <c r="E288" s="194"/>
      <c r="F288" s="194"/>
      <c r="G288" s="194"/>
      <c r="H288" s="194"/>
      <c r="I288" s="194"/>
      <c r="J288" s="194"/>
      <c r="K288" s="194"/>
      <c r="L288" s="194"/>
      <c r="M288" s="194"/>
      <c r="N288" s="155">
        <v>0</v>
      </c>
      <c r="O288" s="192">
        <v>0</v>
      </c>
      <c r="P288" s="156">
        <v>0</v>
      </c>
      <c r="Q288" s="192">
        <v>0</v>
      </c>
      <c r="R288" s="113"/>
      <c r="S288" s="116"/>
      <c r="T288" s="2"/>
    </row>
    <row r="289" spans="1:20" ht="15.6" x14ac:dyDescent="0.3">
      <c r="A289" s="122"/>
      <c r="B289" s="155" t="s">
        <v>123</v>
      </c>
      <c r="C289" s="113"/>
      <c r="D289" s="194"/>
      <c r="E289" s="194"/>
      <c r="F289" s="194"/>
      <c r="G289" s="194"/>
      <c r="H289" s="194"/>
      <c r="I289" s="194"/>
      <c r="J289" s="194"/>
      <c r="K289" s="194"/>
      <c r="L289" s="194"/>
      <c r="M289" s="194"/>
      <c r="N289" s="155">
        <v>0</v>
      </c>
      <c r="O289" s="192">
        <v>0</v>
      </c>
      <c r="P289" s="156">
        <v>0</v>
      </c>
      <c r="Q289" s="192">
        <v>0</v>
      </c>
      <c r="R289" s="113"/>
      <c r="S289" s="116"/>
      <c r="T289" s="2"/>
    </row>
    <row r="290" spans="1:20" ht="15.6" x14ac:dyDescent="0.3">
      <c r="A290" s="122"/>
      <c r="B290" s="155"/>
      <c r="C290" s="113"/>
      <c r="D290" s="194"/>
      <c r="E290" s="194"/>
      <c r="F290" s="194"/>
      <c r="G290" s="194"/>
      <c r="H290" s="194"/>
      <c r="I290" s="194"/>
      <c r="J290" s="194"/>
      <c r="K290" s="194"/>
      <c r="L290" s="194"/>
      <c r="M290" s="194"/>
      <c r="N290" s="155"/>
      <c r="O290" s="192"/>
      <c r="P290" s="156"/>
      <c r="Q290" s="192"/>
      <c r="R290" s="113"/>
      <c r="S290" s="116"/>
      <c r="T290" s="2"/>
    </row>
    <row r="291" spans="1:20" ht="15.6" x14ac:dyDescent="0.3">
      <c r="A291" s="122"/>
      <c r="B291" s="113" t="s">
        <v>94</v>
      </c>
      <c r="C291" s="113"/>
      <c r="D291" s="194"/>
      <c r="E291" s="194"/>
      <c r="F291" s="194"/>
      <c r="G291" s="194"/>
      <c r="H291" s="194"/>
      <c r="I291" s="194"/>
      <c r="J291" s="194"/>
      <c r="K291" s="194"/>
      <c r="L291" s="194"/>
      <c r="M291" s="194"/>
      <c r="N291" s="155">
        <f>SUM(N282:N289)</f>
        <v>0</v>
      </c>
      <c r="O291" s="192">
        <f>SUM(O282:O289)</f>
        <v>0</v>
      </c>
      <c r="P291" s="156">
        <f>SUM(P282:P289)</f>
        <v>0</v>
      </c>
      <c r="Q291" s="192">
        <f>SUM(Q282:Q289)</f>
        <v>0</v>
      </c>
      <c r="R291" s="113"/>
      <c r="S291" s="116"/>
      <c r="T291" s="2"/>
    </row>
    <row r="292" spans="1:20" ht="15.6" x14ac:dyDescent="0.3">
      <c r="A292" s="122"/>
      <c r="B292" s="113"/>
      <c r="C292" s="113"/>
      <c r="D292" s="194"/>
      <c r="E292" s="194"/>
      <c r="F292" s="194"/>
      <c r="G292" s="194"/>
      <c r="H292" s="194"/>
      <c r="I292" s="194"/>
      <c r="J292" s="194"/>
      <c r="K292" s="194"/>
      <c r="L292" s="194"/>
      <c r="M292" s="194"/>
      <c r="N292" s="155"/>
      <c r="O292" s="192"/>
      <c r="P292" s="156"/>
      <c r="Q292" s="192"/>
      <c r="R292" s="113"/>
      <c r="S292" s="116"/>
      <c r="T292" s="2"/>
    </row>
    <row r="293" spans="1:20" ht="15.6" x14ac:dyDescent="0.3">
      <c r="A293" s="122"/>
      <c r="B293" s="124" t="s">
        <v>177</v>
      </c>
      <c r="C293" s="113"/>
      <c r="D293" s="194"/>
      <c r="E293" s="194"/>
      <c r="F293" s="194"/>
      <c r="G293" s="194"/>
      <c r="H293" s="194"/>
      <c r="I293" s="194"/>
      <c r="J293" s="194"/>
      <c r="K293" s="194"/>
      <c r="L293" s="194"/>
      <c r="M293" s="194"/>
      <c r="N293" s="196">
        <f>N291+N279+N267</f>
        <v>1734</v>
      </c>
      <c r="O293" s="192"/>
      <c r="P293" s="197">
        <f>+P291+P279+P267</f>
        <v>277282</v>
      </c>
      <c r="Q293" s="192"/>
      <c r="R293" s="113"/>
      <c r="S293" s="116"/>
      <c r="T293" s="2"/>
    </row>
    <row r="294" spans="1:20" ht="15.6" x14ac:dyDescent="0.3">
      <c r="A294" s="122"/>
      <c r="B294" s="124" t="s">
        <v>217</v>
      </c>
      <c r="C294" s="124"/>
      <c r="D294" s="205"/>
      <c r="E294" s="205"/>
      <c r="F294" s="205"/>
      <c r="G294" s="205"/>
      <c r="H294" s="205"/>
      <c r="I294" s="205"/>
      <c r="J294" s="205"/>
      <c r="K294" s="205"/>
      <c r="L294" s="205"/>
      <c r="M294" s="205"/>
      <c r="N294" s="196"/>
      <c r="O294" s="206"/>
      <c r="P294" s="207">
        <f>+R180</f>
        <v>1166</v>
      </c>
      <c r="Q294" s="192"/>
      <c r="R294" s="113"/>
      <c r="S294" s="116"/>
      <c r="T294" s="2"/>
    </row>
    <row r="295" spans="1:20" ht="15.6" x14ac:dyDescent="0.3">
      <c r="A295" s="122"/>
      <c r="B295" s="124" t="s">
        <v>126</v>
      </c>
      <c r="C295" s="124"/>
      <c r="D295" s="205"/>
      <c r="E295" s="205"/>
      <c r="F295" s="205"/>
      <c r="G295" s="205"/>
      <c r="H295" s="205"/>
      <c r="I295" s="205"/>
      <c r="J295" s="205"/>
      <c r="K295" s="205"/>
      <c r="L295" s="205"/>
      <c r="M295" s="205"/>
      <c r="N295" s="196"/>
      <c r="O295" s="206"/>
      <c r="P295" s="207">
        <f>+P293+P294</f>
        <v>278448</v>
      </c>
      <c r="Q295" s="192"/>
      <c r="R295" s="113"/>
      <c r="S295" s="116"/>
      <c r="T295" s="2"/>
    </row>
    <row r="296" spans="1:20" ht="15.6" x14ac:dyDescent="0.3">
      <c r="A296" s="122"/>
      <c r="B296" s="124" t="s">
        <v>176</v>
      </c>
      <c r="C296" s="113"/>
      <c r="D296" s="194"/>
      <c r="E296" s="194"/>
      <c r="F296" s="194"/>
      <c r="G296" s="194"/>
      <c r="H296" s="194"/>
      <c r="I296" s="194"/>
      <c r="J296" s="194"/>
      <c r="K296" s="194"/>
      <c r="L296" s="194"/>
      <c r="M296" s="194"/>
      <c r="N296" s="196"/>
      <c r="O296" s="192"/>
      <c r="P296" s="197">
        <f>+R80</f>
        <v>278448</v>
      </c>
      <c r="Q296" s="192"/>
      <c r="R296" s="113"/>
      <c r="S296" s="116"/>
      <c r="T296" s="2"/>
    </row>
    <row r="297" spans="1:20" ht="15.6" x14ac:dyDescent="0.3">
      <c r="A297" s="122"/>
      <c r="B297" s="124"/>
      <c r="C297" s="113"/>
      <c r="D297" s="194"/>
      <c r="E297" s="194"/>
      <c r="F297" s="194"/>
      <c r="G297" s="194"/>
      <c r="H297" s="194"/>
      <c r="I297" s="194"/>
      <c r="J297" s="194"/>
      <c r="K297" s="194"/>
      <c r="L297" s="194"/>
      <c r="M297" s="194"/>
      <c r="N297" s="196"/>
      <c r="O297" s="192"/>
      <c r="P297" s="197"/>
      <c r="Q297" s="192"/>
      <c r="R297" s="113"/>
      <c r="S297" s="116"/>
      <c r="T297" s="2"/>
    </row>
    <row r="298" spans="1:20" ht="15.6" x14ac:dyDescent="0.3">
      <c r="A298" s="122"/>
      <c r="B298" s="124" t="s">
        <v>202</v>
      </c>
      <c r="C298" s="113"/>
      <c r="D298" s="194"/>
      <c r="E298" s="194"/>
      <c r="F298" s="194"/>
      <c r="G298" s="194"/>
      <c r="H298" s="194"/>
      <c r="I298" s="194"/>
      <c r="J298" s="194"/>
      <c r="K298" s="194"/>
      <c r="L298" s="194"/>
      <c r="M298" s="194"/>
      <c r="N298" s="196"/>
      <c r="O298" s="192"/>
      <c r="P298" s="214">
        <f>(L33+R147)/R33</f>
        <v>5.3877299408045226E-2</v>
      </c>
      <c r="Q298" s="192"/>
      <c r="R298" s="113"/>
      <c r="S298" s="116"/>
      <c r="T298" s="2"/>
    </row>
    <row r="299" spans="1:20" ht="15.6" x14ac:dyDescent="0.3">
      <c r="A299" s="83"/>
      <c r="B299" s="84"/>
      <c r="C299" s="84"/>
      <c r="D299" s="85"/>
      <c r="E299" s="85"/>
      <c r="F299" s="85"/>
      <c r="G299" s="85"/>
      <c r="H299" s="85"/>
      <c r="I299" s="85"/>
      <c r="J299" s="85"/>
      <c r="K299" s="85"/>
      <c r="L299" s="85"/>
      <c r="M299" s="85"/>
      <c r="N299" s="85"/>
      <c r="O299" s="85"/>
      <c r="P299" s="86"/>
      <c r="Q299" s="85"/>
      <c r="R299" s="84"/>
      <c r="S299" s="218"/>
      <c r="T299" s="2"/>
    </row>
    <row r="300" spans="1:20" ht="15.6" x14ac:dyDescent="0.3">
      <c r="A300" s="87"/>
      <c r="B300" s="88" t="s">
        <v>75</v>
      </c>
      <c r="C300" s="84"/>
      <c r="D300" s="89" t="s">
        <v>79</v>
      </c>
      <c r="E300" s="88"/>
      <c r="F300" s="88" t="s">
        <v>80</v>
      </c>
      <c r="G300" s="84"/>
      <c r="H300" s="88"/>
      <c r="I300" s="90"/>
      <c r="J300" s="90"/>
      <c r="K300" s="90"/>
      <c r="L300" s="90"/>
      <c r="M300" s="90"/>
      <c r="N300" s="90"/>
      <c r="O300" s="90"/>
      <c r="P300" s="90"/>
      <c r="Q300" s="90"/>
      <c r="R300" s="90"/>
      <c r="S300" s="229"/>
      <c r="T300" s="2"/>
    </row>
    <row r="301" spans="1:20" ht="15.6" x14ac:dyDescent="0.3">
      <c r="A301" s="87"/>
      <c r="B301" s="90"/>
      <c r="C301" s="84"/>
      <c r="D301" s="84"/>
      <c r="E301" s="84"/>
      <c r="F301" s="84"/>
      <c r="G301" s="84"/>
      <c r="H301" s="84"/>
      <c r="I301" s="90"/>
      <c r="J301" s="90"/>
      <c r="K301" s="90"/>
      <c r="L301" s="90"/>
      <c r="M301" s="90"/>
      <c r="N301" s="90"/>
      <c r="O301" s="90"/>
      <c r="P301" s="90"/>
      <c r="Q301" s="90"/>
      <c r="R301" s="90"/>
      <c r="S301" s="229"/>
      <c r="T301" s="2"/>
    </row>
    <row r="302" spans="1:20" ht="15.6" x14ac:dyDescent="0.3">
      <c r="A302" s="87"/>
      <c r="B302" s="213" t="s">
        <v>192</v>
      </c>
      <c r="C302" s="88"/>
      <c r="D302" s="91" t="s">
        <v>115</v>
      </c>
      <c r="E302" s="88"/>
      <c r="F302" s="88" t="s">
        <v>116</v>
      </c>
      <c r="G302" s="88"/>
      <c r="H302" s="88"/>
      <c r="I302" s="90"/>
      <c r="J302" s="90"/>
      <c r="K302" s="90"/>
      <c r="L302" s="90"/>
      <c r="M302" s="90"/>
      <c r="N302" s="90"/>
      <c r="O302" s="90"/>
      <c r="P302" s="90"/>
      <c r="Q302" s="90"/>
      <c r="R302" s="90"/>
      <c r="S302" s="229"/>
      <c r="T302" s="2"/>
    </row>
    <row r="303" spans="1:20" ht="15.6" x14ac:dyDescent="0.3">
      <c r="A303" s="87"/>
      <c r="B303" s="213" t="s">
        <v>193</v>
      </c>
      <c r="C303" s="88"/>
      <c r="D303" s="91" t="s">
        <v>147</v>
      </c>
      <c r="E303" s="88"/>
      <c r="F303" s="88" t="s">
        <v>148</v>
      </c>
      <c r="G303" s="88"/>
      <c r="H303" s="88"/>
      <c r="I303" s="90"/>
      <c r="J303" s="90"/>
      <c r="K303" s="90"/>
      <c r="L303" s="90"/>
      <c r="M303" s="90"/>
      <c r="N303" s="90"/>
      <c r="O303" s="90"/>
      <c r="P303" s="90"/>
      <c r="Q303" s="90"/>
      <c r="R303" s="90"/>
      <c r="S303" s="229"/>
      <c r="T303" s="2"/>
    </row>
    <row r="304" spans="1:20" ht="15.6" x14ac:dyDescent="0.3">
      <c r="A304" s="87"/>
      <c r="B304" s="213" t="s">
        <v>194</v>
      </c>
      <c r="C304" s="88"/>
      <c r="D304" s="91" t="s">
        <v>114</v>
      </c>
      <c r="E304" s="88"/>
      <c r="F304" s="88" t="s">
        <v>117</v>
      </c>
      <c r="G304" s="88"/>
      <c r="H304" s="88"/>
      <c r="I304" s="90"/>
      <c r="J304" s="90"/>
      <c r="K304" s="90"/>
      <c r="L304" s="90"/>
      <c r="M304" s="90"/>
      <c r="N304" s="90"/>
      <c r="O304" s="90"/>
      <c r="P304" s="90"/>
      <c r="Q304" s="90"/>
      <c r="R304" s="90"/>
      <c r="S304" s="229"/>
      <c r="T304" s="2"/>
    </row>
    <row r="305" spans="1:20" ht="15.6" x14ac:dyDescent="0.3">
      <c r="A305" s="87"/>
      <c r="B305" s="88"/>
      <c r="C305" s="88"/>
      <c r="D305" s="90"/>
      <c r="E305" s="90"/>
      <c r="F305" s="90"/>
      <c r="G305" s="90"/>
      <c r="H305" s="90"/>
      <c r="I305" s="90"/>
      <c r="J305" s="90"/>
      <c r="K305" s="90"/>
      <c r="L305" s="90"/>
      <c r="M305" s="90"/>
      <c r="N305" s="90"/>
      <c r="O305" s="90"/>
      <c r="P305" s="90"/>
      <c r="Q305" s="90"/>
      <c r="R305" s="90"/>
      <c r="S305" s="229"/>
      <c r="T305" s="2"/>
    </row>
    <row r="306" spans="1:20" ht="15.6" x14ac:dyDescent="0.3">
      <c r="A306" s="87"/>
      <c r="B306" s="88"/>
      <c r="C306" s="88"/>
      <c r="D306" s="90"/>
      <c r="E306" s="90"/>
      <c r="F306" s="90"/>
      <c r="G306" s="90"/>
      <c r="H306" s="90"/>
      <c r="I306" s="90"/>
      <c r="J306" s="90"/>
      <c r="K306" s="90"/>
      <c r="L306" s="90"/>
      <c r="M306" s="90"/>
      <c r="N306" s="90"/>
      <c r="O306" s="90"/>
      <c r="P306" s="90"/>
      <c r="Q306" s="90"/>
      <c r="R306" s="90"/>
      <c r="S306" s="229"/>
      <c r="T306" s="2"/>
    </row>
    <row r="307" spans="1:20" ht="18" thickBot="1" x14ac:dyDescent="0.35">
      <c r="A307" s="87"/>
      <c r="B307" s="92" t="str">
        <f>B205</f>
        <v>PM22 INVESTOR REPORT QUARTER ENDING AUGUST 2016</v>
      </c>
      <c r="C307" s="88"/>
      <c r="D307" s="90"/>
      <c r="E307" s="90"/>
      <c r="F307" s="90"/>
      <c r="G307" s="90"/>
      <c r="H307" s="90"/>
      <c r="I307" s="90"/>
      <c r="J307" s="90"/>
      <c r="K307" s="90"/>
      <c r="L307" s="90"/>
      <c r="M307" s="90"/>
      <c r="N307" s="90"/>
      <c r="O307" s="90"/>
      <c r="P307" s="90"/>
      <c r="Q307" s="90"/>
      <c r="R307" s="90"/>
      <c r="S307" s="99"/>
      <c r="T307" s="2"/>
    </row>
    <row r="308" spans="1:20" x14ac:dyDescent="0.25">
      <c r="A308" s="3"/>
      <c r="B308" s="3"/>
      <c r="C308" s="3"/>
      <c r="D308" s="3"/>
      <c r="E308" s="3"/>
      <c r="F308" s="3"/>
      <c r="G308" s="3"/>
      <c r="H308" s="3"/>
      <c r="I308" s="3"/>
      <c r="J308" s="3"/>
      <c r="K308" s="3"/>
      <c r="L308" s="3"/>
      <c r="M308" s="3"/>
      <c r="N308" s="3"/>
      <c r="O308" s="3"/>
      <c r="P308" s="3"/>
      <c r="Q308" s="3"/>
      <c r="R308" s="3"/>
      <c r="S308" s="3"/>
    </row>
  </sheetData>
  <hyperlinks>
    <hyperlink ref="N243"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R308"/>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221</v>
      </c>
      <c r="C1" s="11"/>
      <c r="D1" s="11"/>
      <c r="E1" s="11"/>
      <c r="F1" s="11"/>
      <c r="G1" s="11"/>
      <c r="H1" s="11"/>
      <c r="I1" s="11"/>
      <c r="J1" s="11"/>
      <c r="K1" s="11"/>
      <c r="L1" s="11"/>
      <c r="M1" s="11"/>
      <c r="N1" s="11"/>
      <c r="O1" s="11"/>
      <c r="P1" s="11"/>
      <c r="Q1" s="11"/>
      <c r="R1" s="11"/>
      <c r="S1" s="216"/>
      <c r="T1" s="2"/>
    </row>
    <row r="2" spans="1:20" ht="15.6" x14ac:dyDescent="0.3">
      <c r="A2" s="12"/>
      <c r="B2" s="13"/>
      <c r="C2" s="14"/>
      <c r="D2" s="14"/>
      <c r="E2" s="14"/>
      <c r="F2" s="14"/>
      <c r="G2" s="14"/>
      <c r="H2" s="14"/>
      <c r="I2" s="14"/>
      <c r="J2" s="14"/>
      <c r="K2" s="14"/>
      <c r="L2" s="14"/>
      <c r="M2" s="14"/>
      <c r="N2" s="14"/>
      <c r="O2" s="14"/>
      <c r="P2" s="14"/>
      <c r="Q2" s="14"/>
      <c r="R2" s="14"/>
      <c r="S2" s="217"/>
      <c r="T2" s="2"/>
    </row>
    <row r="3" spans="1:20" ht="15.6" x14ac:dyDescent="0.3">
      <c r="A3" s="15"/>
      <c r="B3" s="16" t="s">
        <v>222</v>
      </c>
      <c r="C3" s="14"/>
      <c r="D3" s="14"/>
      <c r="E3" s="14"/>
      <c r="F3" s="14"/>
      <c r="G3" s="14"/>
      <c r="H3" s="14"/>
      <c r="I3" s="14"/>
      <c r="J3" s="14"/>
      <c r="K3" s="14"/>
      <c r="L3" s="14"/>
      <c r="M3" s="14"/>
      <c r="N3" s="14"/>
      <c r="O3" s="14"/>
      <c r="P3" s="14"/>
      <c r="Q3" s="14"/>
      <c r="R3" s="14"/>
      <c r="S3" s="217"/>
      <c r="T3" s="2"/>
    </row>
    <row r="4" spans="1:20" ht="15.6" x14ac:dyDescent="0.3">
      <c r="A4" s="12"/>
      <c r="B4" s="13"/>
      <c r="C4" s="14"/>
      <c r="D4" s="14"/>
      <c r="E4" s="14"/>
      <c r="F4" s="14"/>
      <c r="G4" s="14"/>
      <c r="H4" s="14"/>
      <c r="I4" s="14"/>
      <c r="J4" s="14"/>
      <c r="K4" s="14"/>
      <c r="L4" s="14"/>
      <c r="M4" s="14"/>
      <c r="N4" s="14"/>
      <c r="O4" s="14"/>
      <c r="P4" s="14"/>
      <c r="Q4" s="14"/>
      <c r="R4" s="14"/>
      <c r="S4" s="217"/>
      <c r="T4" s="2"/>
    </row>
    <row r="5" spans="1:20" ht="15.6" x14ac:dyDescent="0.3">
      <c r="A5" s="12"/>
      <c r="B5" s="102" t="s">
        <v>109</v>
      </c>
      <c r="C5" s="14"/>
      <c r="D5" s="14"/>
      <c r="E5" s="14"/>
      <c r="F5" s="14"/>
      <c r="G5" s="14"/>
      <c r="H5" s="14"/>
      <c r="I5" s="14"/>
      <c r="J5" s="14"/>
      <c r="K5" s="14"/>
      <c r="L5" s="14"/>
      <c r="M5" s="14"/>
      <c r="N5" s="14"/>
      <c r="O5" s="14"/>
      <c r="P5" s="14"/>
      <c r="Q5" s="14"/>
      <c r="R5" s="14"/>
      <c r="S5" s="217"/>
      <c r="T5" s="2"/>
    </row>
    <row r="6" spans="1:20" ht="15.6" x14ac:dyDescent="0.3">
      <c r="A6" s="12"/>
      <c r="B6" s="102" t="s">
        <v>111</v>
      </c>
      <c r="C6" s="14"/>
      <c r="D6" s="14"/>
      <c r="E6" s="14"/>
      <c r="F6" s="14"/>
      <c r="G6" s="14"/>
      <c r="H6" s="14"/>
      <c r="I6" s="14"/>
      <c r="J6" s="14"/>
      <c r="K6" s="14"/>
      <c r="L6" s="14"/>
      <c r="M6" s="14"/>
      <c r="N6" s="14"/>
      <c r="O6" s="14"/>
      <c r="P6" s="14"/>
      <c r="Q6" s="14"/>
      <c r="R6" s="14"/>
      <c r="S6" s="217"/>
      <c r="T6" s="2"/>
    </row>
    <row r="7" spans="1:20" ht="15.6" x14ac:dyDescent="0.3">
      <c r="A7" s="12"/>
      <c r="B7" s="102" t="s">
        <v>110</v>
      </c>
      <c r="C7" s="14"/>
      <c r="D7" s="14"/>
      <c r="E7" s="14"/>
      <c r="F7" s="14"/>
      <c r="G7" s="14"/>
      <c r="H7" s="14"/>
      <c r="I7" s="14"/>
      <c r="J7" s="14"/>
      <c r="K7" s="14"/>
      <c r="L7" s="14"/>
      <c r="M7" s="14"/>
      <c r="N7" s="14"/>
      <c r="O7" s="14"/>
      <c r="P7" s="14"/>
      <c r="Q7" s="14"/>
      <c r="R7" s="14"/>
      <c r="S7" s="217"/>
      <c r="T7" s="2"/>
    </row>
    <row r="8" spans="1:20" ht="15.6" x14ac:dyDescent="0.3">
      <c r="A8" s="12"/>
      <c r="B8" s="17"/>
      <c r="C8" s="14"/>
      <c r="D8" s="14"/>
      <c r="E8" s="14"/>
      <c r="F8" s="14"/>
      <c r="G8" s="14"/>
      <c r="H8" s="14"/>
      <c r="I8" s="14"/>
      <c r="J8" s="14"/>
      <c r="K8" s="14"/>
      <c r="L8" s="14"/>
      <c r="M8" s="14"/>
      <c r="N8" s="14"/>
      <c r="O8" s="14"/>
      <c r="P8" s="14"/>
      <c r="Q8" s="14"/>
      <c r="R8" s="14"/>
      <c r="S8" s="217"/>
      <c r="T8" s="2"/>
    </row>
    <row r="9" spans="1:20" ht="17.399999999999999" x14ac:dyDescent="0.3">
      <c r="A9" s="12"/>
      <c r="B9" s="18" t="s">
        <v>127</v>
      </c>
      <c r="C9" s="14"/>
      <c r="D9" s="14"/>
      <c r="E9" s="19"/>
      <c r="F9" s="14"/>
      <c r="G9" s="14"/>
      <c r="H9" s="19"/>
      <c r="I9" s="14"/>
      <c r="J9" s="19"/>
      <c r="K9" s="19" t="s">
        <v>128</v>
      </c>
      <c r="L9" s="19"/>
      <c r="M9" s="14"/>
      <c r="N9" s="14"/>
      <c r="O9" s="14"/>
      <c r="P9" s="14"/>
      <c r="Q9" s="14"/>
      <c r="R9" s="14"/>
      <c r="S9" s="217"/>
      <c r="T9" s="2"/>
    </row>
    <row r="10" spans="1:20" ht="15.6" x14ac:dyDescent="0.3">
      <c r="A10" s="12"/>
      <c r="B10" s="17"/>
      <c r="C10" s="20"/>
      <c r="D10" s="14"/>
      <c r="E10" s="14"/>
      <c r="F10" s="14"/>
      <c r="G10" s="14"/>
      <c r="H10" s="14"/>
      <c r="I10" s="14"/>
      <c r="J10" s="14"/>
      <c r="K10" s="14"/>
      <c r="L10" s="14"/>
      <c r="M10" s="14"/>
      <c r="N10" s="14"/>
      <c r="O10" s="14"/>
      <c r="P10" s="14"/>
      <c r="Q10" s="14"/>
      <c r="R10" s="14"/>
      <c r="S10" s="217"/>
      <c r="T10" s="2"/>
    </row>
    <row r="11" spans="1:20" ht="15.6" x14ac:dyDescent="0.3">
      <c r="A11" s="12"/>
      <c r="B11" s="88" t="s">
        <v>0</v>
      </c>
      <c r="C11" s="14"/>
      <c r="D11" s="14"/>
      <c r="E11" s="14"/>
      <c r="F11" s="14"/>
      <c r="G11" s="14"/>
      <c r="H11" s="14"/>
      <c r="I11" s="14"/>
      <c r="J11" s="14"/>
      <c r="K11" s="14"/>
      <c r="L11" s="14"/>
      <c r="M11" s="14"/>
      <c r="N11" s="14"/>
      <c r="O11" s="14"/>
      <c r="P11" s="14"/>
      <c r="Q11" s="14"/>
      <c r="R11" s="14"/>
      <c r="S11" s="217"/>
      <c r="T11" s="2"/>
    </row>
    <row r="12" spans="1:20" ht="16.2" thickBot="1" x14ac:dyDescent="0.35">
      <c r="A12" s="12"/>
      <c r="B12" s="20"/>
      <c r="C12" s="14"/>
      <c r="D12" s="14"/>
      <c r="E12" s="14"/>
      <c r="F12" s="14"/>
      <c r="G12" s="14"/>
      <c r="H12" s="14"/>
      <c r="I12" s="14"/>
      <c r="J12" s="14"/>
      <c r="K12" s="14"/>
      <c r="L12" s="14"/>
      <c r="M12" s="14"/>
      <c r="N12" s="14"/>
      <c r="O12" s="14"/>
      <c r="P12" s="14"/>
      <c r="Q12" s="14"/>
      <c r="R12" s="14"/>
      <c r="S12" s="217"/>
      <c r="T12" s="2"/>
    </row>
    <row r="13" spans="1:20" ht="15.6" x14ac:dyDescent="0.3">
      <c r="A13" s="10"/>
      <c r="B13" s="11"/>
      <c r="C13" s="11"/>
      <c r="D13" s="11"/>
      <c r="E13" s="11"/>
      <c r="F13" s="11"/>
      <c r="G13" s="11"/>
      <c r="H13" s="11"/>
      <c r="I13" s="11"/>
      <c r="J13" s="11"/>
      <c r="K13" s="11"/>
      <c r="L13" s="11"/>
      <c r="M13" s="11"/>
      <c r="N13" s="11"/>
      <c r="O13" s="11"/>
      <c r="P13" s="11"/>
      <c r="Q13" s="11"/>
      <c r="R13" s="11"/>
      <c r="S13" s="216"/>
      <c r="T13" s="2"/>
    </row>
    <row r="14" spans="1:20" ht="15.6" x14ac:dyDescent="0.3">
      <c r="A14" s="12"/>
      <c r="B14" s="88" t="s">
        <v>1</v>
      </c>
      <c r="C14" s="84"/>
      <c r="D14" s="84"/>
      <c r="E14" s="84"/>
      <c r="F14" s="84"/>
      <c r="G14" s="84"/>
      <c r="H14" s="84"/>
      <c r="I14" s="84"/>
      <c r="J14" s="84"/>
      <c r="K14" s="84"/>
      <c r="L14" s="84"/>
      <c r="M14" s="84"/>
      <c r="N14" s="84"/>
      <c r="O14" s="84"/>
      <c r="P14" s="84"/>
      <c r="Q14" s="84"/>
      <c r="R14" s="103" t="s">
        <v>223</v>
      </c>
      <c r="S14" s="218"/>
      <c r="T14" s="2"/>
    </row>
    <row r="15" spans="1:20" ht="15.6" x14ac:dyDescent="0.3">
      <c r="A15" s="12"/>
      <c r="B15" s="88" t="s">
        <v>2</v>
      </c>
      <c r="C15" s="84"/>
      <c r="D15" s="104"/>
      <c r="E15" s="104"/>
      <c r="F15" s="104"/>
      <c r="G15" s="104"/>
      <c r="H15" s="104"/>
      <c r="I15" s="104"/>
      <c r="J15" s="104"/>
      <c r="K15" s="104"/>
      <c r="L15" s="104"/>
      <c r="M15" s="104"/>
      <c r="N15" s="105"/>
      <c r="O15" s="105"/>
      <c r="P15" s="105" t="s">
        <v>154</v>
      </c>
      <c r="Q15" s="105">
        <v>1</v>
      </c>
      <c r="R15" s="103"/>
      <c r="S15" s="218"/>
      <c r="T15" s="2"/>
    </row>
    <row r="16" spans="1:20" ht="15.6" x14ac:dyDescent="0.3">
      <c r="A16" s="12"/>
      <c r="B16" s="88" t="s">
        <v>3</v>
      </c>
      <c r="C16" s="84"/>
      <c r="D16" s="104"/>
      <c r="E16" s="104"/>
      <c r="F16" s="104"/>
      <c r="G16" s="104"/>
      <c r="H16" s="104"/>
      <c r="I16" s="104"/>
      <c r="J16" s="104"/>
      <c r="K16" s="104"/>
      <c r="L16" s="104"/>
      <c r="M16" s="104"/>
      <c r="N16" s="105"/>
      <c r="O16" s="230"/>
      <c r="P16" s="105" t="s">
        <v>154</v>
      </c>
      <c r="Q16" s="230">
        <v>1</v>
      </c>
      <c r="R16" s="103"/>
      <c r="S16" s="218"/>
      <c r="T16" s="2"/>
    </row>
    <row r="17" spans="1:23" ht="15.6" x14ac:dyDescent="0.3">
      <c r="A17" s="12"/>
      <c r="B17" s="88" t="s">
        <v>4</v>
      </c>
      <c r="C17" s="84"/>
      <c r="D17" s="84"/>
      <c r="E17" s="84"/>
      <c r="F17" s="84"/>
      <c r="G17" s="84"/>
      <c r="H17" s="84"/>
      <c r="I17" s="84"/>
      <c r="J17" s="84"/>
      <c r="K17" s="84"/>
      <c r="L17" s="84"/>
      <c r="M17" s="84"/>
      <c r="N17" s="84"/>
      <c r="O17" s="84"/>
      <c r="P17" s="84"/>
      <c r="Q17" s="84"/>
      <c r="R17" s="106">
        <v>42088</v>
      </c>
      <c r="S17" s="218"/>
      <c r="T17" s="2"/>
    </row>
    <row r="18" spans="1:23" ht="15.6" x14ac:dyDescent="0.3">
      <c r="A18" s="12"/>
      <c r="B18" s="88" t="s">
        <v>5</v>
      </c>
      <c r="C18" s="84"/>
      <c r="D18" s="84"/>
      <c r="E18" s="84"/>
      <c r="F18" s="84"/>
      <c r="G18" s="84"/>
      <c r="H18" s="84"/>
      <c r="I18" s="84"/>
      <c r="J18" s="84"/>
      <c r="K18" s="84"/>
      <c r="L18" s="84"/>
      <c r="M18" s="84"/>
      <c r="N18" s="84"/>
      <c r="O18" s="84"/>
      <c r="P18" s="84"/>
      <c r="Q18" s="84"/>
      <c r="R18" s="215">
        <v>42724</v>
      </c>
      <c r="S18" s="218"/>
      <c r="T18" s="2"/>
    </row>
    <row r="19" spans="1:23" ht="15.6" x14ac:dyDescent="0.3">
      <c r="A19" s="12"/>
      <c r="B19" s="14"/>
      <c r="C19" s="14"/>
      <c r="D19" s="14"/>
      <c r="E19" s="14"/>
      <c r="F19" s="14"/>
      <c r="G19" s="14"/>
      <c r="H19" s="14"/>
      <c r="I19" s="14"/>
      <c r="J19" s="14"/>
      <c r="K19" s="14"/>
      <c r="L19" s="14"/>
      <c r="M19" s="14"/>
      <c r="N19" s="14"/>
      <c r="O19" s="14"/>
      <c r="P19" s="14"/>
      <c r="Q19" s="14"/>
      <c r="R19" s="21"/>
      <c r="S19" s="217"/>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7"/>
      <c r="T20" s="2"/>
    </row>
    <row r="21" spans="1:23" ht="15.6" x14ac:dyDescent="0.3">
      <c r="A21" s="12"/>
      <c r="B21" s="14"/>
      <c r="C21" s="14"/>
      <c r="D21" s="14"/>
      <c r="E21" s="14"/>
      <c r="F21" s="14"/>
      <c r="G21" s="14"/>
      <c r="H21" s="14"/>
      <c r="I21" s="14"/>
      <c r="J21" s="14"/>
      <c r="K21" s="14"/>
      <c r="L21" s="14"/>
      <c r="M21" s="14"/>
      <c r="N21" s="14"/>
      <c r="O21" s="14"/>
      <c r="P21" s="14"/>
      <c r="Q21" s="14"/>
      <c r="R21" s="23"/>
      <c r="S21" s="217"/>
      <c r="T21" s="2"/>
    </row>
    <row r="22" spans="1:23" ht="15.6" x14ac:dyDescent="0.3">
      <c r="A22" s="53"/>
      <c r="B22" s="54"/>
      <c r="C22" s="55"/>
      <c r="D22" s="55" t="s">
        <v>232</v>
      </c>
      <c r="E22" s="55"/>
      <c r="F22" s="55" t="s">
        <v>233</v>
      </c>
      <c r="G22" s="55"/>
      <c r="H22" s="55" t="s">
        <v>179</v>
      </c>
      <c r="I22" s="55"/>
      <c r="J22" s="55" t="s">
        <v>180</v>
      </c>
      <c r="K22" s="55"/>
      <c r="L22" s="55" t="s">
        <v>234</v>
      </c>
      <c r="M22" s="55"/>
      <c r="N22" s="55"/>
      <c r="O22" s="56"/>
      <c r="P22" s="57"/>
      <c r="Q22" s="58"/>
      <c r="R22" s="58"/>
      <c r="S22" s="219"/>
      <c r="T22" s="2"/>
    </row>
    <row r="23" spans="1:23" ht="15.6" x14ac:dyDescent="0.3">
      <c r="A23" s="24"/>
      <c r="B23" s="79" t="s">
        <v>226</v>
      </c>
      <c r="C23" s="109"/>
      <c r="D23" s="109" t="s">
        <v>112</v>
      </c>
      <c r="E23" s="109"/>
      <c r="F23" s="109" t="s">
        <v>112</v>
      </c>
      <c r="G23" s="109"/>
      <c r="H23" s="109" t="s">
        <v>178</v>
      </c>
      <c r="I23" s="109"/>
      <c r="J23" s="109" t="s">
        <v>249</v>
      </c>
      <c r="K23" s="109"/>
      <c r="L23" s="109" t="s">
        <v>153</v>
      </c>
      <c r="M23" s="109"/>
      <c r="N23" s="109"/>
      <c r="O23" s="109"/>
      <c r="P23" s="109"/>
      <c r="Q23" s="100"/>
      <c r="R23" s="100"/>
      <c r="S23" s="220"/>
      <c r="T23" s="2"/>
    </row>
    <row r="24" spans="1:23" ht="15.6" x14ac:dyDescent="0.3">
      <c r="A24" s="117"/>
      <c r="B24" s="113" t="s">
        <v>197</v>
      </c>
      <c r="C24" s="119"/>
      <c r="D24" s="114" t="s">
        <v>199</v>
      </c>
      <c r="E24" s="114"/>
      <c r="F24" s="114" t="s">
        <v>199</v>
      </c>
      <c r="G24" s="114"/>
      <c r="H24" s="114" t="s">
        <v>200</v>
      </c>
      <c r="I24" s="114"/>
      <c r="J24" s="114" t="s">
        <v>201</v>
      </c>
      <c r="K24" s="114"/>
      <c r="L24" s="114" t="s">
        <v>153</v>
      </c>
      <c r="M24" s="114"/>
      <c r="N24" s="114"/>
      <c r="O24" s="119"/>
      <c r="P24" s="114"/>
      <c r="Q24" s="115"/>
      <c r="R24" s="115"/>
      <c r="S24" s="116"/>
      <c r="T24" s="2"/>
    </row>
    <row r="25" spans="1:23" ht="15.6" x14ac:dyDescent="0.3">
      <c r="A25" s="120"/>
      <c r="B25" s="124" t="s">
        <v>227</v>
      </c>
      <c r="C25" s="119"/>
      <c r="D25" s="119" t="s">
        <v>112</v>
      </c>
      <c r="E25" s="119"/>
      <c r="F25" s="119" t="s">
        <v>112</v>
      </c>
      <c r="G25" s="119"/>
      <c r="H25" s="119" t="s">
        <v>178</v>
      </c>
      <c r="I25" s="119"/>
      <c r="J25" s="119" t="s">
        <v>249</v>
      </c>
      <c r="K25" s="119"/>
      <c r="L25" s="119" t="s">
        <v>153</v>
      </c>
      <c r="M25" s="119"/>
      <c r="N25" s="119"/>
      <c r="O25" s="119"/>
      <c r="P25" s="114"/>
      <c r="Q25" s="115"/>
      <c r="R25" s="115"/>
      <c r="S25" s="116"/>
      <c r="T25" s="2"/>
      <c r="U25" s="211"/>
      <c r="W25" s="212"/>
    </row>
    <row r="26" spans="1:23" ht="15.6" x14ac:dyDescent="0.3">
      <c r="A26" s="122"/>
      <c r="B26" s="124" t="s">
        <v>198</v>
      </c>
      <c r="C26" s="114"/>
      <c r="D26" s="119" t="s">
        <v>199</v>
      </c>
      <c r="E26" s="119"/>
      <c r="F26" s="119" t="s">
        <v>199</v>
      </c>
      <c r="G26" s="119"/>
      <c r="H26" s="119" t="s">
        <v>200</v>
      </c>
      <c r="I26" s="119"/>
      <c r="J26" s="119" t="s">
        <v>201</v>
      </c>
      <c r="K26" s="119"/>
      <c r="L26" s="119" t="s">
        <v>153</v>
      </c>
      <c r="M26" s="119"/>
      <c r="N26" s="119"/>
      <c r="O26" s="114"/>
      <c r="P26" s="123"/>
      <c r="Q26" s="115"/>
      <c r="R26" s="115"/>
      <c r="S26" s="116"/>
      <c r="T26" s="2"/>
      <c r="U26" s="211"/>
      <c r="W26" s="212"/>
    </row>
    <row r="27" spans="1:23" ht="15.6" x14ac:dyDescent="0.3">
      <c r="A27" s="122"/>
      <c r="B27" s="113" t="s">
        <v>7</v>
      </c>
      <c r="C27" s="125"/>
      <c r="D27" s="114" t="s">
        <v>228</v>
      </c>
      <c r="E27" s="114"/>
      <c r="F27" s="114" t="s">
        <v>242</v>
      </c>
      <c r="G27" s="114"/>
      <c r="H27" s="114" t="s">
        <v>243</v>
      </c>
      <c r="I27" s="114"/>
      <c r="J27" s="114" t="s">
        <v>244</v>
      </c>
      <c r="K27" s="114"/>
      <c r="L27" s="114" t="s">
        <v>245</v>
      </c>
      <c r="M27" s="114"/>
      <c r="N27" s="114"/>
      <c r="O27" s="126"/>
      <c r="P27" s="126"/>
      <c r="Q27" s="127"/>
      <c r="R27" s="126"/>
      <c r="S27" s="128"/>
      <c r="T27" s="2"/>
      <c r="U27" s="211"/>
      <c r="W27" s="212"/>
    </row>
    <row r="28" spans="1:23" ht="15.6" x14ac:dyDescent="0.3">
      <c r="A28" s="120"/>
      <c r="B28" s="113" t="s">
        <v>106</v>
      </c>
      <c r="C28" s="129"/>
      <c r="D28" s="235">
        <v>164000</v>
      </c>
      <c r="E28" s="130"/>
      <c r="F28" s="201">
        <v>151700</v>
      </c>
      <c r="G28" s="198"/>
      <c r="H28" s="201">
        <v>12000</v>
      </c>
      <c r="I28" s="198"/>
      <c r="J28" s="201">
        <v>12000</v>
      </c>
      <c r="K28" s="126"/>
      <c r="L28" s="201">
        <v>7500</v>
      </c>
      <c r="M28" s="126"/>
      <c r="N28" s="130"/>
      <c r="O28" s="131"/>
      <c r="P28" s="131"/>
      <c r="Q28" s="132"/>
      <c r="R28" s="126"/>
      <c r="S28" s="128"/>
      <c r="T28" s="2"/>
    </row>
    <row r="29" spans="1:23" ht="15.6" x14ac:dyDescent="0.3">
      <c r="A29" s="122"/>
      <c r="B29" s="113" t="s">
        <v>105</v>
      </c>
      <c r="C29" s="125"/>
      <c r="D29" s="235">
        <f>D28*D35</f>
        <v>150830.66880000001</v>
      </c>
      <c r="E29" s="130"/>
      <c r="F29" s="201">
        <f>F28*F35</f>
        <v>139518.36864</v>
      </c>
      <c r="G29" s="201"/>
      <c r="H29" s="201">
        <f>H28</f>
        <v>12000</v>
      </c>
      <c r="I29" s="201"/>
      <c r="J29" s="201">
        <f>J28</f>
        <v>12000</v>
      </c>
      <c r="K29" s="126"/>
      <c r="L29" s="201">
        <f>L28</f>
        <v>7500</v>
      </c>
      <c r="M29" s="126"/>
      <c r="N29" s="130"/>
      <c r="O29" s="126"/>
      <c r="P29" s="126"/>
      <c r="Q29" s="127"/>
      <c r="R29" s="126"/>
      <c r="S29" s="128"/>
      <c r="T29" s="2"/>
    </row>
    <row r="30" spans="1:23" ht="15.6" x14ac:dyDescent="0.3">
      <c r="A30" s="122"/>
      <c r="B30" s="121" t="s">
        <v>107</v>
      </c>
      <c r="C30" s="125"/>
      <c r="D30" s="236">
        <f>D28*D34</f>
        <v>144831.2536</v>
      </c>
      <c r="E30" s="202"/>
      <c r="F30" s="202">
        <f t="shared" ref="F30" si="0">F28*F34</f>
        <v>133968.90958000001</v>
      </c>
      <c r="G30" s="202"/>
      <c r="H30" s="202">
        <f t="shared" ref="H30" si="1">H28*H34</f>
        <v>12000</v>
      </c>
      <c r="I30" s="202"/>
      <c r="J30" s="202">
        <f t="shared" ref="J30" si="2">J28*J34</f>
        <v>12000</v>
      </c>
      <c r="K30" s="202"/>
      <c r="L30" s="202">
        <f t="shared" ref="L30" si="3">L28*L34</f>
        <v>7500</v>
      </c>
      <c r="M30" s="131"/>
      <c r="N30" s="133"/>
      <c r="O30" s="126"/>
      <c r="P30" s="126"/>
      <c r="Q30" s="127"/>
      <c r="R30" s="203"/>
      <c r="S30" s="128"/>
      <c r="T30" s="2"/>
    </row>
    <row r="31" spans="1:23" ht="15.6" x14ac:dyDescent="0.3">
      <c r="A31" s="122"/>
      <c r="B31" s="113" t="s">
        <v>229</v>
      </c>
      <c r="C31" s="125"/>
      <c r="D31" s="201">
        <v>116809</v>
      </c>
      <c r="E31" s="201"/>
      <c r="F31" s="201">
        <v>151700</v>
      </c>
      <c r="G31" s="201"/>
      <c r="H31" s="201">
        <v>12000</v>
      </c>
      <c r="I31" s="201"/>
      <c r="J31" s="201">
        <v>12000</v>
      </c>
      <c r="K31" s="201"/>
      <c r="L31" s="201">
        <v>7500</v>
      </c>
      <c r="M31" s="126"/>
      <c r="N31" s="133"/>
      <c r="O31" s="126"/>
      <c r="P31" s="126"/>
      <c r="Q31" s="127"/>
      <c r="R31" s="126">
        <f>SUM(D31:L31)</f>
        <v>300009</v>
      </c>
      <c r="S31" s="128"/>
      <c r="T31" s="2"/>
    </row>
    <row r="32" spans="1:23" ht="15.6" x14ac:dyDescent="0.3">
      <c r="A32" s="122"/>
      <c r="B32" s="113" t="s">
        <v>230</v>
      </c>
      <c r="C32" s="125"/>
      <c r="D32" s="201">
        <f>D31*D35</f>
        <v>107429.1438528</v>
      </c>
      <c r="E32" s="201"/>
      <c r="F32" s="201">
        <f>F31*F35</f>
        <v>139518.36864</v>
      </c>
      <c r="G32" s="201"/>
      <c r="H32" s="201">
        <f>H31</f>
        <v>12000</v>
      </c>
      <c r="I32" s="201"/>
      <c r="J32" s="201">
        <f>+J31</f>
        <v>12000</v>
      </c>
      <c r="K32" s="201"/>
      <c r="L32" s="201">
        <f>L31</f>
        <v>7500</v>
      </c>
      <c r="M32" s="126"/>
      <c r="N32" s="133"/>
      <c r="O32" s="126"/>
      <c r="P32" s="126"/>
      <c r="Q32" s="127"/>
      <c r="R32" s="126">
        <f>SUM(D32:L32)</f>
        <v>278447.51249280002</v>
      </c>
      <c r="S32" s="128"/>
      <c r="T32" s="2"/>
    </row>
    <row r="33" spans="1:20" ht="15.6" x14ac:dyDescent="0.3">
      <c r="A33" s="122"/>
      <c r="B33" s="124" t="s">
        <v>231</v>
      </c>
      <c r="C33" s="125"/>
      <c r="D33" s="237">
        <f>D31*D34</f>
        <v>103156.06037660001</v>
      </c>
      <c r="E33" s="237"/>
      <c r="F33" s="237">
        <f>F31*F34</f>
        <v>133968.90958000001</v>
      </c>
      <c r="G33" s="237"/>
      <c r="H33" s="237">
        <f t="shared" ref="H33:L33" si="4">H31*H34</f>
        <v>12000</v>
      </c>
      <c r="I33" s="237"/>
      <c r="J33" s="237">
        <f t="shared" si="4"/>
        <v>12000</v>
      </c>
      <c r="K33" s="237"/>
      <c r="L33" s="237">
        <f t="shared" si="4"/>
        <v>7500</v>
      </c>
      <c r="M33" s="131"/>
      <c r="N33" s="133"/>
      <c r="O33" s="126"/>
      <c r="P33" s="126"/>
      <c r="Q33" s="127"/>
      <c r="R33" s="203">
        <f>SUM(D33:L33)</f>
        <v>268624.96995659999</v>
      </c>
      <c r="S33" s="128"/>
      <c r="T33" s="2"/>
    </row>
    <row r="34" spans="1:20" ht="15.6" x14ac:dyDescent="0.3">
      <c r="A34" s="112"/>
      <c r="B34" s="134" t="s">
        <v>103</v>
      </c>
      <c r="C34" s="135"/>
      <c r="D34" s="136">
        <v>0.88311740000000005</v>
      </c>
      <c r="E34" s="136"/>
      <c r="F34" s="136">
        <v>0.88311740000000005</v>
      </c>
      <c r="G34" s="136"/>
      <c r="H34" s="136">
        <v>1</v>
      </c>
      <c r="I34" s="136"/>
      <c r="J34" s="136">
        <v>1</v>
      </c>
      <c r="K34" s="136"/>
      <c r="L34" s="136">
        <v>1</v>
      </c>
      <c r="M34" s="136"/>
      <c r="N34" s="136"/>
      <c r="O34" s="137"/>
      <c r="P34" s="137"/>
      <c r="Q34" s="138"/>
      <c r="R34" s="204"/>
      <c r="S34" s="139"/>
      <c r="T34" s="2"/>
    </row>
    <row r="35" spans="1:20" ht="15.6" x14ac:dyDescent="0.3">
      <c r="A35" s="112"/>
      <c r="B35" s="134" t="s">
        <v>104</v>
      </c>
      <c r="C35" s="135"/>
      <c r="D35" s="136">
        <v>0.91969920000000005</v>
      </c>
      <c r="E35" s="136"/>
      <c r="F35" s="136">
        <v>0.91969920000000005</v>
      </c>
      <c r="G35" s="136"/>
      <c r="H35" s="136">
        <v>1</v>
      </c>
      <c r="I35" s="136"/>
      <c r="J35" s="136">
        <v>1</v>
      </c>
      <c r="K35" s="136"/>
      <c r="L35" s="136">
        <v>1</v>
      </c>
      <c r="M35" s="136"/>
      <c r="N35" s="136"/>
      <c r="O35" s="140"/>
      <c r="P35" s="141"/>
      <c r="Q35" s="138"/>
      <c r="R35" s="140"/>
      <c r="S35" s="139"/>
      <c r="T35" s="2"/>
    </row>
    <row r="36" spans="1:20" ht="15.6" x14ac:dyDescent="0.3">
      <c r="A36" s="112"/>
      <c r="B36" s="113" t="s">
        <v>8</v>
      </c>
      <c r="C36" s="113"/>
      <c r="D36" s="123" t="s">
        <v>240</v>
      </c>
      <c r="E36" s="123"/>
      <c r="F36" s="123" t="s">
        <v>220</v>
      </c>
      <c r="G36" s="123"/>
      <c r="H36" s="123" t="s">
        <v>247</v>
      </c>
      <c r="I36" s="123"/>
      <c r="J36" s="123" t="s">
        <v>250</v>
      </c>
      <c r="K36" s="123"/>
      <c r="L36" s="123" t="s">
        <v>252</v>
      </c>
      <c r="M36" s="123"/>
      <c r="N36" s="123"/>
      <c r="O36" s="142"/>
      <c r="P36" s="143"/>
      <c r="Q36" s="115"/>
      <c r="R36" s="115"/>
      <c r="S36" s="116"/>
      <c r="T36" s="2"/>
    </row>
    <row r="37" spans="1:20" ht="15.6" x14ac:dyDescent="0.3">
      <c r="A37" s="112"/>
      <c r="B37" s="113" t="s">
        <v>9</v>
      </c>
      <c r="C37" s="144"/>
      <c r="D37" s="143">
        <v>1.98E-3</v>
      </c>
      <c r="E37" s="143"/>
      <c r="F37" s="143">
        <v>1.1818800000000001E-2</v>
      </c>
      <c r="G37" s="143"/>
      <c r="H37" s="143">
        <v>1.7318799999999999E-2</v>
      </c>
      <c r="I37" s="143"/>
      <c r="J37" s="143">
        <v>2.0318800000000001E-2</v>
      </c>
      <c r="K37" s="143"/>
      <c r="L37" s="143">
        <v>2.3818800000000001E-2</v>
      </c>
      <c r="M37" s="142"/>
      <c r="N37" s="143"/>
      <c r="O37" s="123"/>
      <c r="P37" s="123"/>
      <c r="Q37" s="115"/>
      <c r="R37" s="142"/>
      <c r="S37" s="116"/>
      <c r="T37" s="2"/>
    </row>
    <row r="38" spans="1:20" ht="15.6" x14ac:dyDescent="0.3">
      <c r="A38" s="112"/>
      <c r="B38" s="113" t="s">
        <v>10</v>
      </c>
      <c r="C38" s="144"/>
      <c r="D38" s="143">
        <v>2.3700000000000001E-3</v>
      </c>
      <c r="E38" s="143"/>
      <c r="F38" s="143">
        <v>1.37188E-2</v>
      </c>
      <c r="G38" s="143"/>
      <c r="H38" s="143">
        <v>1.9218800000000001E-2</v>
      </c>
      <c r="I38" s="143"/>
      <c r="J38" s="143">
        <v>2.22188E-2</v>
      </c>
      <c r="K38" s="143"/>
      <c r="L38" s="143">
        <v>2.57188E-2</v>
      </c>
      <c r="M38" s="142"/>
      <c r="N38" s="143"/>
      <c r="O38" s="123"/>
      <c r="P38" s="123"/>
      <c r="Q38" s="115"/>
      <c r="R38" s="115"/>
      <c r="S38" s="116"/>
      <c r="T38" s="2"/>
    </row>
    <row r="39" spans="1:20" ht="15.6" x14ac:dyDescent="0.3">
      <c r="A39" s="112"/>
      <c r="B39" s="113" t="s">
        <v>235</v>
      </c>
      <c r="C39" s="144"/>
      <c r="D39" s="240" t="s">
        <v>260</v>
      </c>
      <c r="E39" s="143"/>
      <c r="F39" s="143" t="s">
        <v>220</v>
      </c>
      <c r="G39" s="143"/>
      <c r="H39" s="143" t="s">
        <v>247</v>
      </c>
      <c r="I39" s="143"/>
      <c r="J39" s="123" t="s">
        <v>250</v>
      </c>
      <c r="K39" s="143"/>
      <c r="L39" s="143" t="s">
        <v>252</v>
      </c>
      <c r="M39" s="142"/>
      <c r="N39" s="143"/>
      <c r="O39" s="123"/>
      <c r="P39" s="123"/>
      <c r="Q39" s="115"/>
      <c r="R39" s="115"/>
      <c r="S39" s="116"/>
      <c r="T39" s="2"/>
    </row>
    <row r="40" spans="1:20" ht="15.6" x14ac:dyDescent="0.3">
      <c r="A40" s="112"/>
      <c r="B40" s="113" t="s">
        <v>236</v>
      </c>
      <c r="C40" s="144"/>
      <c r="D40" s="143">
        <v>1.42188E-2</v>
      </c>
      <c r="E40" s="143"/>
      <c r="F40" s="143">
        <f>+F37</f>
        <v>1.1818800000000001E-2</v>
      </c>
      <c r="G40" s="143"/>
      <c r="H40" s="143">
        <f>+H37</f>
        <v>1.7318799999999999E-2</v>
      </c>
      <c r="I40" s="143"/>
      <c r="J40" s="143">
        <f>+J37</f>
        <v>2.0318800000000001E-2</v>
      </c>
      <c r="K40" s="143"/>
      <c r="L40" s="143">
        <f>+L37</f>
        <v>2.3818800000000001E-2</v>
      </c>
      <c r="M40" s="142"/>
      <c r="N40" s="143"/>
      <c r="O40" s="123"/>
      <c r="P40" s="123"/>
      <c r="Q40" s="115"/>
      <c r="R40" s="142">
        <f>SUMPRODUCT(D40:L40,D32:L32)/R32</f>
        <v>1.3671321290740775E-2</v>
      </c>
      <c r="S40" s="116"/>
      <c r="T40" s="2"/>
    </row>
    <row r="41" spans="1:20" ht="15.6" x14ac:dyDescent="0.3">
      <c r="A41" s="112"/>
      <c r="B41" s="113" t="s">
        <v>237</v>
      </c>
      <c r="C41" s="144"/>
      <c r="D41" s="143">
        <v>1.6118799999999999E-2</v>
      </c>
      <c r="E41" s="143"/>
      <c r="F41" s="143">
        <f>+F38</f>
        <v>1.37188E-2</v>
      </c>
      <c r="G41" s="143"/>
      <c r="H41" s="143">
        <f>+H38</f>
        <v>1.9218800000000001E-2</v>
      </c>
      <c r="I41" s="143"/>
      <c r="J41" s="143">
        <f>+J38</f>
        <v>2.22188E-2</v>
      </c>
      <c r="K41" s="143"/>
      <c r="L41" s="143">
        <f>+L38</f>
        <v>2.57188E-2</v>
      </c>
      <c r="M41" s="142"/>
      <c r="N41" s="143"/>
      <c r="O41" s="123"/>
      <c r="P41" s="123"/>
      <c r="Q41" s="115"/>
      <c r="R41" s="115"/>
      <c r="S41" s="116"/>
      <c r="T41" s="2"/>
    </row>
    <row r="42" spans="1:20" ht="15.6" x14ac:dyDescent="0.3">
      <c r="A42" s="112"/>
      <c r="B42" s="113" t="s">
        <v>238</v>
      </c>
      <c r="C42" s="113"/>
      <c r="D42" s="144">
        <v>43631</v>
      </c>
      <c r="E42" s="144"/>
      <c r="F42" s="144">
        <v>43631</v>
      </c>
      <c r="G42" s="144"/>
      <c r="H42" s="144">
        <v>43631</v>
      </c>
      <c r="I42" s="144"/>
      <c r="J42" s="144">
        <v>43631</v>
      </c>
      <c r="K42" s="144"/>
      <c r="L42" s="144">
        <v>43631</v>
      </c>
      <c r="M42" s="144"/>
      <c r="N42" s="144"/>
      <c r="O42" s="123"/>
      <c r="P42" s="123"/>
      <c r="Q42" s="115"/>
      <c r="R42" s="115"/>
      <c r="S42" s="116"/>
      <c r="T42" s="2"/>
    </row>
    <row r="43" spans="1:20" ht="15.6" x14ac:dyDescent="0.3">
      <c r="A43" s="112"/>
      <c r="B43" s="113" t="s">
        <v>11</v>
      </c>
      <c r="C43" s="113"/>
      <c r="D43" s="144">
        <v>43631</v>
      </c>
      <c r="E43" s="144"/>
      <c r="F43" s="144">
        <v>43631</v>
      </c>
      <c r="G43" s="123"/>
      <c r="H43" s="144">
        <v>43631</v>
      </c>
      <c r="I43" s="123"/>
      <c r="J43" s="144">
        <v>43631</v>
      </c>
      <c r="K43" s="123"/>
      <c r="L43" s="144" t="s">
        <v>97</v>
      </c>
      <c r="M43" s="123"/>
      <c r="N43" s="144"/>
      <c r="O43" s="123"/>
      <c r="P43" s="123"/>
      <c r="Q43" s="115"/>
      <c r="R43" s="115"/>
      <c r="S43" s="116"/>
      <c r="T43" s="2"/>
    </row>
    <row r="44" spans="1:20" ht="15.6" x14ac:dyDescent="0.3">
      <c r="A44" s="112"/>
      <c r="B44" s="113" t="s">
        <v>98</v>
      </c>
      <c r="C44" s="113"/>
      <c r="D44" s="123" t="s">
        <v>241</v>
      </c>
      <c r="E44" s="123"/>
      <c r="F44" s="123" t="s">
        <v>246</v>
      </c>
      <c r="G44" s="123"/>
      <c r="H44" s="123" t="s">
        <v>248</v>
      </c>
      <c r="I44" s="123"/>
      <c r="J44" s="123" t="s">
        <v>251</v>
      </c>
      <c r="K44" s="123"/>
      <c r="L44" s="123" t="s">
        <v>97</v>
      </c>
      <c r="M44" s="123"/>
      <c r="N44" s="123"/>
      <c r="O44" s="145"/>
      <c r="P44" s="145"/>
      <c r="Q44" s="145"/>
      <c r="R44" s="145"/>
      <c r="S44" s="116"/>
      <c r="T44" s="2"/>
    </row>
    <row r="45" spans="1:20" ht="15.6" x14ac:dyDescent="0.3">
      <c r="A45" s="112"/>
      <c r="B45" s="113" t="s">
        <v>239</v>
      </c>
      <c r="C45" s="113"/>
      <c r="D45" s="123" t="s">
        <v>273</v>
      </c>
      <c r="E45" s="123"/>
      <c r="F45" s="123" t="s">
        <v>246</v>
      </c>
      <c r="G45" s="123"/>
      <c r="H45" s="123" t="s">
        <v>248</v>
      </c>
      <c r="I45" s="123"/>
      <c r="J45" s="123" t="s">
        <v>251</v>
      </c>
      <c r="K45" s="123"/>
      <c r="L45" s="123" t="s">
        <v>97</v>
      </c>
      <c r="M45" s="123"/>
      <c r="N45" s="123"/>
      <c r="O45" s="145"/>
      <c r="P45" s="145"/>
      <c r="Q45" s="145"/>
      <c r="R45" s="145"/>
      <c r="S45" s="116"/>
      <c r="T45" s="2"/>
    </row>
    <row r="46" spans="1:20" ht="15.6" x14ac:dyDescent="0.3">
      <c r="A46" s="112"/>
      <c r="B46" s="113"/>
      <c r="C46" s="113"/>
      <c r="D46" s="123"/>
      <c r="E46" s="123"/>
      <c r="F46" s="123"/>
      <c r="G46" s="123"/>
      <c r="H46" s="123"/>
      <c r="I46" s="123"/>
      <c r="J46" s="123"/>
      <c r="K46" s="123"/>
      <c r="L46" s="123"/>
      <c r="M46" s="123"/>
      <c r="N46" s="123"/>
      <c r="O46" s="113"/>
      <c r="P46" s="113"/>
      <c r="Q46" s="113"/>
      <c r="R46" s="142" t="s">
        <v>130</v>
      </c>
      <c r="S46" s="116"/>
      <c r="T46" s="2"/>
    </row>
    <row r="47" spans="1:20" ht="15.6" x14ac:dyDescent="0.3">
      <c r="A47" s="112"/>
      <c r="B47" s="113" t="s">
        <v>253</v>
      </c>
      <c r="C47" s="113"/>
      <c r="D47" s="123"/>
      <c r="E47" s="123"/>
      <c r="F47" s="123"/>
      <c r="G47" s="123"/>
      <c r="H47" s="123"/>
      <c r="I47" s="123"/>
      <c r="J47" s="123"/>
      <c r="K47" s="123"/>
      <c r="L47" s="123"/>
      <c r="M47" s="123"/>
      <c r="N47" s="123"/>
      <c r="O47" s="113"/>
      <c r="P47" s="113"/>
      <c r="Q47" s="113"/>
      <c r="R47" s="238">
        <f>SUM(H31:L31)/(D31+F31)</f>
        <v>0.11731450342446621</v>
      </c>
      <c r="S47" s="116"/>
      <c r="T47" s="2"/>
    </row>
    <row r="48" spans="1:20" ht="15.6" x14ac:dyDescent="0.3">
      <c r="A48" s="112"/>
      <c r="B48" s="113" t="s">
        <v>254</v>
      </c>
      <c r="C48" s="113"/>
      <c r="D48" s="113"/>
      <c r="E48" s="113"/>
      <c r="F48" s="113"/>
      <c r="G48" s="113"/>
      <c r="H48" s="113"/>
      <c r="I48" s="113"/>
      <c r="J48" s="113"/>
      <c r="K48" s="113"/>
      <c r="L48" s="113"/>
      <c r="M48" s="113"/>
      <c r="N48" s="113"/>
      <c r="O48" s="113"/>
      <c r="P48" s="113"/>
      <c r="Q48" s="113"/>
      <c r="R48" s="238">
        <f>SUM(H33:L33)/(D33+F33)</f>
        <v>0.13284134524409349</v>
      </c>
      <c r="S48" s="116"/>
      <c r="T48" s="2"/>
    </row>
    <row r="49" spans="1:21" ht="15.6" x14ac:dyDescent="0.3">
      <c r="A49" s="112"/>
      <c r="B49" s="113" t="s">
        <v>255</v>
      </c>
      <c r="C49" s="113"/>
      <c r="D49" s="113"/>
      <c r="E49" s="113"/>
      <c r="F49" s="113"/>
      <c r="G49" s="113"/>
      <c r="H49" s="113"/>
      <c r="I49" s="113"/>
      <c r="J49" s="113"/>
      <c r="K49" s="113"/>
      <c r="L49" s="113"/>
      <c r="M49" s="113"/>
      <c r="N49" s="113"/>
      <c r="O49" s="113"/>
      <c r="P49" s="123"/>
      <c r="Q49" s="123"/>
      <c r="R49" s="126" t="s">
        <v>149</v>
      </c>
      <c r="S49" s="116"/>
      <c r="T49" s="2"/>
    </row>
    <row r="50" spans="1:21" ht="15.6" x14ac:dyDescent="0.3">
      <c r="A50" s="112"/>
      <c r="B50" s="113"/>
      <c r="C50" s="113"/>
      <c r="D50" s="113"/>
      <c r="E50" s="113"/>
      <c r="F50" s="113"/>
      <c r="G50" s="113"/>
      <c r="H50" s="113"/>
      <c r="I50" s="113"/>
      <c r="J50" s="113"/>
      <c r="K50" s="113"/>
      <c r="L50" s="113"/>
      <c r="M50" s="113"/>
      <c r="N50" s="113"/>
      <c r="O50" s="113"/>
      <c r="P50" s="113"/>
      <c r="Q50" s="113"/>
      <c r="R50" s="146"/>
      <c r="S50" s="116"/>
      <c r="T50" s="2"/>
    </row>
    <row r="51" spans="1:21" ht="15.6" x14ac:dyDescent="0.3">
      <c r="A51" s="112"/>
      <c r="B51" s="113" t="s">
        <v>225</v>
      </c>
      <c r="C51" s="113"/>
      <c r="D51" s="113"/>
      <c r="E51" s="113"/>
      <c r="F51" s="113"/>
      <c r="G51" s="113"/>
      <c r="H51" s="113"/>
      <c r="I51" s="113"/>
      <c r="J51" s="113"/>
      <c r="K51" s="113"/>
      <c r="L51" s="113"/>
      <c r="M51" s="113"/>
      <c r="N51" s="113"/>
      <c r="O51" s="113"/>
      <c r="P51" s="113"/>
      <c r="Q51" s="113"/>
      <c r="R51" s="147" t="s">
        <v>91</v>
      </c>
      <c r="S51" s="116"/>
      <c r="T51" s="2"/>
    </row>
    <row r="52" spans="1:21" ht="15.6" x14ac:dyDescent="0.3">
      <c r="A52" s="112"/>
      <c r="B52" s="121" t="s">
        <v>131</v>
      </c>
      <c r="C52" s="121"/>
      <c r="D52" s="121"/>
      <c r="E52" s="121"/>
      <c r="F52" s="121"/>
      <c r="G52" s="121"/>
      <c r="H52" s="121"/>
      <c r="I52" s="121"/>
      <c r="J52" s="121"/>
      <c r="K52" s="121"/>
      <c r="L52" s="121"/>
      <c r="M52" s="121"/>
      <c r="N52" s="121"/>
      <c r="O52" s="121"/>
      <c r="P52" s="148"/>
      <c r="Q52" s="148"/>
      <c r="R52" s="149">
        <v>42719</v>
      </c>
      <c r="S52" s="116"/>
      <c r="T52" s="2"/>
    </row>
    <row r="53" spans="1:21" ht="15.6" x14ac:dyDescent="0.3">
      <c r="A53" s="112"/>
      <c r="B53" s="113" t="s">
        <v>99</v>
      </c>
      <c r="C53" s="113"/>
      <c r="D53" s="150"/>
      <c r="E53" s="150"/>
      <c r="F53" s="150"/>
      <c r="G53" s="150"/>
      <c r="H53" s="150"/>
      <c r="I53" s="150"/>
      <c r="J53" s="150"/>
      <c r="K53" s="150"/>
      <c r="L53" s="150"/>
      <c r="M53" s="150"/>
      <c r="N53" s="113">
        <f>+R53-P53+1</f>
        <v>92</v>
      </c>
      <c r="O53" s="113"/>
      <c r="P53" s="151">
        <v>42536</v>
      </c>
      <c r="Q53" s="152"/>
      <c r="R53" s="151">
        <v>42627</v>
      </c>
      <c r="S53" s="116"/>
      <c r="T53" s="2"/>
    </row>
    <row r="54" spans="1:21" ht="15.6" x14ac:dyDescent="0.3">
      <c r="A54" s="112"/>
      <c r="B54" s="113" t="s">
        <v>100</v>
      </c>
      <c r="C54" s="113"/>
      <c r="D54" s="113"/>
      <c r="E54" s="113"/>
      <c r="F54" s="113"/>
      <c r="G54" s="113"/>
      <c r="H54" s="113"/>
      <c r="I54" s="113"/>
      <c r="J54" s="113"/>
      <c r="K54" s="113"/>
      <c r="L54" s="113"/>
      <c r="M54" s="113"/>
      <c r="N54" s="113">
        <f>+R54-P54+1</f>
        <v>91</v>
      </c>
      <c r="O54" s="113"/>
      <c r="P54" s="151">
        <v>42628</v>
      </c>
      <c r="Q54" s="152"/>
      <c r="R54" s="151">
        <v>42718</v>
      </c>
      <c r="S54" s="116"/>
      <c r="T54" s="2"/>
    </row>
    <row r="55" spans="1:21" ht="15.6" x14ac:dyDescent="0.3">
      <c r="A55" s="112"/>
      <c r="B55" s="113" t="s">
        <v>261</v>
      </c>
      <c r="C55" s="113"/>
      <c r="D55" s="113"/>
      <c r="E55" s="113"/>
      <c r="F55" s="113"/>
      <c r="G55" s="113"/>
      <c r="H55" s="113"/>
      <c r="I55" s="113"/>
      <c r="J55" s="113"/>
      <c r="K55" s="113"/>
      <c r="L55" s="113"/>
      <c r="M55" s="113"/>
      <c r="N55" s="113"/>
      <c r="O55" s="113"/>
      <c r="P55" s="151"/>
      <c r="Q55" s="152"/>
      <c r="R55" s="151" t="s">
        <v>263</v>
      </c>
      <c r="S55" s="116"/>
      <c r="T55" s="2"/>
    </row>
    <row r="56" spans="1:21" ht="15.6" x14ac:dyDescent="0.3">
      <c r="A56" s="112"/>
      <c r="B56" s="113" t="s">
        <v>262</v>
      </c>
      <c r="C56" s="113"/>
      <c r="D56" s="113"/>
      <c r="E56" s="113"/>
      <c r="F56" s="113"/>
      <c r="G56" s="113"/>
      <c r="H56" s="113"/>
      <c r="I56" s="113"/>
      <c r="J56" s="113"/>
      <c r="K56" s="113"/>
      <c r="L56" s="113"/>
      <c r="M56" s="113"/>
      <c r="N56" s="113"/>
      <c r="O56" s="113"/>
      <c r="P56" s="151"/>
      <c r="Q56" s="152"/>
      <c r="R56" s="151" t="s">
        <v>118</v>
      </c>
      <c r="S56" s="116"/>
      <c r="T56" s="2"/>
      <c r="U56" s="5"/>
    </row>
    <row r="57" spans="1:21" ht="15.6" x14ac:dyDescent="0.3">
      <c r="A57" s="112"/>
      <c r="B57" s="113" t="s">
        <v>12</v>
      </c>
      <c r="C57" s="113"/>
      <c r="D57" s="113"/>
      <c r="E57" s="113"/>
      <c r="F57" s="113"/>
      <c r="G57" s="113"/>
      <c r="H57" s="113"/>
      <c r="I57" s="113"/>
      <c r="J57" s="113"/>
      <c r="K57" s="113"/>
      <c r="L57" s="113"/>
      <c r="M57" s="113"/>
      <c r="N57" s="113"/>
      <c r="O57" s="113"/>
      <c r="P57" s="151"/>
      <c r="Q57" s="152"/>
      <c r="R57" s="239">
        <v>42705</v>
      </c>
      <c r="S57" s="116"/>
      <c r="T57" s="2"/>
    </row>
    <row r="58" spans="1:21" ht="15.6" x14ac:dyDescent="0.3">
      <c r="A58" s="12"/>
      <c r="B58" s="43"/>
      <c r="C58" s="43"/>
      <c r="D58" s="43"/>
      <c r="E58" s="43"/>
      <c r="F58" s="43"/>
      <c r="G58" s="43"/>
      <c r="H58" s="43"/>
      <c r="I58" s="43"/>
      <c r="J58" s="43"/>
      <c r="K58" s="43"/>
      <c r="L58" s="43"/>
      <c r="M58" s="43"/>
      <c r="N58" s="43"/>
      <c r="O58" s="43"/>
      <c r="P58" s="110"/>
      <c r="Q58" s="111"/>
      <c r="R58" s="110"/>
      <c r="S58" s="217"/>
      <c r="T58" s="2"/>
    </row>
    <row r="59" spans="1:21" ht="15.6" x14ac:dyDescent="0.3">
      <c r="A59" s="12"/>
      <c r="B59" s="14"/>
      <c r="C59" s="14"/>
      <c r="D59" s="14"/>
      <c r="E59" s="14"/>
      <c r="F59" s="14"/>
      <c r="G59" s="14"/>
      <c r="H59" s="14"/>
      <c r="I59" s="14"/>
      <c r="J59" s="14"/>
      <c r="K59" s="14"/>
      <c r="L59" s="14"/>
      <c r="M59" s="14"/>
      <c r="N59" s="14"/>
      <c r="O59" s="14"/>
      <c r="P59" s="26"/>
      <c r="Q59" s="27"/>
      <c r="R59" s="26"/>
      <c r="S59" s="217"/>
      <c r="T59" s="2"/>
    </row>
    <row r="60" spans="1:21" ht="18" thickBot="1" x14ac:dyDescent="0.35">
      <c r="A60" s="28"/>
      <c r="B60" s="97" t="s">
        <v>285</v>
      </c>
      <c r="C60" s="29"/>
      <c r="D60" s="29"/>
      <c r="E60" s="29"/>
      <c r="F60" s="29"/>
      <c r="G60" s="29"/>
      <c r="H60" s="29"/>
      <c r="I60" s="29"/>
      <c r="J60" s="29"/>
      <c r="K60" s="29"/>
      <c r="L60" s="29"/>
      <c r="M60" s="29"/>
      <c r="N60" s="29"/>
      <c r="O60" s="29"/>
      <c r="P60" s="29"/>
      <c r="Q60" s="29"/>
      <c r="R60" s="30"/>
      <c r="S60" s="31"/>
      <c r="T60" s="2"/>
    </row>
    <row r="61" spans="1:21" ht="15.6" x14ac:dyDescent="0.3">
      <c r="A61" s="53"/>
      <c r="B61" s="59" t="s">
        <v>13</v>
      </c>
      <c r="C61" s="54"/>
      <c r="D61" s="54"/>
      <c r="E61" s="54"/>
      <c r="F61" s="54"/>
      <c r="G61" s="54"/>
      <c r="H61" s="54"/>
      <c r="I61" s="54"/>
      <c r="J61" s="54"/>
      <c r="K61" s="54"/>
      <c r="L61" s="54"/>
      <c r="M61" s="54"/>
      <c r="N61" s="54"/>
      <c r="O61" s="54"/>
      <c r="P61" s="54"/>
      <c r="Q61" s="54"/>
      <c r="R61" s="60"/>
      <c r="S61" s="54"/>
      <c r="T61" s="2"/>
    </row>
    <row r="62" spans="1:21" ht="15.6" x14ac:dyDescent="0.3">
      <c r="A62" s="12"/>
      <c r="B62" s="20"/>
      <c r="C62" s="14"/>
      <c r="D62" s="14"/>
      <c r="E62" s="14"/>
      <c r="F62" s="14"/>
      <c r="G62" s="14"/>
      <c r="H62" s="14"/>
      <c r="I62" s="14"/>
      <c r="J62" s="14"/>
      <c r="K62" s="14"/>
      <c r="L62" s="14"/>
      <c r="M62" s="14"/>
      <c r="N62" s="14"/>
      <c r="O62" s="14"/>
      <c r="P62" s="14"/>
      <c r="Q62" s="14"/>
      <c r="R62" s="33"/>
      <c r="S62" s="217"/>
      <c r="T62" s="2"/>
    </row>
    <row r="63" spans="1:21" ht="46.8" x14ac:dyDescent="0.3">
      <c r="A63" s="12"/>
      <c r="B63" s="34" t="s">
        <v>14</v>
      </c>
      <c r="C63" s="35"/>
      <c r="D63" s="35"/>
      <c r="E63" s="35"/>
      <c r="F63" s="35" t="s">
        <v>76</v>
      </c>
      <c r="G63" s="35"/>
      <c r="H63" s="35" t="s">
        <v>78</v>
      </c>
      <c r="I63" s="35"/>
      <c r="J63" s="35" t="s">
        <v>162</v>
      </c>
      <c r="K63" s="35"/>
      <c r="L63" s="35" t="s">
        <v>163</v>
      </c>
      <c r="M63" s="35"/>
      <c r="N63" s="35" t="s">
        <v>81</v>
      </c>
      <c r="O63" s="35"/>
      <c r="P63" s="35" t="s">
        <v>86</v>
      </c>
      <c r="Q63" s="35"/>
      <c r="R63" s="36" t="s">
        <v>92</v>
      </c>
      <c r="S63" s="221"/>
      <c r="T63" s="2"/>
    </row>
    <row r="64" spans="1:21" ht="15.6" x14ac:dyDescent="0.3">
      <c r="A64" s="112"/>
      <c r="B64" s="113" t="s">
        <v>15</v>
      </c>
      <c r="C64" s="155"/>
      <c r="D64" s="155"/>
      <c r="E64" s="155"/>
      <c r="F64" s="155">
        <v>244234</v>
      </c>
      <c r="G64" s="155"/>
      <c r="H64" s="156">
        <v>277282</v>
      </c>
      <c r="I64" s="155"/>
      <c r="J64" s="156">
        <v>207</v>
      </c>
      <c r="K64" s="155"/>
      <c r="L64" s="155">
        <f>9823-207+10</f>
        <v>9626</v>
      </c>
      <c r="M64" s="155"/>
      <c r="N64" s="155">
        <v>10</v>
      </c>
      <c r="O64" s="155"/>
      <c r="P64" s="155">
        <v>0</v>
      </c>
      <c r="Q64" s="155"/>
      <c r="R64" s="156">
        <f>H64-J64-L64+N64-P64</f>
        <v>267459</v>
      </c>
      <c r="S64" s="116"/>
      <c r="T64" s="2"/>
    </row>
    <row r="65" spans="1:20" ht="15.6" x14ac:dyDescent="0.3">
      <c r="A65" s="112"/>
      <c r="B65" s="113" t="s">
        <v>16</v>
      </c>
      <c r="C65" s="155"/>
      <c r="D65" s="155"/>
      <c r="E65" s="155"/>
      <c r="F65" s="155">
        <v>0</v>
      </c>
      <c r="G65" s="155"/>
      <c r="H65" s="156">
        <v>0</v>
      </c>
      <c r="I65" s="155"/>
      <c r="J65" s="156">
        <v>0</v>
      </c>
      <c r="K65" s="155"/>
      <c r="L65" s="155">
        <v>0</v>
      </c>
      <c r="M65" s="155"/>
      <c r="N65" s="155">
        <v>0</v>
      </c>
      <c r="O65" s="155"/>
      <c r="P65" s="155">
        <v>0</v>
      </c>
      <c r="Q65" s="155"/>
      <c r="R65" s="156">
        <f>F65-J65-L65</f>
        <v>0</v>
      </c>
      <c r="S65" s="116"/>
      <c r="T65" s="2"/>
    </row>
    <row r="66" spans="1:20" ht="15.6" x14ac:dyDescent="0.3">
      <c r="A66" s="112"/>
      <c r="B66" s="113"/>
      <c r="C66" s="155"/>
      <c r="D66" s="155"/>
      <c r="E66" s="155"/>
      <c r="F66" s="155"/>
      <c r="G66" s="155"/>
      <c r="H66" s="156"/>
      <c r="I66" s="155"/>
      <c r="J66" s="156"/>
      <c r="K66" s="155"/>
      <c r="L66" s="155"/>
      <c r="M66" s="155"/>
      <c r="N66" s="155"/>
      <c r="O66" s="155"/>
      <c r="P66" s="155"/>
      <c r="Q66" s="155"/>
      <c r="R66" s="156"/>
      <c r="S66" s="116"/>
      <c r="T66" s="2"/>
    </row>
    <row r="67" spans="1:20" ht="15.6" x14ac:dyDescent="0.3">
      <c r="A67" s="112"/>
      <c r="B67" s="113" t="s">
        <v>17</v>
      </c>
      <c r="C67" s="155"/>
      <c r="D67" s="155"/>
      <c r="E67" s="155"/>
      <c r="F67" s="155">
        <f>SUM(F64:F66)</f>
        <v>244234</v>
      </c>
      <c r="G67" s="155"/>
      <c r="H67" s="155">
        <f>H64+H65</f>
        <v>277282</v>
      </c>
      <c r="I67" s="155"/>
      <c r="J67" s="155">
        <f>J64+J65</f>
        <v>207</v>
      </c>
      <c r="K67" s="155"/>
      <c r="L67" s="155">
        <f>SUM(L64:L66)</f>
        <v>9626</v>
      </c>
      <c r="M67" s="155"/>
      <c r="N67" s="155">
        <f>SUM(N64:N66)</f>
        <v>10</v>
      </c>
      <c r="O67" s="155"/>
      <c r="P67" s="155">
        <f>SUM(P64:P66)</f>
        <v>0</v>
      </c>
      <c r="Q67" s="155"/>
      <c r="R67" s="155">
        <f>SUM(R64:R66)</f>
        <v>267459</v>
      </c>
      <c r="S67" s="116"/>
      <c r="T67" s="2"/>
    </row>
    <row r="68" spans="1:20" ht="15.6" x14ac:dyDescent="0.3">
      <c r="A68" s="12"/>
      <c r="B68" s="43"/>
      <c r="C68" s="153"/>
      <c r="D68" s="153"/>
      <c r="E68" s="153"/>
      <c r="F68" s="153"/>
      <c r="G68" s="153"/>
      <c r="H68" s="153"/>
      <c r="I68" s="153"/>
      <c r="J68" s="153"/>
      <c r="K68" s="153"/>
      <c r="L68" s="153"/>
      <c r="M68" s="153"/>
      <c r="N68" s="153"/>
      <c r="O68" s="153"/>
      <c r="P68" s="153"/>
      <c r="Q68" s="153"/>
      <c r="R68" s="154"/>
      <c r="S68" s="217"/>
      <c r="T68" s="2"/>
    </row>
    <row r="69" spans="1:20" ht="15.6" x14ac:dyDescent="0.3">
      <c r="A69" s="12"/>
      <c r="B69" s="16" t="s">
        <v>18</v>
      </c>
      <c r="C69" s="38"/>
      <c r="D69" s="38"/>
      <c r="E69" s="38"/>
      <c r="F69" s="38"/>
      <c r="G69" s="38"/>
      <c r="H69" s="38"/>
      <c r="I69" s="38"/>
      <c r="J69" s="38"/>
      <c r="K69" s="38"/>
      <c r="L69" s="38"/>
      <c r="M69" s="38"/>
      <c r="N69" s="38"/>
      <c r="O69" s="38"/>
      <c r="P69" s="38"/>
      <c r="Q69" s="38"/>
      <c r="R69" s="39"/>
      <c r="S69" s="217"/>
      <c r="T69" s="2"/>
    </row>
    <row r="70" spans="1:20" ht="15.6" x14ac:dyDescent="0.3">
      <c r="A70" s="12"/>
      <c r="B70" s="14"/>
      <c r="C70" s="38"/>
      <c r="D70" s="38"/>
      <c r="E70" s="38"/>
      <c r="F70" s="38"/>
      <c r="G70" s="38"/>
      <c r="H70" s="38"/>
      <c r="I70" s="38"/>
      <c r="J70" s="38"/>
      <c r="K70" s="38"/>
      <c r="L70" s="38"/>
      <c r="M70" s="38"/>
      <c r="N70" s="38"/>
      <c r="O70" s="38"/>
      <c r="P70" s="38"/>
      <c r="Q70" s="38"/>
      <c r="R70" s="39"/>
      <c r="S70" s="217"/>
      <c r="T70" s="2"/>
    </row>
    <row r="71" spans="1:20" ht="15.6" x14ac:dyDescent="0.3">
      <c r="A71" s="112"/>
      <c r="B71" s="113" t="s">
        <v>15</v>
      </c>
      <c r="C71" s="155"/>
      <c r="D71" s="155"/>
      <c r="E71" s="155"/>
      <c r="F71" s="155"/>
      <c r="G71" s="155"/>
      <c r="H71" s="155"/>
      <c r="I71" s="155"/>
      <c r="J71" s="155"/>
      <c r="K71" s="155"/>
      <c r="L71" s="155"/>
      <c r="M71" s="155"/>
      <c r="N71" s="155"/>
      <c r="O71" s="155"/>
      <c r="P71" s="155"/>
      <c r="Q71" s="155"/>
      <c r="R71" s="155"/>
      <c r="S71" s="116"/>
      <c r="T71" s="2"/>
    </row>
    <row r="72" spans="1:20" ht="15.6" x14ac:dyDescent="0.3">
      <c r="A72" s="112"/>
      <c r="B72" s="113" t="s">
        <v>16</v>
      </c>
      <c r="C72" s="155"/>
      <c r="D72" s="155"/>
      <c r="E72" s="155"/>
      <c r="F72" s="155"/>
      <c r="G72" s="155"/>
      <c r="H72" s="155"/>
      <c r="I72" s="155"/>
      <c r="J72" s="155"/>
      <c r="K72" s="155"/>
      <c r="L72" s="155"/>
      <c r="M72" s="155"/>
      <c r="N72" s="155"/>
      <c r="O72" s="155"/>
      <c r="P72" s="155"/>
      <c r="Q72" s="155"/>
      <c r="R72" s="155"/>
      <c r="S72" s="116"/>
      <c r="T72" s="2"/>
    </row>
    <row r="73" spans="1:20" ht="15.6" x14ac:dyDescent="0.3">
      <c r="A73" s="112"/>
      <c r="B73" s="113"/>
      <c r="C73" s="155"/>
      <c r="D73" s="155"/>
      <c r="E73" s="155"/>
      <c r="F73" s="155"/>
      <c r="G73" s="155"/>
      <c r="H73" s="155"/>
      <c r="I73" s="155"/>
      <c r="J73" s="155"/>
      <c r="K73" s="155"/>
      <c r="L73" s="155"/>
      <c r="M73" s="155"/>
      <c r="N73" s="155"/>
      <c r="O73" s="155"/>
      <c r="P73" s="155"/>
      <c r="Q73" s="155"/>
      <c r="R73" s="155"/>
      <c r="S73" s="116"/>
      <c r="T73" s="2"/>
    </row>
    <row r="74" spans="1:20" ht="15.6" x14ac:dyDescent="0.3">
      <c r="A74" s="112"/>
      <c r="B74" s="113" t="s">
        <v>17</v>
      </c>
      <c r="C74" s="155"/>
      <c r="D74" s="155"/>
      <c r="E74" s="155"/>
      <c r="F74" s="155"/>
      <c r="G74" s="155"/>
      <c r="H74" s="155"/>
      <c r="I74" s="155"/>
      <c r="J74" s="155"/>
      <c r="K74" s="155"/>
      <c r="L74" s="155"/>
      <c r="M74" s="155"/>
      <c r="N74" s="155"/>
      <c r="O74" s="155"/>
      <c r="P74" s="155"/>
      <c r="Q74" s="155"/>
      <c r="R74" s="155"/>
      <c r="S74" s="116"/>
      <c r="T74" s="2"/>
    </row>
    <row r="75" spans="1:20" ht="15.6" x14ac:dyDescent="0.3">
      <c r="A75" s="112"/>
      <c r="B75" s="113"/>
      <c r="C75" s="155"/>
      <c r="D75" s="155"/>
      <c r="E75" s="155"/>
      <c r="F75" s="155"/>
      <c r="G75" s="155"/>
      <c r="H75" s="155"/>
      <c r="I75" s="155"/>
      <c r="J75" s="155"/>
      <c r="K75" s="155"/>
      <c r="L75" s="155"/>
      <c r="M75" s="155"/>
      <c r="N75" s="155"/>
      <c r="O75" s="155"/>
      <c r="P75" s="155"/>
      <c r="Q75" s="155"/>
      <c r="R75" s="155"/>
      <c r="S75" s="116"/>
      <c r="T75" s="2"/>
    </row>
    <row r="76" spans="1:20" ht="15.6" x14ac:dyDescent="0.3">
      <c r="A76" s="112"/>
      <c r="B76" s="113" t="s">
        <v>19</v>
      </c>
      <c r="C76" s="155"/>
      <c r="D76" s="155"/>
      <c r="E76" s="155"/>
      <c r="F76" s="155">
        <v>0</v>
      </c>
      <c r="G76" s="155"/>
      <c r="H76" s="155">
        <v>0</v>
      </c>
      <c r="I76" s="155"/>
      <c r="J76" s="155"/>
      <c r="K76" s="155"/>
      <c r="L76" s="155"/>
      <c r="M76" s="155"/>
      <c r="N76" s="155"/>
      <c r="O76" s="155"/>
      <c r="P76" s="155"/>
      <c r="Q76" s="155"/>
      <c r="R76" s="156">
        <v>0</v>
      </c>
      <c r="S76" s="116"/>
      <c r="T76" s="2"/>
    </row>
    <row r="77" spans="1:20" ht="15.6" x14ac:dyDescent="0.3">
      <c r="A77" s="112"/>
      <c r="B77" s="113" t="s">
        <v>196</v>
      </c>
      <c r="C77" s="155"/>
      <c r="D77" s="155"/>
      <c r="E77" s="155"/>
      <c r="F77" s="155">
        <v>53165</v>
      </c>
      <c r="G77" s="155"/>
      <c r="H77" s="155">
        <v>0</v>
      </c>
      <c r="I77" s="155"/>
      <c r="J77" s="155">
        <v>0</v>
      </c>
      <c r="K77" s="155"/>
      <c r="L77" s="155">
        <v>0</v>
      </c>
      <c r="M77" s="155"/>
      <c r="N77" s="155"/>
      <c r="O77" s="155"/>
      <c r="P77" s="155"/>
      <c r="Q77" s="155"/>
      <c r="R77" s="155">
        <v>0</v>
      </c>
      <c r="S77" s="116"/>
      <c r="T77" s="2"/>
    </row>
    <row r="78" spans="1:20" ht="15.6" x14ac:dyDescent="0.3">
      <c r="A78" s="112"/>
      <c r="B78" s="113" t="s">
        <v>206</v>
      </c>
      <c r="C78" s="155"/>
      <c r="D78" s="155"/>
      <c r="E78" s="155"/>
      <c r="F78" s="155">
        <v>2610</v>
      </c>
      <c r="G78" s="155"/>
      <c r="H78" s="155">
        <v>1166</v>
      </c>
      <c r="I78" s="155"/>
      <c r="J78" s="155"/>
      <c r="K78" s="155"/>
      <c r="L78" s="155"/>
      <c r="M78" s="155"/>
      <c r="N78" s="155">
        <v>0</v>
      </c>
      <c r="O78" s="155"/>
      <c r="P78" s="155"/>
      <c r="Q78" s="155"/>
      <c r="R78" s="155">
        <f>H78+N78</f>
        <v>1166</v>
      </c>
      <c r="S78" s="116"/>
      <c r="T78" s="2"/>
    </row>
    <row r="79" spans="1:20" ht="15.6" x14ac:dyDescent="0.3">
      <c r="A79" s="112"/>
      <c r="B79" s="113" t="s">
        <v>20</v>
      </c>
      <c r="C79" s="155"/>
      <c r="D79" s="155"/>
      <c r="E79" s="155"/>
      <c r="F79" s="155">
        <v>0</v>
      </c>
      <c r="G79" s="155"/>
      <c r="H79" s="155">
        <v>0</v>
      </c>
      <c r="I79" s="155"/>
      <c r="J79" s="155"/>
      <c r="K79" s="155"/>
      <c r="L79" s="155"/>
      <c r="M79" s="155"/>
      <c r="N79" s="155"/>
      <c r="O79" s="155"/>
      <c r="P79" s="155"/>
      <c r="Q79" s="155"/>
      <c r="R79" s="155">
        <v>0</v>
      </c>
      <c r="S79" s="116"/>
      <c r="T79" s="2"/>
    </row>
    <row r="80" spans="1:20" ht="15.6" x14ac:dyDescent="0.3">
      <c r="A80" s="112"/>
      <c r="B80" s="113" t="s">
        <v>21</v>
      </c>
      <c r="C80" s="155"/>
      <c r="D80" s="155"/>
      <c r="E80" s="155"/>
      <c r="F80" s="155">
        <f>SUM(F67:F79)</f>
        <v>300009</v>
      </c>
      <c r="G80" s="155"/>
      <c r="H80" s="155">
        <f>SUM(H67:H79)</f>
        <v>278448</v>
      </c>
      <c r="I80" s="155"/>
      <c r="J80" s="155"/>
      <c r="K80" s="155"/>
      <c r="L80" s="155"/>
      <c r="M80" s="155"/>
      <c r="N80" s="155"/>
      <c r="O80" s="155"/>
      <c r="P80" s="155"/>
      <c r="Q80" s="155"/>
      <c r="R80" s="155">
        <f>SUM(R67:R79)</f>
        <v>268625</v>
      </c>
      <c r="S80" s="116"/>
      <c r="T80" s="2"/>
    </row>
    <row r="81" spans="1:20" ht="15.6" x14ac:dyDescent="0.3">
      <c r="A81" s="12"/>
      <c r="B81" s="43"/>
      <c r="C81" s="153"/>
      <c r="D81" s="153"/>
      <c r="E81" s="153"/>
      <c r="F81" s="153"/>
      <c r="G81" s="153"/>
      <c r="H81" s="153"/>
      <c r="I81" s="153"/>
      <c r="J81" s="153"/>
      <c r="K81" s="153"/>
      <c r="L81" s="153"/>
      <c r="M81" s="153"/>
      <c r="N81" s="153"/>
      <c r="O81" s="153"/>
      <c r="P81" s="153"/>
      <c r="Q81" s="153"/>
      <c r="R81" s="154"/>
      <c r="S81" s="217"/>
      <c r="T81" s="2"/>
    </row>
    <row r="82" spans="1:20" ht="15.6" x14ac:dyDescent="0.3">
      <c r="A82" s="12"/>
      <c r="B82" s="14"/>
      <c r="C82" s="14"/>
      <c r="D82" s="14"/>
      <c r="E82" s="14"/>
      <c r="F82" s="14"/>
      <c r="G82" s="14"/>
      <c r="H82" s="14"/>
      <c r="I82" s="14"/>
      <c r="J82" s="14"/>
      <c r="K82" s="14"/>
      <c r="L82" s="14"/>
      <c r="M82" s="14"/>
      <c r="N82" s="14"/>
      <c r="O82" s="14"/>
      <c r="P82" s="14"/>
      <c r="Q82" s="14"/>
      <c r="R82" s="14"/>
      <c r="S82" s="217"/>
      <c r="T82" s="2"/>
    </row>
    <row r="83" spans="1:20" ht="15.6" x14ac:dyDescent="0.3">
      <c r="A83" s="53"/>
      <c r="B83" s="61" t="s">
        <v>22</v>
      </c>
      <c r="C83" s="61"/>
      <c r="D83" s="62"/>
      <c r="E83" s="62"/>
      <c r="F83" s="62"/>
      <c r="G83" s="62"/>
      <c r="H83" s="63" t="s">
        <v>77</v>
      </c>
      <c r="I83" s="62"/>
      <c r="J83" s="64">
        <f>+P206</f>
        <v>42704</v>
      </c>
      <c r="K83" s="62"/>
      <c r="L83" s="62"/>
      <c r="M83" s="62"/>
      <c r="N83" s="62"/>
      <c r="O83" s="62"/>
      <c r="P83" s="62" t="s">
        <v>87</v>
      </c>
      <c r="Q83" s="62"/>
      <c r="R83" s="62" t="s">
        <v>93</v>
      </c>
      <c r="S83" s="219"/>
      <c r="T83" s="2"/>
    </row>
    <row r="84" spans="1:20" ht="15.6" x14ac:dyDescent="0.3">
      <c r="A84" s="77"/>
      <c r="B84" s="79" t="s">
        <v>23</v>
      </c>
      <c r="C84" s="25"/>
      <c r="D84" s="25"/>
      <c r="E84" s="25"/>
      <c r="F84" s="25"/>
      <c r="G84" s="25"/>
      <c r="H84" s="25"/>
      <c r="I84" s="25"/>
      <c r="J84" s="25"/>
      <c r="K84" s="25"/>
      <c r="L84" s="25"/>
      <c r="M84" s="25"/>
      <c r="N84" s="25"/>
      <c r="O84" s="25"/>
      <c r="P84" s="78">
        <v>0</v>
      </c>
      <c r="Q84" s="79"/>
      <c r="R84" s="82">
        <v>0</v>
      </c>
      <c r="S84" s="222"/>
      <c r="T84" s="2"/>
    </row>
    <row r="85" spans="1:20" ht="15.6" x14ac:dyDescent="0.3">
      <c r="A85" s="122"/>
      <c r="B85" s="113" t="s">
        <v>218</v>
      </c>
      <c r="C85" s="135"/>
      <c r="D85" s="157"/>
      <c r="E85" s="157"/>
      <c r="F85" s="157"/>
      <c r="G85" s="158"/>
      <c r="H85" s="157"/>
      <c r="I85" s="135"/>
      <c r="J85" s="159"/>
      <c r="K85" s="135"/>
      <c r="L85" s="135"/>
      <c r="M85" s="135"/>
      <c r="N85" s="135"/>
      <c r="O85" s="135"/>
      <c r="P85" s="155">
        <f>-N78</f>
        <v>0</v>
      </c>
      <c r="Q85" s="113"/>
      <c r="R85" s="156"/>
      <c r="S85" s="139"/>
      <c r="T85" s="2"/>
    </row>
    <row r="86" spans="1:20" ht="15.6" x14ac:dyDescent="0.3">
      <c r="A86" s="122"/>
      <c r="B86" s="113" t="s">
        <v>219</v>
      </c>
      <c r="C86" s="135"/>
      <c r="D86" s="157"/>
      <c r="E86" s="157"/>
      <c r="F86" s="157"/>
      <c r="G86" s="158"/>
      <c r="H86" s="157"/>
      <c r="I86" s="135"/>
      <c r="J86" s="159"/>
      <c r="K86" s="135"/>
      <c r="L86" s="135"/>
      <c r="M86" s="135"/>
      <c r="N86" s="135"/>
      <c r="O86" s="135"/>
      <c r="P86" s="155">
        <f>-P85</f>
        <v>0</v>
      </c>
      <c r="Q86" s="113"/>
      <c r="R86" s="156"/>
      <c r="S86" s="139"/>
      <c r="T86" s="2"/>
    </row>
    <row r="87" spans="1:20" ht="15.6" x14ac:dyDescent="0.3">
      <c r="A87" s="122"/>
      <c r="B87" s="113" t="s">
        <v>24</v>
      </c>
      <c r="C87" s="135"/>
      <c r="D87" s="157"/>
      <c r="E87" s="157"/>
      <c r="F87" s="157"/>
      <c r="G87" s="158"/>
      <c r="H87" s="157"/>
      <c r="I87" s="135"/>
      <c r="J87" s="159"/>
      <c r="K87" s="135"/>
      <c r="L87" s="135"/>
      <c r="M87" s="135"/>
      <c r="N87" s="135"/>
      <c r="O87" s="135"/>
      <c r="P87" s="155">
        <f>+J64+L64</f>
        <v>9833</v>
      </c>
      <c r="Q87" s="113"/>
      <c r="R87" s="156"/>
      <c r="S87" s="139"/>
      <c r="T87" s="2"/>
    </row>
    <row r="88" spans="1:20" ht="15.6" x14ac:dyDescent="0.3">
      <c r="A88" s="122"/>
      <c r="B88" s="113" t="s">
        <v>135</v>
      </c>
      <c r="C88" s="135"/>
      <c r="D88" s="157"/>
      <c r="E88" s="157"/>
      <c r="F88" s="157"/>
      <c r="G88" s="158"/>
      <c r="H88" s="157"/>
      <c r="I88" s="135"/>
      <c r="J88" s="159"/>
      <c r="K88" s="135"/>
      <c r="L88" s="135"/>
      <c r="M88" s="135"/>
      <c r="N88" s="135"/>
      <c r="O88" s="135"/>
      <c r="P88" s="155"/>
      <c r="Q88" s="113"/>
      <c r="R88" s="156">
        <f>3205-403</f>
        <v>2802</v>
      </c>
      <c r="S88" s="139"/>
      <c r="T88" s="2"/>
    </row>
    <row r="89" spans="1:20" ht="15.6" x14ac:dyDescent="0.3">
      <c r="A89" s="122"/>
      <c r="B89" s="113" t="s">
        <v>133</v>
      </c>
      <c r="C89" s="135"/>
      <c r="D89" s="157"/>
      <c r="E89" s="157"/>
      <c r="F89" s="157"/>
      <c r="G89" s="158"/>
      <c r="H89" s="157"/>
      <c r="I89" s="135"/>
      <c r="J89" s="159"/>
      <c r="K89" s="135"/>
      <c r="L89" s="135"/>
      <c r="M89" s="135"/>
      <c r="N89" s="135"/>
      <c r="O89" s="135"/>
      <c r="P89" s="155"/>
      <c r="Q89" s="113"/>
      <c r="R89" s="156">
        <v>79</v>
      </c>
      <c r="S89" s="139"/>
      <c r="T89" s="2"/>
    </row>
    <row r="90" spans="1:20" ht="15.6" x14ac:dyDescent="0.3">
      <c r="A90" s="122"/>
      <c r="B90" s="113" t="s">
        <v>134</v>
      </c>
      <c r="C90" s="135"/>
      <c r="D90" s="157"/>
      <c r="E90" s="157"/>
      <c r="F90" s="157"/>
      <c r="G90" s="158"/>
      <c r="H90" s="157"/>
      <c r="I90" s="135"/>
      <c r="J90" s="159"/>
      <c r="K90" s="135"/>
      <c r="L90" s="135"/>
      <c r="M90" s="135"/>
      <c r="N90" s="135"/>
      <c r="O90" s="135"/>
      <c r="P90" s="155"/>
      <c r="Q90" s="113"/>
      <c r="R90" s="156">
        <v>15</v>
      </c>
      <c r="S90" s="139"/>
      <c r="T90" s="2"/>
    </row>
    <row r="91" spans="1:20" ht="15.6" x14ac:dyDescent="0.3">
      <c r="A91" s="122"/>
      <c r="B91" s="113" t="s">
        <v>143</v>
      </c>
      <c r="C91" s="135"/>
      <c r="D91" s="157"/>
      <c r="E91" s="157"/>
      <c r="F91" s="157"/>
      <c r="G91" s="158"/>
      <c r="H91" s="157"/>
      <c r="I91" s="135"/>
      <c r="J91" s="159"/>
      <c r="K91" s="135"/>
      <c r="L91" s="135"/>
      <c r="M91" s="135"/>
      <c r="N91" s="135"/>
      <c r="O91" s="135"/>
      <c r="P91" s="155"/>
      <c r="Q91" s="113"/>
      <c r="R91" s="156">
        <v>0</v>
      </c>
      <c r="S91" s="139"/>
      <c r="T91" s="2"/>
    </row>
    <row r="92" spans="1:20" ht="15.6" x14ac:dyDescent="0.3">
      <c r="A92" s="122"/>
      <c r="B92" s="113" t="s">
        <v>145</v>
      </c>
      <c r="C92" s="135"/>
      <c r="D92" s="157"/>
      <c r="E92" s="157"/>
      <c r="F92" s="157"/>
      <c r="G92" s="158"/>
      <c r="H92" s="157"/>
      <c r="I92" s="135"/>
      <c r="J92" s="159"/>
      <c r="K92" s="135"/>
      <c r="L92" s="135"/>
      <c r="M92" s="135"/>
      <c r="N92" s="135"/>
      <c r="O92" s="135"/>
      <c r="P92" s="155"/>
      <c r="Q92" s="113"/>
      <c r="R92" s="156">
        <v>25</v>
      </c>
      <c r="S92" s="139"/>
      <c r="T92" s="2"/>
    </row>
    <row r="93" spans="1:20" ht="15.6" x14ac:dyDescent="0.3">
      <c r="A93" s="122"/>
      <c r="B93" s="113" t="s">
        <v>164</v>
      </c>
      <c r="C93" s="135"/>
      <c r="D93" s="157"/>
      <c r="E93" s="157"/>
      <c r="F93" s="157"/>
      <c r="G93" s="158"/>
      <c r="H93" s="157"/>
      <c r="I93" s="135"/>
      <c r="J93" s="159"/>
      <c r="K93" s="135"/>
      <c r="L93" s="135"/>
      <c r="M93" s="135"/>
      <c r="N93" s="135"/>
      <c r="O93" s="135"/>
      <c r="P93" s="155"/>
      <c r="Q93" s="113"/>
      <c r="R93" s="156">
        <v>0</v>
      </c>
      <c r="S93" s="139"/>
      <c r="T93" s="2"/>
    </row>
    <row r="94" spans="1:20" ht="15.6" x14ac:dyDescent="0.3">
      <c r="A94" s="122"/>
      <c r="B94" s="113" t="s">
        <v>165</v>
      </c>
      <c r="C94" s="135"/>
      <c r="D94" s="157"/>
      <c r="E94" s="157"/>
      <c r="F94" s="157"/>
      <c r="G94" s="158"/>
      <c r="H94" s="157"/>
      <c r="I94" s="135"/>
      <c r="J94" s="159"/>
      <c r="K94" s="135"/>
      <c r="L94" s="135"/>
      <c r="M94" s="135"/>
      <c r="N94" s="135"/>
      <c r="O94" s="135"/>
      <c r="P94" s="155"/>
      <c r="Q94" s="113"/>
      <c r="R94" s="156">
        <v>0</v>
      </c>
      <c r="S94" s="139"/>
      <c r="T94" s="2"/>
    </row>
    <row r="95" spans="1:20" ht="15.6" x14ac:dyDescent="0.3">
      <c r="A95" s="122"/>
      <c r="B95" s="113" t="s">
        <v>166</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c r="B96" s="113" t="s">
        <v>264</v>
      </c>
      <c r="C96" s="135"/>
      <c r="D96" s="135"/>
      <c r="E96" s="135"/>
      <c r="F96" s="135"/>
      <c r="G96" s="135"/>
      <c r="H96" s="135"/>
      <c r="I96" s="135"/>
      <c r="J96" s="135"/>
      <c r="K96" s="135"/>
      <c r="L96" s="135"/>
      <c r="M96" s="135"/>
      <c r="N96" s="135"/>
      <c r="O96" s="135"/>
      <c r="P96" s="155"/>
      <c r="Q96" s="113"/>
      <c r="R96" s="156">
        <v>453</v>
      </c>
      <c r="S96" s="139"/>
      <c r="T96" s="2"/>
    </row>
    <row r="97" spans="1:21" ht="15.6" x14ac:dyDescent="0.3">
      <c r="A97" s="122"/>
      <c r="B97" s="113" t="s">
        <v>25</v>
      </c>
      <c r="C97" s="135"/>
      <c r="D97" s="135"/>
      <c r="E97" s="135"/>
      <c r="F97" s="135"/>
      <c r="G97" s="135"/>
      <c r="H97" s="135"/>
      <c r="I97" s="135"/>
      <c r="J97" s="135"/>
      <c r="K97" s="135"/>
      <c r="L97" s="135"/>
      <c r="M97" s="135"/>
      <c r="N97" s="135"/>
      <c r="O97" s="135"/>
      <c r="P97" s="155">
        <f>SUM(P84:P96)</f>
        <v>9833</v>
      </c>
      <c r="Q97" s="113"/>
      <c r="R97" s="155">
        <f>SUM(R84:R96)</f>
        <v>3374</v>
      </c>
      <c r="S97" s="139"/>
      <c r="T97" s="2"/>
    </row>
    <row r="98" spans="1:21" ht="15.6" x14ac:dyDescent="0.3">
      <c r="A98" s="122"/>
      <c r="B98" s="113" t="s">
        <v>26</v>
      </c>
      <c r="C98" s="135"/>
      <c r="D98" s="135"/>
      <c r="E98" s="135"/>
      <c r="F98" s="135"/>
      <c r="G98" s="135"/>
      <c r="H98" s="135"/>
      <c r="I98" s="135"/>
      <c r="J98" s="135"/>
      <c r="K98" s="135"/>
      <c r="L98" s="135"/>
      <c r="M98" s="135"/>
      <c r="N98" s="135"/>
      <c r="O98" s="135"/>
      <c r="P98" s="155">
        <f>-R98</f>
        <v>0</v>
      </c>
      <c r="Q98" s="113"/>
      <c r="R98" s="156">
        <v>0</v>
      </c>
      <c r="S98" s="139"/>
      <c r="T98" s="2"/>
    </row>
    <row r="99" spans="1:21" ht="15.6" x14ac:dyDescent="0.3">
      <c r="A99" s="122"/>
      <c r="B99" s="113" t="s">
        <v>150</v>
      </c>
      <c r="C99" s="135"/>
      <c r="D99" s="135"/>
      <c r="E99" s="135"/>
      <c r="F99" s="135"/>
      <c r="G99" s="135"/>
      <c r="H99" s="135"/>
      <c r="I99" s="135"/>
      <c r="J99" s="135"/>
      <c r="K99" s="135"/>
      <c r="L99" s="135"/>
      <c r="M99" s="135"/>
      <c r="N99" s="135"/>
      <c r="O99" s="135"/>
      <c r="P99" s="155"/>
      <c r="Q99" s="113"/>
      <c r="R99" s="156">
        <v>0</v>
      </c>
      <c r="S99" s="139"/>
      <c r="T99" s="2"/>
    </row>
    <row r="100" spans="1:21" ht="15.6" x14ac:dyDescent="0.3">
      <c r="A100" s="122"/>
      <c r="B100" s="113" t="s">
        <v>27</v>
      </c>
      <c r="C100" s="135"/>
      <c r="D100" s="135"/>
      <c r="E100" s="135"/>
      <c r="F100" s="135"/>
      <c r="G100" s="135"/>
      <c r="H100" s="135"/>
      <c r="I100" s="135"/>
      <c r="J100" s="135"/>
      <c r="K100" s="135"/>
      <c r="L100" s="135"/>
      <c r="M100" s="135"/>
      <c r="N100" s="135"/>
      <c r="O100" s="135"/>
      <c r="P100" s="155">
        <f>P97+P98</f>
        <v>9833</v>
      </c>
      <c r="Q100" s="113"/>
      <c r="R100" s="155">
        <f>R97+R98+R99</f>
        <v>3374</v>
      </c>
      <c r="S100" s="139"/>
      <c r="T100" s="2"/>
    </row>
    <row r="101" spans="1:21" ht="15.6" x14ac:dyDescent="0.3">
      <c r="A101" s="112"/>
      <c r="B101" s="160" t="s">
        <v>28</v>
      </c>
      <c r="C101" s="135"/>
      <c r="D101" s="135"/>
      <c r="E101" s="135"/>
      <c r="F101" s="135"/>
      <c r="G101" s="135"/>
      <c r="H101" s="135"/>
      <c r="I101" s="135"/>
      <c r="J101" s="135"/>
      <c r="K101" s="135"/>
      <c r="L101" s="135"/>
      <c r="M101" s="135"/>
      <c r="N101" s="135"/>
      <c r="O101" s="135"/>
      <c r="P101" s="155"/>
      <c r="Q101" s="113"/>
      <c r="R101" s="156"/>
      <c r="S101" s="139"/>
      <c r="T101" s="2"/>
    </row>
    <row r="102" spans="1:21" ht="15.6" x14ac:dyDescent="0.3">
      <c r="A102" s="122">
        <v>1</v>
      </c>
      <c r="B102" s="113" t="s">
        <v>175</v>
      </c>
      <c r="C102" s="135"/>
      <c r="D102" s="135"/>
      <c r="E102" s="135"/>
      <c r="F102" s="135"/>
      <c r="G102" s="135"/>
      <c r="H102" s="135"/>
      <c r="I102" s="135"/>
      <c r="J102" s="135"/>
      <c r="K102" s="135"/>
      <c r="L102" s="135"/>
      <c r="M102" s="135"/>
      <c r="N102" s="135"/>
      <c r="O102" s="135"/>
      <c r="P102" s="155"/>
      <c r="Q102" s="113"/>
      <c r="R102" s="156">
        <v>0</v>
      </c>
      <c r="S102" s="139"/>
      <c r="T102" s="2"/>
    </row>
    <row r="103" spans="1:21" ht="15.6" x14ac:dyDescent="0.3">
      <c r="A103" s="122">
        <v>2</v>
      </c>
      <c r="B103" s="113" t="s">
        <v>195</v>
      </c>
      <c r="C103" s="113"/>
      <c r="D103" s="135"/>
      <c r="E103" s="135"/>
      <c r="F103" s="135"/>
      <c r="G103" s="135"/>
      <c r="H103" s="135"/>
      <c r="I103" s="135"/>
      <c r="J103" s="135"/>
      <c r="K103" s="135"/>
      <c r="L103" s="135"/>
      <c r="M103" s="135"/>
      <c r="N103" s="135"/>
      <c r="O103" s="135"/>
      <c r="P103" s="113"/>
      <c r="Q103" s="113"/>
      <c r="R103" s="156">
        <v>-3</v>
      </c>
      <c r="S103" s="139"/>
      <c r="T103" s="2"/>
    </row>
    <row r="104" spans="1:21" ht="15.6" x14ac:dyDescent="0.3">
      <c r="A104" s="122">
        <v>3</v>
      </c>
      <c r="B104" s="113" t="s">
        <v>265</v>
      </c>
      <c r="C104" s="113"/>
      <c r="D104" s="135"/>
      <c r="E104" s="135"/>
      <c r="F104" s="135"/>
      <c r="G104" s="135"/>
      <c r="H104" s="135"/>
      <c r="I104" s="135"/>
      <c r="J104" s="135"/>
      <c r="K104" s="135"/>
      <c r="L104" s="135"/>
      <c r="M104" s="135"/>
      <c r="N104" s="135"/>
      <c r="O104" s="135"/>
      <c r="P104" s="113"/>
      <c r="Q104" s="113"/>
      <c r="R104" s="156">
        <f>-104-7-3</f>
        <v>-114</v>
      </c>
      <c r="S104" s="139"/>
      <c r="T104" s="2"/>
    </row>
    <row r="105" spans="1:21" ht="15.6" x14ac:dyDescent="0.3">
      <c r="A105" s="122">
        <v>4</v>
      </c>
      <c r="B105" s="113" t="s">
        <v>96</v>
      </c>
      <c r="C105" s="113"/>
      <c r="D105" s="135"/>
      <c r="E105" s="135"/>
      <c r="F105" s="135"/>
      <c r="G105" s="135"/>
      <c r="H105" s="135"/>
      <c r="I105" s="135"/>
      <c r="J105" s="135"/>
      <c r="K105" s="135"/>
      <c r="L105" s="135"/>
      <c r="M105" s="135"/>
      <c r="N105" s="135"/>
      <c r="O105" s="135"/>
      <c r="P105" s="113"/>
      <c r="Q105" s="113"/>
      <c r="R105" s="156">
        <v>-364</v>
      </c>
      <c r="S105" s="139"/>
      <c r="T105" s="2"/>
    </row>
    <row r="106" spans="1:21" ht="15.6" x14ac:dyDescent="0.3">
      <c r="A106" s="122" t="s">
        <v>274</v>
      </c>
      <c r="B106" s="113" t="s">
        <v>272</v>
      </c>
      <c r="C106" s="113"/>
      <c r="D106" s="135"/>
      <c r="E106" s="135"/>
      <c r="F106" s="135"/>
      <c r="G106" s="135"/>
      <c r="H106" s="135"/>
      <c r="I106" s="135"/>
      <c r="J106" s="135"/>
      <c r="K106" s="135"/>
      <c r="L106" s="135"/>
      <c r="M106" s="135"/>
      <c r="N106" s="135"/>
      <c r="O106" s="135"/>
      <c r="P106" s="113"/>
      <c r="Q106" s="113"/>
      <c r="R106" s="156">
        <v>-381</v>
      </c>
      <c r="S106" s="139"/>
      <c r="T106" s="2"/>
      <c r="U106" s="4"/>
    </row>
    <row r="107" spans="1:21" ht="15.6" x14ac:dyDescent="0.3">
      <c r="A107" s="122" t="s">
        <v>275</v>
      </c>
      <c r="B107" s="113" t="s">
        <v>266</v>
      </c>
      <c r="C107" s="113"/>
      <c r="D107" s="135"/>
      <c r="E107" s="135"/>
      <c r="F107" s="135"/>
      <c r="G107" s="135"/>
      <c r="H107" s="135"/>
      <c r="I107" s="135"/>
      <c r="J107" s="135"/>
      <c r="K107" s="135"/>
      <c r="L107" s="135"/>
      <c r="M107" s="135"/>
      <c r="N107" s="135"/>
      <c r="O107" s="135"/>
      <c r="P107" s="113"/>
      <c r="Q107" s="113"/>
      <c r="R107" s="156">
        <v>-411</v>
      </c>
      <c r="S107" s="139"/>
      <c r="T107" s="2"/>
      <c r="U107" s="4"/>
    </row>
    <row r="108" spans="1:21" ht="15.6" x14ac:dyDescent="0.3">
      <c r="A108" s="122">
        <v>6</v>
      </c>
      <c r="B108" s="113" t="s">
        <v>189</v>
      </c>
      <c r="C108" s="113"/>
      <c r="D108" s="135"/>
      <c r="E108" s="135"/>
      <c r="F108" s="135"/>
      <c r="G108" s="135"/>
      <c r="H108" s="135"/>
      <c r="I108" s="135"/>
      <c r="J108" s="135"/>
      <c r="K108" s="135"/>
      <c r="L108" s="135"/>
      <c r="M108" s="135"/>
      <c r="N108" s="135"/>
      <c r="O108" s="135"/>
      <c r="P108" s="113"/>
      <c r="Q108" s="113"/>
      <c r="R108" s="156">
        <v>-52</v>
      </c>
      <c r="S108" s="139"/>
      <c r="T108" s="2"/>
      <c r="U108" s="4"/>
    </row>
    <row r="109" spans="1:21" ht="15.6" x14ac:dyDescent="0.3">
      <c r="A109" s="122">
        <v>7</v>
      </c>
      <c r="B109" s="113" t="s">
        <v>190</v>
      </c>
      <c r="C109" s="113"/>
      <c r="D109" s="135"/>
      <c r="E109" s="135"/>
      <c r="F109" s="135"/>
      <c r="G109" s="135"/>
      <c r="H109" s="135"/>
      <c r="I109" s="135"/>
      <c r="J109" s="135"/>
      <c r="K109" s="135"/>
      <c r="L109" s="135"/>
      <c r="M109" s="135"/>
      <c r="N109" s="135"/>
      <c r="O109" s="135"/>
      <c r="P109" s="113"/>
      <c r="Q109" s="113"/>
      <c r="R109" s="156">
        <v>-61</v>
      </c>
      <c r="S109" s="139"/>
      <c r="T109" s="2"/>
      <c r="U109" s="4"/>
    </row>
    <row r="110" spans="1:21" ht="15.6" x14ac:dyDescent="0.3">
      <c r="A110" s="122">
        <v>8</v>
      </c>
      <c r="B110" s="113" t="s">
        <v>156</v>
      </c>
      <c r="C110" s="113"/>
      <c r="D110" s="135"/>
      <c r="E110" s="135"/>
      <c r="F110" s="135"/>
      <c r="G110" s="135"/>
      <c r="H110" s="135"/>
      <c r="I110" s="135"/>
      <c r="J110" s="135"/>
      <c r="K110" s="135"/>
      <c r="L110" s="135"/>
      <c r="M110" s="135"/>
      <c r="N110" s="135"/>
      <c r="O110" s="135"/>
      <c r="P110" s="113"/>
      <c r="Q110" s="113"/>
      <c r="R110" s="156">
        <v>0</v>
      </c>
      <c r="S110" s="139"/>
      <c r="T110" s="2"/>
      <c r="U110" s="4"/>
    </row>
    <row r="111" spans="1:21" ht="15.6" x14ac:dyDescent="0.3">
      <c r="A111" s="122">
        <v>9</v>
      </c>
      <c r="B111" s="113" t="s">
        <v>37</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22">
        <v>10</v>
      </c>
      <c r="B112" s="113" t="s">
        <v>101</v>
      </c>
      <c r="C112" s="113"/>
      <c r="D112" s="135"/>
      <c r="E112" s="135"/>
      <c r="F112" s="135"/>
      <c r="G112" s="135"/>
      <c r="H112" s="135"/>
      <c r="I112" s="135"/>
      <c r="J112" s="135"/>
      <c r="K112" s="135"/>
      <c r="L112" s="135"/>
      <c r="M112" s="135"/>
      <c r="N112" s="135"/>
      <c r="O112" s="135"/>
      <c r="P112" s="113"/>
      <c r="Q112" s="113"/>
      <c r="R112" s="156">
        <v>0</v>
      </c>
      <c r="S112" s="139"/>
      <c r="T112" s="2"/>
    </row>
    <row r="113" spans="1:20" ht="15.6" x14ac:dyDescent="0.3">
      <c r="A113" s="122">
        <v>11</v>
      </c>
      <c r="B113" s="113" t="s">
        <v>29</v>
      </c>
      <c r="C113" s="113"/>
      <c r="D113" s="135"/>
      <c r="E113" s="135"/>
      <c r="F113" s="135"/>
      <c r="G113" s="135"/>
      <c r="H113" s="135"/>
      <c r="I113" s="135"/>
      <c r="J113" s="135"/>
      <c r="K113" s="135"/>
      <c r="L113" s="135"/>
      <c r="M113" s="135"/>
      <c r="N113" s="135"/>
      <c r="O113" s="135"/>
      <c r="P113" s="113"/>
      <c r="Q113" s="113"/>
      <c r="R113" s="156">
        <v>-20</v>
      </c>
      <c r="S113" s="139"/>
      <c r="T113" s="2"/>
    </row>
    <row r="114" spans="1:20" ht="15.6" x14ac:dyDescent="0.3">
      <c r="A114" s="122">
        <v>12</v>
      </c>
      <c r="B114" s="113" t="s">
        <v>138</v>
      </c>
      <c r="C114" s="113"/>
      <c r="D114" s="135"/>
      <c r="E114" s="135"/>
      <c r="F114" s="135"/>
      <c r="G114" s="135"/>
      <c r="H114" s="135"/>
      <c r="I114" s="135"/>
      <c r="J114" s="135"/>
      <c r="K114" s="135"/>
      <c r="L114" s="135"/>
      <c r="M114" s="135"/>
      <c r="N114" s="135"/>
      <c r="O114" s="135"/>
      <c r="P114" s="113"/>
      <c r="Q114" s="113"/>
      <c r="R114" s="156">
        <v>0</v>
      </c>
      <c r="S114" s="139"/>
      <c r="T114" s="2"/>
    </row>
    <row r="115" spans="1:20" ht="15.6" x14ac:dyDescent="0.3">
      <c r="A115" s="122">
        <v>13</v>
      </c>
      <c r="B115" s="113" t="s">
        <v>267</v>
      </c>
      <c r="C115" s="113"/>
      <c r="D115" s="135"/>
      <c r="E115" s="135"/>
      <c r="F115" s="135"/>
      <c r="G115" s="135"/>
      <c r="H115" s="135"/>
      <c r="I115" s="135"/>
      <c r="J115" s="135"/>
      <c r="K115" s="135"/>
      <c r="L115" s="135"/>
      <c r="M115" s="135"/>
      <c r="N115" s="135"/>
      <c r="O115" s="135"/>
      <c r="P115" s="113"/>
      <c r="Q115" s="113"/>
      <c r="R115" s="156">
        <v>-45</v>
      </c>
      <c r="S115" s="139"/>
      <c r="T115" s="2"/>
    </row>
    <row r="116" spans="1:20" ht="15.6" x14ac:dyDescent="0.3">
      <c r="A116" s="122">
        <v>14</v>
      </c>
      <c r="B116" s="113" t="s">
        <v>157</v>
      </c>
      <c r="C116" s="113"/>
      <c r="D116" s="135"/>
      <c r="E116" s="135"/>
      <c r="F116" s="135"/>
      <c r="G116" s="135"/>
      <c r="H116" s="135"/>
      <c r="I116" s="135"/>
      <c r="J116" s="135"/>
      <c r="K116" s="135"/>
      <c r="L116" s="135"/>
      <c r="M116" s="135"/>
      <c r="N116" s="135"/>
      <c r="O116" s="135"/>
      <c r="P116" s="113"/>
      <c r="Q116" s="113"/>
      <c r="R116" s="156">
        <v>0</v>
      </c>
      <c r="S116" s="139"/>
      <c r="T116" s="2"/>
    </row>
    <row r="117" spans="1:20" ht="15.6" x14ac:dyDescent="0.3">
      <c r="A117" s="122">
        <v>15</v>
      </c>
      <c r="B117" s="113" t="s">
        <v>207</v>
      </c>
      <c r="C117" s="113"/>
      <c r="D117" s="135"/>
      <c r="E117" s="135"/>
      <c r="F117" s="135"/>
      <c r="G117" s="135"/>
      <c r="H117" s="135"/>
      <c r="I117" s="135"/>
      <c r="J117" s="135"/>
      <c r="K117" s="135"/>
      <c r="L117" s="135"/>
      <c r="M117" s="135"/>
      <c r="N117" s="135"/>
      <c r="O117" s="135"/>
      <c r="P117" s="113"/>
      <c r="Q117" s="113"/>
      <c r="R117" s="156">
        <v>-103</v>
      </c>
      <c r="S117" s="139"/>
      <c r="T117" s="2"/>
    </row>
    <row r="118" spans="1:20" ht="15.6" x14ac:dyDescent="0.3">
      <c r="A118" s="122">
        <v>16</v>
      </c>
      <c r="B118" s="113" t="s">
        <v>167</v>
      </c>
      <c r="C118" s="113"/>
      <c r="D118" s="135"/>
      <c r="E118" s="135"/>
      <c r="F118" s="135"/>
      <c r="G118" s="135"/>
      <c r="H118" s="135"/>
      <c r="I118" s="135"/>
      <c r="J118" s="135"/>
      <c r="K118" s="135"/>
      <c r="L118" s="135"/>
      <c r="M118" s="135"/>
      <c r="N118" s="135"/>
      <c r="O118" s="135"/>
      <c r="P118" s="113"/>
      <c r="Q118" s="113"/>
      <c r="R118" s="156">
        <f>-22-177</f>
        <v>-199</v>
      </c>
      <c r="S118" s="139"/>
      <c r="T118" s="2"/>
    </row>
    <row r="119" spans="1:20" ht="15.6" x14ac:dyDescent="0.3">
      <c r="A119" s="122">
        <v>17</v>
      </c>
      <c r="B119" s="113" t="s">
        <v>268</v>
      </c>
      <c r="C119" s="113"/>
      <c r="D119" s="135"/>
      <c r="E119" s="135"/>
      <c r="F119" s="135"/>
      <c r="G119" s="135"/>
      <c r="H119" s="135"/>
      <c r="I119" s="135"/>
      <c r="J119" s="135"/>
      <c r="K119" s="135"/>
      <c r="L119" s="135"/>
      <c r="M119" s="135"/>
      <c r="N119" s="135"/>
      <c r="O119" s="135"/>
      <c r="P119" s="113"/>
      <c r="Q119" s="113"/>
      <c r="R119" s="156">
        <f>-R100-SUM(R102:R118)</f>
        <v>-1621</v>
      </c>
      <c r="S119" s="139"/>
      <c r="T119" s="2"/>
    </row>
    <row r="120" spans="1:20" ht="15.6" x14ac:dyDescent="0.3">
      <c r="A120" s="112"/>
      <c r="B120" s="160" t="s">
        <v>30</v>
      </c>
      <c r="C120" s="135"/>
      <c r="D120" s="135"/>
      <c r="E120" s="135"/>
      <c r="F120" s="135"/>
      <c r="G120" s="135"/>
      <c r="H120" s="135"/>
      <c r="I120" s="135"/>
      <c r="J120" s="135"/>
      <c r="K120" s="135"/>
      <c r="L120" s="135"/>
      <c r="M120" s="135"/>
      <c r="N120" s="135"/>
      <c r="O120" s="135"/>
      <c r="P120" s="113"/>
      <c r="Q120" s="113"/>
      <c r="R120" s="161"/>
      <c r="S120" s="139"/>
      <c r="T120" s="2"/>
    </row>
    <row r="121" spans="1:20" ht="15.6" x14ac:dyDescent="0.3">
      <c r="A121" s="112"/>
      <c r="B121" s="113" t="s">
        <v>208</v>
      </c>
      <c r="C121" s="135"/>
      <c r="D121" s="135"/>
      <c r="E121" s="135"/>
      <c r="F121" s="135"/>
      <c r="G121" s="135"/>
      <c r="H121" s="135"/>
      <c r="I121" s="135"/>
      <c r="J121" s="135"/>
      <c r="K121" s="135"/>
      <c r="L121" s="135"/>
      <c r="M121" s="135"/>
      <c r="N121" s="135"/>
      <c r="O121" s="135"/>
      <c r="P121" s="155">
        <f>-P188</f>
        <v>-10</v>
      </c>
      <c r="Q121" s="155"/>
      <c r="R121" s="156"/>
      <c r="S121" s="139"/>
      <c r="T121" s="2"/>
    </row>
    <row r="122" spans="1:20" ht="15.6" x14ac:dyDescent="0.3">
      <c r="A122" s="112"/>
      <c r="B122" s="113" t="s">
        <v>209</v>
      </c>
      <c r="C122" s="135"/>
      <c r="D122" s="135"/>
      <c r="E122" s="135"/>
      <c r="F122" s="135"/>
      <c r="G122" s="135"/>
      <c r="H122" s="135"/>
      <c r="I122" s="135"/>
      <c r="J122" s="135"/>
      <c r="K122" s="135"/>
      <c r="L122" s="135"/>
      <c r="M122" s="135"/>
      <c r="N122" s="135"/>
      <c r="O122" s="135"/>
      <c r="P122" s="155">
        <v>0</v>
      </c>
      <c r="Q122" s="155"/>
      <c r="R122" s="156"/>
      <c r="S122" s="139"/>
      <c r="T122" s="2"/>
    </row>
    <row r="123" spans="1:20" ht="15.6" x14ac:dyDescent="0.3">
      <c r="A123" s="112"/>
      <c r="B123" s="113" t="s">
        <v>270</v>
      </c>
      <c r="C123" s="135"/>
      <c r="D123" s="135"/>
      <c r="E123" s="135"/>
      <c r="F123" s="135"/>
      <c r="G123" s="135"/>
      <c r="H123" s="135"/>
      <c r="I123" s="135"/>
      <c r="J123" s="135"/>
      <c r="K123" s="135"/>
      <c r="L123" s="135"/>
      <c r="M123" s="135"/>
      <c r="N123" s="135"/>
      <c r="O123" s="135"/>
      <c r="P123" s="155">
        <v>-4273</v>
      </c>
      <c r="Q123" s="155"/>
      <c r="R123" s="156"/>
      <c r="S123" s="139"/>
      <c r="T123" s="2"/>
    </row>
    <row r="124" spans="1:20" ht="15.6" x14ac:dyDescent="0.3">
      <c r="A124" s="112"/>
      <c r="B124" s="113" t="s">
        <v>269</v>
      </c>
      <c r="C124" s="135"/>
      <c r="D124" s="135"/>
      <c r="E124" s="135"/>
      <c r="F124" s="135"/>
      <c r="G124" s="135"/>
      <c r="H124" s="135"/>
      <c r="I124" s="135"/>
      <c r="J124" s="135"/>
      <c r="K124" s="135"/>
      <c r="L124" s="135"/>
      <c r="M124" s="135"/>
      <c r="N124" s="135"/>
      <c r="O124" s="135"/>
      <c r="P124" s="155">
        <v>-5550</v>
      </c>
      <c r="Q124" s="155"/>
      <c r="R124" s="156"/>
      <c r="S124" s="139"/>
      <c r="T124" s="2"/>
    </row>
    <row r="125" spans="1:20" ht="15.6" x14ac:dyDescent="0.3">
      <c r="A125" s="112"/>
      <c r="B125" s="113" t="s">
        <v>181</v>
      </c>
      <c r="C125" s="135"/>
      <c r="D125" s="135"/>
      <c r="E125" s="135"/>
      <c r="F125" s="135"/>
      <c r="G125" s="135"/>
      <c r="H125" s="135"/>
      <c r="I125" s="135"/>
      <c r="J125" s="135"/>
      <c r="K125" s="135"/>
      <c r="L125" s="135"/>
      <c r="M125" s="135"/>
      <c r="N125" s="135"/>
      <c r="O125" s="135"/>
      <c r="P125" s="155">
        <v>0</v>
      </c>
      <c r="Q125" s="155"/>
      <c r="R125" s="156"/>
      <c r="S125" s="139"/>
      <c r="T125" s="2"/>
    </row>
    <row r="126" spans="1:20" ht="15.6" x14ac:dyDescent="0.3">
      <c r="A126" s="112"/>
      <c r="B126" s="113" t="s">
        <v>182</v>
      </c>
      <c r="C126" s="135"/>
      <c r="D126" s="135"/>
      <c r="E126" s="135"/>
      <c r="F126" s="135"/>
      <c r="G126" s="135"/>
      <c r="H126" s="135"/>
      <c r="I126" s="135"/>
      <c r="J126" s="135"/>
      <c r="K126" s="135"/>
      <c r="L126" s="135"/>
      <c r="M126" s="135"/>
      <c r="N126" s="135"/>
      <c r="O126" s="135"/>
      <c r="P126" s="155">
        <v>0</v>
      </c>
      <c r="Q126" s="155"/>
      <c r="R126" s="156"/>
      <c r="S126" s="139"/>
      <c r="T126" s="2"/>
    </row>
    <row r="127" spans="1:20" ht="15.6" x14ac:dyDescent="0.3">
      <c r="A127" s="112"/>
      <c r="B127" s="113" t="s">
        <v>271</v>
      </c>
      <c r="C127" s="135"/>
      <c r="D127" s="135"/>
      <c r="E127" s="135"/>
      <c r="F127" s="135"/>
      <c r="G127" s="135"/>
      <c r="H127" s="135"/>
      <c r="I127" s="135"/>
      <c r="J127" s="135"/>
      <c r="K127" s="135"/>
      <c r="L127" s="135"/>
      <c r="M127" s="135"/>
      <c r="N127" s="135"/>
      <c r="O127" s="135"/>
      <c r="P127" s="155">
        <v>0</v>
      </c>
      <c r="Q127" s="155"/>
      <c r="R127" s="156"/>
      <c r="S127" s="139"/>
      <c r="T127" s="2"/>
    </row>
    <row r="128" spans="1:20" ht="15.6" x14ac:dyDescent="0.3">
      <c r="A128" s="112"/>
      <c r="B128" s="113" t="s">
        <v>31</v>
      </c>
      <c r="C128" s="135"/>
      <c r="D128" s="135"/>
      <c r="E128" s="135"/>
      <c r="F128" s="135"/>
      <c r="G128" s="135"/>
      <c r="H128" s="135"/>
      <c r="I128" s="135"/>
      <c r="J128" s="135"/>
      <c r="K128" s="135"/>
      <c r="L128" s="135"/>
      <c r="M128" s="135"/>
      <c r="N128" s="135"/>
      <c r="O128" s="135"/>
      <c r="P128" s="155">
        <f>SUM(P121:P127)</f>
        <v>-9833</v>
      </c>
      <c r="Q128" s="155"/>
      <c r="R128" s="155">
        <f>SUM(R101:R127)</f>
        <v>-3374</v>
      </c>
      <c r="S128" s="139"/>
      <c r="T128" s="2"/>
    </row>
    <row r="129" spans="1:20" ht="15.6" x14ac:dyDescent="0.3">
      <c r="A129" s="112"/>
      <c r="B129" s="113" t="s">
        <v>32</v>
      </c>
      <c r="C129" s="135"/>
      <c r="D129" s="135"/>
      <c r="E129" s="135"/>
      <c r="F129" s="135"/>
      <c r="G129" s="135"/>
      <c r="H129" s="135"/>
      <c r="I129" s="135"/>
      <c r="J129" s="135"/>
      <c r="K129" s="135"/>
      <c r="L129" s="135"/>
      <c r="M129" s="135"/>
      <c r="N129" s="135"/>
      <c r="O129" s="135"/>
      <c r="P129" s="155">
        <f>P100+P128+P111</f>
        <v>0</v>
      </c>
      <c r="Q129" s="155"/>
      <c r="R129" s="155">
        <f>R100+R128</f>
        <v>0</v>
      </c>
      <c r="S129" s="139"/>
      <c r="T129" s="2"/>
    </row>
    <row r="130" spans="1:20" ht="15.6" x14ac:dyDescent="0.3">
      <c r="A130" s="12"/>
      <c r="B130" s="43"/>
      <c r="C130" s="43"/>
      <c r="D130" s="43"/>
      <c r="E130" s="43"/>
      <c r="F130" s="43"/>
      <c r="G130" s="43"/>
      <c r="H130" s="43"/>
      <c r="I130" s="43"/>
      <c r="J130" s="43"/>
      <c r="K130" s="43"/>
      <c r="L130" s="43"/>
      <c r="M130" s="43"/>
      <c r="N130" s="43"/>
      <c r="O130" s="43"/>
      <c r="P130" s="153"/>
      <c r="Q130" s="153"/>
      <c r="R130" s="153"/>
      <c r="S130" s="217"/>
      <c r="T130" s="2"/>
    </row>
    <row r="131" spans="1:20" ht="15.6" x14ac:dyDescent="0.3">
      <c r="A131" s="12"/>
      <c r="B131" s="14"/>
      <c r="C131" s="14"/>
      <c r="D131" s="14"/>
      <c r="E131" s="14"/>
      <c r="F131" s="14"/>
      <c r="G131" s="14"/>
      <c r="H131" s="14"/>
      <c r="I131" s="14"/>
      <c r="J131" s="14"/>
      <c r="K131" s="14"/>
      <c r="L131" s="14"/>
      <c r="M131" s="14"/>
      <c r="N131" s="14"/>
      <c r="O131" s="14"/>
      <c r="P131" s="14"/>
      <c r="Q131" s="14"/>
      <c r="R131" s="33"/>
      <c r="S131" s="217"/>
      <c r="T131" s="2"/>
    </row>
    <row r="132" spans="1:20" ht="18" thickBot="1" x14ac:dyDescent="0.35">
      <c r="A132" s="28"/>
      <c r="B132" s="97" t="str">
        <f>B60</f>
        <v>PM22 INVESTOR REPORT QUARTER ENDING NOVEMBER 2016</v>
      </c>
      <c r="C132" s="29"/>
      <c r="D132" s="29"/>
      <c r="E132" s="29"/>
      <c r="F132" s="29"/>
      <c r="G132" s="29"/>
      <c r="H132" s="29"/>
      <c r="I132" s="29"/>
      <c r="J132" s="29"/>
      <c r="K132" s="29"/>
      <c r="L132" s="29"/>
      <c r="M132" s="29"/>
      <c r="N132" s="29"/>
      <c r="O132" s="29"/>
      <c r="P132" s="29"/>
      <c r="Q132" s="29"/>
      <c r="R132" s="40"/>
      <c r="S132" s="31"/>
      <c r="T132" s="2"/>
    </row>
    <row r="133" spans="1:20" ht="15.6" x14ac:dyDescent="0.3">
      <c r="A133" s="65"/>
      <c r="B133" s="66" t="s">
        <v>33</v>
      </c>
      <c r="C133" s="67"/>
      <c r="D133" s="67"/>
      <c r="E133" s="67"/>
      <c r="F133" s="67"/>
      <c r="G133" s="67"/>
      <c r="H133" s="67"/>
      <c r="I133" s="67"/>
      <c r="J133" s="67"/>
      <c r="K133" s="67"/>
      <c r="L133" s="67"/>
      <c r="M133" s="67"/>
      <c r="N133" s="67"/>
      <c r="O133" s="67"/>
      <c r="P133" s="67"/>
      <c r="Q133" s="67"/>
      <c r="R133" s="68"/>
      <c r="S133" s="223"/>
      <c r="T133" s="2"/>
    </row>
    <row r="134" spans="1:20" ht="15.6" x14ac:dyDescent="0.3">
      <c r="A134" s="12"/>
      <c r="B134" s="22"/>
      <c r="C134" s="14"/>
      <c r="D134" s="14"/>
      <c r="E134" s="14"/>
      <c r="F134" s="14"/>
      <c r="G134" s="14"/>
      <c r="H134" s="14"/>
      <c r="I134" s="14"/>
      <c r="J134" s="14"/>
      <c r="K134" s="14"/>
      <c r="L134" s="14"/>
      <c r="M134" s="14"/>
      <c r="N134" s="14"/>
      <c r="O134" s="14"/>
      <c r="P134" s="14"/>
      <c r="Q134" s="14"/>
      <c r="R134" s="33"/>
      <c r="S134" s="217"/>
      <c r="T134" s="2"/>
    </row>
    <row r="135" spans="1:20" ht="15.6" x14ac:dyDescent="0.3">
      <c r="A135" s="12"/>
      <c r="B135" s="41" t="s">
        <v>34</v>
      </c>
      <c r="C135" s="14"/>
      <c r="D135" s="14"/>
      <c r="E135" s="14"/>
      <c r="F135" s="14"/>
      <c r="G135" s="14"/>
      <c r="H135" s="14"/>
      <c r="I135" s="14"/>
      <c r="J135" s="14"/>
      <c r="K135" s="14"/>
      <c r="L135" s="14"/>
      <c r="M135" s="14"/>
      <c r="N135" s="14"/>
      <c r="O135" s="14"/>
      <c r="P135" s="14"/>
      <c r="Q135" s="14"/>
      <c r="R135" s="33"/>
      <c r="S135" s="217"/>
      <c r="T135" s="2"/>
    </row>
    <row r="136" spans="1:20" ht="15.6" x14ac:dyDescent="0.3">
      <c r="A136" s="112"/>
      <c r="B136" s="113" t="s">
        <v>35</v>
      </c>
      <c r="C136" s="113"/>
      <c r="D136" s="113"/>
      <c r="E136" s="113"/>
      <c r="F136" s="113"/>
      <c r="G136" s="113"/>
      <c r="H136" s="113"/>
      <c r="I136" s="113"/>
      <c r="J136" s="113"/>
      <c r="K136" s="113"/>
      <c r="L136" s="113"/>
      <c r="M136" s="113"/>
      <c r="N136" s="113"/>
      <c r="O136" s="113"/>
      <c r="P136" s="113"/>
      <c r="Q136" s="113"/>
      <c r="R136" s="156">
        <v>7502</v>
      </c>
      <c r="S136" s="116"/>
      <c r="T136" s="2"/>
    </row>
    <row r="137" spans="1:20" ht="15.6" x14ac:dyDescent="0.3">
      <c r="A137" s="112"/>
      <c r="B137" s="113" t="s">
        <v>36</v>
      </c>
      <c r="C137" s="113"/>
      <c r="D137" s="113"/>
      <c r="E137" s="113"/>
      <c r="F137" s="113"/>
      <c r="G137" s="113"/>
      <c r="H137" s="113"/>
      <c r="I137" s="113"/>
      <c r="J137" s="113"/>
      <c r="K137" s="113"/>
      <c r="L137" s="113"/>
      <c r="M137" s="113"/>
      <c r="N137" s="113"/>
      <c r="O137" s="113"/>
      <c r="P137" s="113"/>
      <c r="Q137" s="113"/>
      <c r="R137" s="156">
        <v>0</v>
      </c>
      <c r="S137" s="116"/>
      <c r="T137" s="2"/>
    </row>
    <row r="138" spans="1:20" ht="15.6" x14ac:dyDescent="0.3">
      <c r="A138" s="112"/>
      <c r="B138" s="113" t="s">
        <v>169</v>
      </c>
      <c r="C138" s="113"/>
      <c r="D138" s="113"/>
      <c r="E138" s="113"/>
      <c r="F138" s="113"/>
      <c r="G138" s="113"/>
      <c r="H138" s="113"/>
      <c r="I138" s="113"/>
      <c r="J138" s="113"/>
      <c r="K138" s="113"/>
      <c r="L138" s="113"/>
      <c r="M138" s="113"/>
      <c r="N138" s="113"/>
      <c r="O138" s="113"/>
      <c r="P138" s="113"/>
      <c r="Q138" s="113"/>
      <c r="R138" s="156">
        <f>R136-R139</f>
        <v>973.87575108499914</v>
      </c>
      <c r="S138" s="116"/>
      <c r="T138" s="2"/>
    </row>
    <row r="139" spans="1:20" ht="15.6" x14ac:dyDescent="0.3">
      <c r="A139" s="112"/>
      <c r="B139" s="113" t="s">
        <v>210</v>
      </c>
      <c r="C139" s="113"/>
      <c r="D139" s="113"/>
      <c r="E139" s="113"/>
      <c r="F139" s="113"/>
      <c r="G139" s="113"/>
      <c r="H139" s="113"/>
      <c r="I139" s="113"/>
      <c r="J139" s="113"/>
      <c r="K139" s="113"/>
      <c r="L139" s="113"/>
      <c r="M139" s="113"/>
      <c r="N139" s="113"/>
      <c r="O139" s="113"/>
      <c r="P139" s="113"/>
      <c r="Q139" s="113"/>
      <c r="R139" s="156">
        <f>SUM(D33:J33)*0.025</f>
        <v>6528.1242489150009</v>
      </c>
      <c r="S139" s="116"/>
      <c r="T139" s="2"/>
    </row>
    <row r="140" spans="1:20" ht="15.6" x14ac:dyDescent="0.3">
      <c r="A140" s="112"/>
      <c r="B140" s="113" t="s">
        <v>108</v>
      </c>
      <c r="C140" s="113"/>
      <c r="D140" s="113"/>
      <c r="E140" s="113"/>
      <c r="F140" s="113"/>
      <c r="G140" s="113"/>
      <c r="H140" s="113"/>
      <c r="I140" s="113"/>
      <c r="J140" s="113"/>
      <c r="K140" s="113"/>
      <c r="L140" s="113"/>
      <c r="M140" s="113"/>
      <c r="N140" s="113"/>
      <c r="O140" s="113"/>
      <c r="P140" s="113"/>
      <c r="Q140" s="113"/>
      <c r="R140" s="156"/>
      <c r="S140" s="116"/>
      <c r="T140" s="2"/>
    </row>
    <row r="141" spans="1:20" ht="15.6" x14ac:dyDescent="0.3">
      <c r="A141" s="112"/>
      <c r="B141" s="113" t="s">
        <v>155</v>
      </c>
      <c r="C141" s="113"/>
      <c r="D141" s="113"/>
      <c r="E141" s="113"/>
      <c r="F141" s="113"/>
      <c r="G141" s="113"/>
      <c r="H141" s="113"/>
      <c r="I141" s="113"/>
      <c r="J141" s="113"/>
      <c r="K141" s="113"/>
      <c r="L141" s="113"/>
      <c r="M141" s="113"/>
      <c r="N141" s="113"/>
      <c r="O141" s="113"/>
      <c r="P141" s="113"/>
      <c r="Q141" s="113"/>
      <c r="R141" s="156">
        <v>0</v>
      </c>
      <c r="S141" s="116"/>
      <c r="T141" s="2"/>
    </row>
    <row r="142" spans="1:20" ht="15.6" x14ac:dyDescent="0.3">
      <c r="A142" s="112"/>
      <c r="B142" s="113" t="s">
        <v>189</v>
      </c>
      <c r="C142" s="113"/>
      <c r="D142" s="113"/>
      <c r="E142" s="113"/>
      <c r="F142" s="113"/>
      <c r="G142" s="113"/>
      <c r="H142" s="113"/>
      <c r="I142" s="113"/>
      <c r="J142" s="113"/>
      <c r="K142" s="113"/>
      <c r="L142" s="113"/>
      <c r="M142" s="113"/>
      <c r="N142" s="113"/>
      <c r="O142" s="113"/>
      <c r="P142" s="113"/>
      <c r="Q142" s="113"/>
      <c r="R142" s="156">
        <v>0</v>
      </c>
      <c r="S142" s="116"/>
      <c r="T142" s="2"/>
    </row>
    <row r="143" spans="1:20" ht="15.6" x14ac:dyDescent="0.3">
      <c r="A143" s="112"/>
      <c r="B143" s="113" t="s">
        <v>190</v>
      </c>
      <c r="C143" s="113"/>
      <c r="D143" s="113"/>
      <c r="E143" s="113"/>
      <c r="F143" s="113"/>
      <c r="G143" s="113"/>
      <c r="H143" s="113"/>
      <c r="I143" s="113"/>
      <c r="J143" s="113"/>
      <c r="K143" s="113"/>
      <c r="L143" s="113"/>
      <c r="M143" s="113"/>
      <c r="N143" s="113"/>
      <c r="O143" s="113"/>
      <c r="P143" s="113"/>
      <c r="Q143" s="113"/>
      <c r="R143" s="156">
        <v>0</v>
      </c>
      <c r="S143" s="116"/>
      <c r="T143" s="2"/>
    </row>
    <row r="144" spans="1:20" ht="15.6" x14ac:dyDescent="0.3">
      <c r="A144" s="112"/>
      <c r="B144" s="113" t="s">
        <v>37</v>
      </c>
      <c r="C144" s="113"/>
      <c r="D144" s="113"/>
      <c r="E144" s="113"/>
      <c r="F144" s="113"/>
      <c r="G144" s="113"/>
      <c r="H144" s="113"/>
      <c r="I144" s="113"/>
      <c r="J144" s="113"/>
      <c r="K144" s="113"/>
      <c r="L144" s="113"/>
      <c r="M144" s="113"/>
      <c r="N144" s="113"/>
      <c r="O144" s="113"/>
      <c r="P144" s="113"/>
      <c r="Q144" s="113"/>
      <c r="R144" s="156">
        <v>0</v>
      </c>
      <c r="S144" s="116"/>
      <c r="T144" s="2"/>
    </row>
    <row r="145" spans="1:21" ht="15.6" x14ac:dyDescent="0.3">
      <c r="A145" s="112"/>
      <c r="B145" s="113" t="s">
        <v>102</v>
      </c>
      <c r="C145" s="113"/>
      <c r="D145" s="113"/>
      <c r="E145" s="113"/>
      <c r="F145" s="113"/>
      <c r="G145" s="113"/>
      <c r="H145" s="113"/>
      <c r="I145" s="113"/>
      <c r="J145" s="113"/>
      <c r="K145" s="113"/>
      <c r="L145" s="113"/>
      <c r="M145" s="113"/>
      <c r="N145" s="113"/>
      <c r="O145" s="113"/>
      <c r="P145" s="113"/>
      <c r="Q145" s="113"/>
      <c r="R145" s="156">
        <v>0</v>
      </c>
      <c r="S145" s="116"/>
      <c r="T145" s="2"/>
    </row>
    <row r="146" spans="1:21" ht="15.6" x14ac:dyDescent="0.3">
      <c r="A146" s="112"/>
      <c r="B146" s="113" t="s">
        <v>256</v>
      </c>
      <c r="C146" s="113"/>
      <c r="D146" s="113"/>
      <c r="E146" s="113"/>
      <c r="F146" s="113"/>
      <c r="G146" s="113"/>
      <c r="H146" s="113"/>
      <c r="I146" s="113"/>
      <c r="J146" s="113"/>
      <c r="K146" s="113"/>
      <c r="L146" s="113"/>
      <c r="M146" s="113"/>
      <c r="N146" s="113"/>
      <c r="O146" s="113"/>
      <c r="P146" s="113"/>
      <c r="Q146" s="113"/>
      <c r="R146" s="156">
        <v>0</v>
      </c>
      <c r="S146" s="116"/>
      <c r="T146" s="2"/>
      <c r="U146" s="4"/>
    </row>
    <row r="147" spans="1:21" ht="15.6" x14ac:dyDescent="0.3">
      <c r="A147" s="112"/>
      <c r="B147" s="113" t="s">
        <v>38</v>
      </c>
      <c r="C147" s="113"/>
      <c r="D147" s="113"/>
      <c r="E147" s="113"/>
      <c r="F147" s="113"/>
      <c r="G147" s="113"/>
      <c r="H147" s="113"/>
      <c r="I147" s="113"/>
      <c r="J147" s="113"/>
      <c r="K147" s="113"/>
      <c r="L147" s="113"/>
      <c r="M147" s="113"/>
      <c r="N147" s="113"/>
      <c r="O147" s="113"/>
      <c r="P147" s="113"/>
      <c r="Q147" s="113"/>
      <c r="R147" s="156">
        <f>SUM(R137:R146)</f>
        <v>7502</v>
      </c>
      <c r="S147" s="116"/>
      <c r="T147" s="2"/>
    </row>
    <row r="148" spans="1:21" ht="15.6" x14ac:dyDescent="0.3">
      <c r="A148" s="12"/>
      <c r="B148" s="43"/>
      <c r="C148" s="43"/>
      <c r="D148" s="43"/>
      <c r="E148" s="43"/>
      <c r="F148" s="43"/>
      <c r="G148" s="43"/>
      <c r="H148" s="43"/>
      <c r="I148" s="43"/>
      <c r="J148" s="43"/>
      <c r="K148" s="43"/>
      <c r="L148" s="43"/>
      <c r="M148" s="43"/>
      <c r="N148" s="43"/>
      <c r="O148" s="43"/>
      <c r="P148" s="43"/>
      <c r="Q148" s="43"/>
      <c r="R148" s="162"/>
      <c r="S148" s="217"/>
      <c r="T148" s="2"/>
    </row>
    <row r="149" spans="1:21" ht="15.6" x14ac:dyDescent="0.3">
      <c r="A149" s="12"/>
      <c r="B149" s="41" t="s">
        <v>203</v>
      </c>
      <c r="C149" s="14"/>
      <c r="D149" s="14"/>
      <c r="E149" s="14"/>
      <c r="F149" s="14"/>
      <c r="G149" s="14"/>
      <c r="H149" s="14"/>
      <c r="I149" s="14"/>
      <c r="J149" s="14"/>
      <c r="K149" s="14"/>
      <c r="L149" s="14"/>
      <c r="M149" s="14"/>
      <c r="N149" s="14"/>
      <c r="O149" s="14"/>
      <c r="P149" s="14"/>
      <c r="Q149" s="14"/>
      <c r="R149" s="33"/>
      <c r="S149" s="217"/>
      <c r="T149" s="2"/>
    </row>
    <row r="150" spans="1:21" ht="15.6" x14ac:dyDescent="0.3">
      <c r="A150" s="112"/>
      <c r="B150" s="113" t="s">
        <v>278</v>
      </c>
      <c r="C150" s="113"/>
      <c r="D150" s="113"/>
      <c r="E150" s="113"/>
      <c r="F150" s="113"/>
      <c r="G150" s="113"/>
      <c r="H150" s="113"/>
      <c r="I150" s="113"/>
      <c r="J150" s="113"/>
      <c r="K150" s="113"/>
      <c r="L150" s="113"/>
      <c r="M150" s="113"/>
      <c r="N150" s="113"/>
      <c r="O150" s="113"/>
      <c r="P150" s="113"/>
      <c r="Q150" s="113"/>
      <c r="R150" s="156">
        <v>0</v>
      </c>
      <c r="S150" s="139"/>
      <c r="T150" s="2"/>
    </row>
    <row r="151" spans="1:21" ht="15.6" x14ac:dyDescent="0.3">
      <c r="A151" s="112"/>
      <c r="B151" s="113" t="s">
        <v>191</v>
      </c>
      <c r="C151" s="115"/>
      <c r="D151" s="115"/>
      <c r="E151" s="115"/>
      <c r="F151" s="115"/>
      <c r="G151" s="115"/>
      <c r="H151" s="115"/>
      <c r="I151" s="115"/>
      <c r="J151" s="115"/>
      <c r="K151" s="115"/>
      <c r="L151" s="115"/>
      <c r="M151" s="115"/>
      <c r="N151" s="115"/>
      <c r="O151" s="115"/>
      <c r="P151" s="115"/>
      <c r="Q151" s="115"/>
      <c r="R151" s="156">
        <f>+J77</f>
        <v>0</v>
      </c>
      <c r="S151" s="139"/>
      <c r="T151" s="2"/>
    </row>
    <row r="152" spans="1:21" ht="15.6" x14ac:dyDescent="0.3">
      <c r="A152" s="112"/>
      <c r="B152" s="113" t="s">
        <v>205</v>
      </c>
      <c r="C152" s="113"/>
      <c r="D152" s="113"/>
      <c r="E152" s="113"/>
      <c r="F152" s="113"/>
      <c r="G152" s="113"/>
      <c r="H152" s="113"/>
      <c r="I152" s="113"/>
      <c r="J152" s="113"/>
      <c r="K152" s="113"/>
      <c r="L152" s="113"/>
      <c r="M152" s="113"/>
      <c r="N152" s="113"/>
      <c r="O152" s="113"/>
      <c r="P152" s="113"/>
      <c r="Q152" s="113"/>
      <c r="R152" s="156">
        <f>R150+R151</f>
        <v>0</v>
      </c>
      <c r="S152" s="139"/>
      <c r="T152" s="2"/>
    </row>
    <row r="153" spans="1:21" ht="15.6" x14ac:dyDescent="0.3">
      <c r="A153" s="12"/>
      <c r="B153" s="163"/>
      <c r="C153" s="163"/>
      <c r="D153" s="163"/>
      <c r="E153" s="163"/>
      <c r="F153" s="163"/>
      <c r="G153" s="163"/>
      <c r="H153" s="163"/>
      <c r="I153" s="163"/>
      <c r="J153" s="163"/>
      <c r="K153" s="163"/>
      <c r="L153" s="163"/>
      <c r="M153" s="163"/>
      <c r="N153" s="163"/>
      <c r="O153" s="163"/>
      <c r="P153" s="163"/>
      <c r="Q153" s="163"/>
      <c r="R153" s="195"/>
      <c r="S153" s="217"/>
      <c r="T153" s="2"/>
    </row>
    <row r="154" spans="1:21" ht="15.6" x14ac:dyDescent="0.3">
      <c r="A154" s="12"/>
      <c r="B154" s="41" t="s">
        <v>211</v>
      </c>
      <c r="C154" s="163"/>
      <c r="D154" s="163"/>
      <c r="E154" s="163"/>
      <c r="F154" s="163"/>
      <c r="G154" s="163"/>
      <c r="H154" s="163"/>
      <c r="I154" s="163"/>
      <c r="J154" s="163"/>
      <c r="K154" s="163"/>
      <c r="L154" s="163"/>
      <c r="M154" s="163"/>
      <c r="N154" s="163"/>
      <c r="O154" s="163"/>
      <c r="P154" s="163"/>
      <c r="Q154" s="163"/>
      <c r="R154" s="195"/>
      <c r="S154" s="217"/>
      <c r="T154" s="2"/>
    </row>
    <row r="155" spans="1:21" ht="15.6" x14ac:dyDescent="0.3">
      <c r="A155" s="231"/>
      <c r="B155" s="232" t="s">
        <v>277</v>
      </c>
      <c r="C155" s="232"/>
      <c r="D155" s="232"/>
      <c r="E155" s="232"/>
      <c r="F155" s="232"/>
      <c r="G155" s="232"/>
      <c r="H155" s="232"/>
      <c r="I155" s="232"/>
      <c r="J155" s="232"/>
      <c r="K155" s="232"/>
      <c r="L155" s="232"/>
      <c r="M155" s="232"/>
      <c r="N155" s="232"/>
      <c r="O155" s="232"/>
      <c r="P155" s="232"/>
      <c r="Q155" s="232"/>
      <c r="R155" s="233">
        <f>+'Aug 16'!R158</f>
        <v>1166</v>
      </c>
      <c r="S155" s="234"/>
      <c r="T155" s="2"/>
    </row>
    <row r="156" spans="1:21" ht="15.6" x14ac:dyDescent="0.3">
      <c r="A156" s="231"/>
      <c r="B156" s="232" t="s">
        <v>213</v>
      </c>
      <c r="C156" s="232"/>
      <c r="D156" s="232"/>
      <c r="E156" s="232"/>
      <c r="F156" s="232"/>
      <c r="G156" s="232"/>
      <c r="H156" s="232"/>
      <c r="I156" s="232"/>
      <c r="J156" s="232"/>
      <c r="K156" s="232"/>
      <c r="L156" s="232"/>
      <c r="M156" s="232"/>
      <c r="N156" s="232"/>
      <c r="O156" s="232"/>
      <c r="P156" s="232"/>
      <c r="Q156" s="232"/>
      <c r="R156" s="233">
        <f>P86</f>
        <v>0</v>
      </c>
      <c r="S156" s="234"/>
      <c r="T156" s="2"/>
    </row>
    <row r="157" spans="1:21" ht="15.6" x14ac:dyDescent="0.3">
      <c r="A157" s="231"/>
      <c r="B157" s="232" t="s">
        <v>214</v>
      </c>
      <c r="C157" s="232"/>
      <c r="D157" s="232"/>
      <c r="E157" s="232"/>
      <c r="F157" s="232"/>
      <c r="G157" s="232"/>
      <c r="H157" s="232"/>
      <c r="I157" s="232"/>
      <c r="J157" s="232"/>
      <c r="K157" s="232"/>
      <c r="L157" s="232"/>
      <c r="M157" s="232"/>
      <c r="N157" s="232"/>
      <c r="O157" s="232"/>
      <c r="P157" s="232"/>
      <c r="Q157" s="232"/>
      <c r="R157" s="233">
        <v>0</v>
      </c>
      <c r="S157" s="234"/>
      <c r="T157" s="2"/>
    </row>
    <row r="158" spans="1:21" ht="15.6" x14ac:dyDescent="0.3">
      <c r="A158" s="231"/>
      <c r="B158" s="232" t="s">
        <v>215</v>
      </c>
      <c r="C158" s="232"/>
      <c r="D158" s="232"/>
      <c r="E158" s="232"/>
      <c r="F158" s="232"/>
      <c r="G158" s="232"/>
      <c r="H158" s="232"/>
      <c r="I158" s="232"/>
      <c r="J158" s="232"/>
      <c r="K158" s="232"/>
      <c r="L158" s="232"/>
      <c r="M158" s="232"/>
      <c r="N158" s="232"/>
      <c r="O158" s="232"/>
      <c r="P158" s="232"/>
      <c r="Q158" s="232"/>
      <c r="R158" s="233">
        <f>R155+R156+R157</f>
        <v>1166</v>
      </c>
      <c r="S158" s="234"/>
      <c r="T158" s="2"/>
    </row>
    <row r="159" spans="1:21" ht="15.6" x14ac:dyDescent="0.3">
      <c r="A159" s="12"/>
      <c r="B159" s="43"/>
      <c r="C159" s="43"/>
      <c r="D159" s="43"/>
      <c r="E159" s="43"/>
      <c r="F159" s="43"/>
      <c r="G159" s="43"/>
      <c r="H159" s="43"/>
      <c r="I159" s="43"/>
      <c r="J159" s="43"/>
      <c r="K159" s="43"/>
      <c r="L159" s="43"/>
      <c r="M159" s="43"/>
      <c r="N159" s="43"/>
      <c r="O159" s="43"/>
      <c r="P159" s="43"/>
      <c r="Q159" s="43"/>
      <c r="R159" s="162"/>
      <c r="S159" s="217"/>
      <c r="T159" s="2"/>
    </row>
    <row r="160" spans="1:21" ht="15.6" x14ac:dyDescent="0.3">
      <c r="A160" s="12"/>
      <c r="B160" s="41" t="s">
        <v>39</v>
      </c>
      <c r="C160" s="14"/>
      <c r="D160" s="14"/>
      <c r="E160" s="14"/>
      <c r="F160" s="14"/>
      <c r="G160" s="14"/>
      <c r="H160" s="14"/>
      <c r="I160" s="14"/>
      <c r="J160" s="14"/>
      <c r="K160" s="14"/>
      <c r="L160" s="14"/>
      <c r="M160" s="14"/>
      <c r="N160" s="14"/>
      <c r="O160" s="14"/>
      <c r="P160" s="14"/>
      <c r="Q160" s="14"/>
      <c r="R160" s="42"/>
      <c r="S160" s="217"/>
      <c r="T160" s="2"/>
    </row>
    <row r="161" spans="1:252" ht="15.6" x14ac:dyDescent="0.3">
      <c r="A161" s="112"/>
      <c r="B161" s="113" t="s">
        <v>40</v>
      </c>
      <c r="C161" s="113"/>
      <c r="D161" s="113"/>
      <c r="E161" s="113"/>
      <c r="F161" s="113"/>
      <c r="G161" s="113"/>
      <c r="H161" s="113"/>
      <c r="I161" s="113"/>
      <c r="J161" s="113"/>
      <c r="K161" s="113"/>
      <c r="L161" s="113"/>
      <c r="M161" s="113"/>
      <c r="N161" s="113"/>
      <c r="O161" s="113"/>
      <c r="P161" s="113"/>
      <c r="Q161" s="113"/>
      <c r="R161" s="156">
        <v>0</v>
      </c>
      <c r="S161" s="116"/>
      <c r="T161" s="2"/>
    </row>
    <row r="162" spans="1:252" ht="15.6" x14ac:dyDescent="0.3">
      <c r="A162" s="112"/>
      <c r="B162" s="113" t="s">
        <v>41</v>
      </c>
      <c r="C162" s="113"/>
      <c r="D162" s="113"/>
      <c r="E162" s="113"/>
      <c r="F162" s="113"/>
      <c r="G162" s="113"/>
      <c r="H162" s="113"/>
      <c r="I162" s="113"/>
      <c r="J162" s="113"/>
      <c r="K162" s="113"/>
      <c r="L162" s="113"/>
      <c r="M162" s="113"/>
      <c r="N162" s="113"/>
      <c r="O162" s="113"/>
      <c r="P162" s="113"/>
      <c r="Q162" s="113"/>
      <c r="R162" s="156">
        <v>0</v>
      </c>
      <c r="S162" s="116"/>
      <c r="T162" s="2"/>
    </row>
    <row r="163" spans="1:252" ht="15.6" x14ac:dyDescent="0.3">
      <c r="A163" s="112"/>
      <c r="B163" s="113" t="s">
        <v>42</v>
      </c>
      <c r="C163" s="113"/>
      <c r="D163" s="113"/>
      <c r="E163" s="113"/>
      <c r="F163" s="113"/>
      <c r="G163" s="113"/>
      <c r="H163" s="113"/>
      <c r="I163" s="113"/>
      <c r="J163" s="113"/>
      <c r="K163" s="113"/>
      <c r="L163" s="113"/>
      <c r="M163" s="113"/>
      <c r="N163" s="113"/>
      <c r="O163" s="113"/>
      <c r="P163" s="113"/>
      <c r="Q163" s="113"/>
      <c r="R163" s="156">
        <f>R162+R161</f>
        <v>0</v>
      </c>
      <c r="S163" s="116"/>
      <c r="T163" s="2"/>
    </row>
    <row r="164" spans="1:252" ht="15.6" x14ac:dyDescent="0.3">
      <c r="A164" s="112"/>
      <c r="B164" s="113" t="s">
        <v>174</v>
      </c>
      <c r="C164" s="113"/>
      <c r="D164" s="113"/>
      <c r="E164" s="113"/>
      <c r="F164" s="113"/>
      <c r="G164" s="113"/>
      <c r="H164" s="113"/>
      <c r="I164" s="113"/>
      <c r="J164" s="113"/>
      <c r="K164" s="113"/>
      <c r="L164" s="113"/>
      <c r="M164" s="113"/>
      <c r="N164" s="113"/>
      <c r="O164" s="113"/>
      <c r="P164" s="113"/>
      <c r="Q164" s="113"/>
      <c r="R164" s="156">
        <f>R111</f>
        <v>0</v>
      </c>
      <c r="S164" s="116"/>
      <c r="T164" s="2"/>
    </row>
    <row r="165" spans="1:252" ht="15.6" x14ac:dyDescent="0.3">
      <c r="A165" s="112"/>
      <c r="B165" s="113" t="s">
        <v>43</v>
      </c>
      <c r="C165" s="113"/>
      <c r="D165" s="113"/>
      <c r="E165" s="113"/>
      <c r="F165" s="113"/>
      <c r="G165" s="113"/>
      <c r="H165" s="113"/>
      <c r="I165" s="113"/>
      <c r="J165" s="113"/>
      <c r="K165" s="113"/>
      <c r="L165" s="113"/>
      <c r="M165" s="113"/>
      <c r="N165" s="113"/>
      <c r="O165" s="113"/>
      <c r="P165" s="113"/>
      <c r="Q165" s="113"/>
      <c r="R165" s="156">
        <f>R163+R164</f>
        <v>0</v>
      </c>
      <c r="S165" s="116"/>
      <c r="T165" s="2"/>
    </row>
    <row r="166" spans="1:252" ht="15.6" x14ac:dyDescent="0.3">
      <c r="A166" s="112"/>
      <c r="B166" s="113" t="s">
        <v>150</v>
      </c>
      <c r="C166" s="113"/>
      <c r="D166" s="113"/>
      <c r="E166" s="113"/>
      <c r="F166" s="113"/>
      <c r="G166" s="113"/>
      <c r="H166" s="113"/>
      <c r="I166" s="113"/>
      <c r="J166" s="113"/>
      <c r="K166" s="113"/>
      <c r="L166" s="113"/>
      <c r="M166" s="113"/>
      <c r="N166" s="113"/>
      <c r="O166" s="113"/>
      <c r="P166" s="113"/>
      <c r="Q166" s="113"/>
      <c r="R166" s="156">
        <f>-R99</f>
        <v>0</v>
      </c>
      <c r="S166" s="116"/>
      <c r="T166" s="2"/>
    </row>
    <row r="167" spans="1:252" ht="16.2" thickBot="1" x14ac:dyDescent="0.35">
      <c r="A167" s="12"/>
      <c r="B167" s="43"/>
      <c r="C167" s="43"/>
      <c r="D167" s="43"/>
      <c r="E167" s="43"/>
      <c r="F167" s="43"/>
      <c r="G167" s="43"/>
      <c r="H167" s="43"/>
      <c r="I167" s="43"/>
      <c r="J167" s="43"/>
      <c r="K167" s="43"/>
      <c r="L167" s="43"/>
      <c r="M167" s="43"/>
      <c r="N167" s="43"/>
      <c r="O167" s="43"/>
      <c r="P167" s="43"/>
      <c r="Q167" s="43"/>
      <c r="R167" s="162"/>
      <c r="S167" s="217"/>
      <c r="T167" s="2"/>
    </row>
    <row r="168" spans="1:252" ht="15.6" x14ac:dyDescent="0.3">
      <c r="A168" s="10"/>
      <c r="B168" s="11"/>
      <c r="C168" s="11"/>
      <c r="D168" s="11"/>
      <c r="E168" s="11"/>
      <c r="F168" s="11"/>
      <c r="G168" s="11"/>
      <c r="H168" s="11"/>
      <c r="I168" s="11"/>
      <c r="J168" s="11"/>
      <c r="K168" s="11"/>
      <c r="L168" s="11"/>
      <c r="M168" s="11"/>
      <c r="N168" s="11"/>
      <c r="O168" s="11"/>
      <c r="P168" s="11"/>
      <c r="Q168" s="11"/>
      <c r="R168" s="32"/>
      <c r="S168" s="216"/>
      <c r="T168" s="2"/>
    </row>
    <row r="169" spans="1:252" s="6" customFormat="1" ht="15.6" x14ac:dyDescent="0.3">
      <c r="A169" s="12"/>
      <c r="B169" s="41" t="s">
        <v>204</v>
      </c>
      <c r="C169" s="43"/>
      <c r="D169" s="43"/>
      <c r="E169" s="43"/>
      <c r="F169" s="43"/>
      <c r="G169" s="43"/>
      <c r="H169" s="43"/>
      <c r="I169" s="43"/>
      <c r="J169" s="43"/>
      <c r="K169" s="43"/>
      <c r="L169" s="43"/>
      <c r="M169" s="43"/>
      <c r="N169" s="43"/>
      <c r="O169" s="43"/>
      <c r="P169" s="43"/>
      <c r="Q169" s="43"/>
      <c r="R169" s="44"/>
      <c r="S169" s="217"/>
      <c r="T169" s="2"/>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row>
    <row r="170" spans="1:252" s="7" customFormat="1" ht="15.6" x14ac:dyDescent="0.3">
      <c r="A170" s="112"/>
      <c r="B170" s="113" t="s">
        <v>141</v>
      </c>
      <c r="C170" s="113"/>
      <c r="D170" s="113"/>
      <c r="E170" s="113"/>
      <c r="F170" s="113"/>
      <c r="G170" s="113"/>
      <c r="H170" s="113"/>
      <c r="I170" s="113"/>
      <c r="J170" s="113"/>
      <c r="K170" s="113"/>
      <c r="L170" s="113"/>
      <c r="M170" s="113"/>
      <c r="N170" s="113"/>
      <c r="O170" s="113"/>
      <c r="P170" s="113"/>
      <c r="Q170" s="113"/>
      <c r="R170" s="156">
        <f>+'Aug 16'!R173</f>
        <v>397</v>
      </c>
      <c r="S170" s="116"/>
      <c r="T170" s="2"/>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row>
    <row r="171" spans="1:252" s="7" customFormat="1" ht="15.6" x14ac:dyDescent="0.3">
      <c r="A171" s="112"/>
      <c r="B171" s="113" t="s">
        <v>283</v>
      </c>
      <c r="C171" s="113"/>
      <c r="D171" s="113"/>
      <c r="E171" s="113"/>
      <c r="F171" s="113"/>
      <c r="G171" s="113"/>
      <c r="H171" s="113"/>
      <c r="I171" s="113"/>
      <c r="J171" s="113"/>
      <c r="K171" s="113"/>
      <c r="L171" s="113"/>
      <c r="M171" s="113"/>
      <c r="N171" s="113"/>
      <c r="O171" s="113"/>
      <c r="P171" s="113"/>
      <c r="Q171" s="113"/>
      <c r="R171" s="156">
        <v>75</v>
      </c>
      <c r="S171" s="116"/>
      <c r="T171" s="2"/>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1:252" s="7" customFormat="1" ht="15.6" x14ac:dyDescent="0.3">
      <c r="A172" s="112"/>
      <c r="B172" s="113" t="s">
        <v>144</v>
      </c>
      <c r="C172" s="113"/>
      <c r="D172" s="113"/>
      <c r="E172" s="113"/>
      <c r="F172" s="113"/>
      <c r="G172" s="113"/>
      <c r="H172" s="113"/>
      <c r="I172" s="113"/>
      <c r="J172" s="113"/>
      <c r="K172" s="113"/>
      <c r="L172" s="113"/>
      <c r="M172" s="113"/>
      <c r="N172" s="113"/>
      <c r="O172" s="113"/>
      <c r="P172" s="113"/>
      <c r="Q172" s="113"/>
      <c r="R172" s="156">
        <f>+R92</f>
        <v>25</v>
      </c>
      <c r="S172" s="116"/>
      <c r="T172" s="2"/>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1:252" s="7" customFormat="1" ht="15.6" x14ac:dyDescent="0.3">
      <c r="A173" s="112"/>
      <c r="B173" s="113" t="s">
        <v>142</v>
      </c>
      <c r="C173" s="113"/>
      <c r="D173" s="113"/>
      <c r="E173" s="113"/>
      <c r="F173" s="113"/>
      <c r="G173" s="113"/>
      <c r="H173" s="113"/>
      <c r="I173" s="113"/>
      <c r="J173" s="113"/>
      <c r="K173" s="113"/>
      <c r="L173" s="113"/>
      <c r="M173" s="113"/>
      <c r="N173" s="113"/>
      <c r="O173" s="113"/>
      <c r="P173" s="113"/>
      <c r="Q173" s="113"/>
      <c r="R173" s="156">
        <f>R170+R171-R172</f>
        <v>447</v>
      </c>
      <c r="S173" s="116"/>
      <c r="T173" s="2"/>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1:252" s="8" customFormat="1" ht="16.2" thickBot="1" x14ac:dyDescent="0.35">
      <c r="A174" s="28"/>
      <c r="B174" s="43"/>
      <c r="C174" s="43"/>
      <c r="D174" s="43"/>
      <c r="E174" s="43"/>
      <c r="F174" s="43"/>
      <c r="G174" s="43"/>
      <c r="H174" s="43"/>
      <c r="I174" s="43"/>
      <c r="J174" s="43"/>
      <c r="K174" s="43"/>
      <c r="L174" s="43"/>
      <c r="M174" s="43"/>
      <c r="N174" s="43"/>
      <c r="O174" s="43"/>
      <c r="P174" s="43"/>
      <c r="Q174" s="43"/>
      <c r="R174" s="162"/>
      <c r="S174" s="217"/>
      <c r="T174" s="2"/>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1:252" s="9" customFormat="1" ht="15.6" x14ac:dyDescent="0.3">
      <c r="A175" s="10"/>
      <c r="B175" s="11"/>
      <c r="C175" s="11"/>
      <c r="D175" s="11"/>
      <c r="E175" s="11"/>
      <c r="F175" s="11"/>
      <c r="G175" s="11"/>
      <c r="H175" s="11"/>
      <c r="I175" s="11"/>
      <c r="J175" s="11"/>
      <c r="K175" s="11"/>
      <c r="L175" s="11"/>
      <c r="M175" s="11"/>
      <c r="N175" s="11"/>
      <c r="O175" s="11"/>
      <c r="P175" s="11"/>
      <c r="Q175" s="11"/>
      <c r="R175" s="32"/>
      <c r="S175" s="216"/>
      <c r="T175" s="2"/>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row>
    <row r="176" spans="1:252" ht="15.6" x14ac:dyDescent="0.3">
      <c r="A176" s="12"/>
      <c r="B176" s="41" t="s">
        <v>44</v>
      </c>
      <c r="C176" s="14"/>
      <c r="D176" s="14"/>
      <c r="E176" s="14"/>
      <c r="F176" s="14"/>
      <c r="G176" s="14"/>
      <c r="H176" s="14"/>
      <c r="I176" s="14"/>
      <c r="J176" s="14"/>
      <c r="K176" s="14"/>
      <c r="L176" s="14"/>
      <c r="M176" s="14"/>
      <c r="N176" s="14"/>
      <c r="O176" s="14"/>
      <c r="P176" s="14"/>
      <c r="Q176" s="14"/>
      <c r="R176" s="33"/>
      <c r="S176" s="217"/>
      <c r="T176" s="2"/>
    </row>
    <row r="177" spans="1:20" ht="15.6" x14ac:dyDescent="0.3">
      <c r="A177" s="12"/>
      <c r="B177" s="22"/>
      <c r="C177" s="14"/>
      <c r="D177" s="14"/>
      <c r="E177" s="14"/>
      <c r="F177" s="14"/>
      <c r="G177" s="14"/>
      <c r="H177" s="14"/>
      <c r="I177" s="14"/>
      <c r="J177" s="14"/>
      <c r="K177" s="14"/>
      <c r="L177" s="14"/>
      <c r="M177" s="14"/>
      <c r="N177" s="14"/>
      <c r="O177" s="14"/>
      <c r="P177" s="14"/>
      <c r="Q177" s="14"/>
      <c r="R177" s="33"/>
      <c r="S177" s="217"/>
      <c r="T177" s="2"/>
    </row>
    <row r="178" spans="1:20" ht="15.6" x14ac:dyDescent="0.3">
      <c r="A178" s="112"/>
      <c r="B178" s="113" t="s">
        <v>172</v>
      </c>
      <c r="C178" s="113"/>
      <c r="D178" s="113"/>
      <c r="E178" s="113"/>
      <c r="F178" s="113"/>
      <c r="G178" s="113"/>
      <c r="H178" s="113"/>
      <c r="I178" s="113"/>
      <c r="J178" s="113"/>
      <c r="K178" s="113"/>
      <c r="L178" s="113"/>
      <c r="M178" s="113"/>
      <c r="N178" s="113"/>
      <c r="O178" s="113"/>
      <c r="P178" s="113"/>
      <c r="Q178" s="113"/>
      <c r="R178" s="156">
        <f>+R67</f>
        <v>267459</v>
      </c>
      <c r="S178" s="116"/>
      <c r="T178" s="2"/>
    </row>
    <row r="179" spans="1:20" ht="15.6" x14ac:dyDescent="0.3">
      <c r="A179" s="112"/>
      <c r="B179" s="113" t="s">
        <v>173</v>
      </c>
      <c r="C179" s="113"/>
      <c r="D179" s="113"/>
      <c r="E179" s="113"/>
      <c r="F179" s="113"/>
      <c r="G179" s="113"/>
      <c r="H179" s="113"/>
      <c r="I179" s="113"/>
      <c r="J179" s="113"/>
      <c r="K179" s="113"/>
      <c r="L179" s="113"/>
      <c r="M179" s="113"/>
      <c r="N179" s="113"/>
      <c r="O179" s="113"/>
      <c r="P179" s="113"/>
      <c r="Q179" s="113"/>
      <c r="R179" s="156">
        <f>+R77</f>
        <v>0</v>
      </c>
      <c r="S179" s="116"/>
      <c r="T179" s="2"/>
    </row>
    <row r="180" spans="1:20" ht="15.6" x14ac:dyDescent="0.3">
      <c r="A180" s="112"/>
      <c r="B180" s="113" t="s">
        <v>216</v>
      </c>
      <c r="C180" s="113"/>
      <c r="D180" s="113"/>
      <c r="E180" s="113"/>
      <c r="F180" s="113"/>
      <c r="G180" s="113"/>
      <c r="H180" s="113"/>
      <c r="I180" s="113"/>
      <c r="J180" s="113"/>
      <c r="K180" s="113"/>
      <c r="L180" s="113"/>
      <c r="M180" s="113"/>
      <c r="N180" s="113"/>
      <c r="O180" s="113"/>
      <c r="P180" s="113"/>
      <c r="Q180" s="113"/>
      <c r="R180" s="156">
        <f>+R78</f>
        <v>1166</v>
      </c>
      <c r="S180" s="116"/>
      <c r="T180" s="2"/>
    </row>
    <row r="181" spans="1:20" ht="15.6" x14ac:dyDescent="0.3">
      <c r="A181" s="112"/>
      <c r="B181" s="113" t="s">
        <v>126</v>
      </c>
      <c r="C181" s="113"/>
      <c r="D181" s="113"/>
      <c r="E181" s="113"/>
      <c r="F181" s="113"/>
      <c r="G181" s="113"/>
      <c r="H181" s="113"/>
      <c r="I181" s="113"/>
      <c r="J181" s="113"/>
      <c r="K181" s="113"/>
      <c r="L181" s="113"/>
      <c r="M181" s="113"/>
      <c r="N181" s="113"/>
      <c r="O181" s="113"/>
      <c r="P181" s="113"/>
      <c r="Q181" s="113"/>
      <c r="R181" s="156">
        <f>+R178+R179+R180</f>
        <v>268625</v>
      </c>
      <c r="S181" s="116"/>
      <c r="T181" s="2"/>
    </row>
    <row r="182" spans="1:20" ht="15.6" x14ac:dyDescent="0.3">
      <c r="A182" s="112"/>
      <c r="B182" s="113" t="s">
        <v>45</v>
      </c>
      <c r="C182" s="113"/>
      <c r="D182" s="113"/>
      <c r="E182" s="113"/>
      <c r="F182" s="113"/>
      <c r="G182" s="113"/>
      <c r="H182" s="113"/>
      <c r="I182" s="113"/>
      <c r="J182" s="113"/>
      <c r="K182" s="113"/>
      <c r="L182" s="113"/>
      <c r="M182" s="113"/>
      <c r="N182" s="113"/>
      <c r="O182" s="113"/>
      <c r="P182" s="113"/>
      <c r="Q182" s="113"/>
      <c r="R182" s="156">
        <f>R80</f>
        <v>268625</v>
      </c>
      <c r="S182" s="116"/>
      <c r="T182" s="2"/>
    </row>
    <row r="183" spans="1:20" ht="16.2" thickBot="1" x14ac:dyDescent="0.35">
      <c r="A183" s="12"/>
      <c r="B183" s="43"/>
      <c r="C183" s="43"/>
      <c r="D183" s="43"/>
      <c r="E183" s="43"/>
      <c r="F183" s="43"/>
      <c r="G183" s="43"/>
      <c r="H183" s="43"/>
      <c r="I183" s="43"/>
      <c r="J183" s="43"/>
      <c r="K183" s="43"/>
      <c r="L183" s="43"/>
      <c r="M183" s="43"/>
      <c r="N183" s="43"/>
      <c r="O183" s="43"/>
      <c r="P183" s="43"/>
      <c r="Q183" s="43"/>
      <c r="R183" s="162"/>
      <c r="S183" s="217"/>
      <c r="T183" s="2"/>
    </row>
    <row r="184" spans="1:20" ht="15.6" x14ac:dyDescent="0.3">
      <c r="A184" s="10"/>
      <c r="B184" s="11"/>
      <c r="C184" s="11"/>
      <c r="D184" s="11"/>
      <c r="E184" s="11"/>
      <c r="F184" s="11"/>
      <c r="G184" s="11"/>
      <c r="H184" s="11"/>
      <c r="I184" s="11"/>
      <c r="J184" s="11"/>
      <c r="K184" s="11"/>
      <c r="L184" s="11"/>
      <c r="M184" s="11"/>
      <c r="N184" s="11"/>
      <c r="O184" s="11"/>
      <c r="P184" s="11"/>
      <c r="Q184" s="11"/>
      <c r="R184" s="32"/>
      <c r="S184" s="216"/>
      <c r="T184" s="2"/>
    </row>
    <row r="185" spans="1:20" ht="15.6" x14ac:dyDescent="0.3">
      <c r="A185" s="12"/>
      <c r="B185" s="41" t="s">
        <v>46</v>
      </c>
      <c r="C185" s="37"/>
      <c r="D185" s="45"/>
      <c r="E185" s="45"/>
      <c r="F185" s="45"/>
      <c r="G185" s="45"/>
      <c r="H185" s="45"/>
      <c r="I185" s="45"/>
      <c r="J185" s="45"/>
      <c r="K185" s="45"/>
      <c r="L185" s="45"/>
      <c r="M185" s="45"/>
      <c r="N185" s="45"/>
      <c r="O185" s="45" t="s">
        <v>82</v>
      </c>
      <c r="P185" s="45" t="s">
        <v>170</v>
      </c>
      <c r="Q185" s="16"/>
      <c r="R185" s="46" t="s">
        <v>94</v>
      </c>
      <c r="S185" s="224"/>
      <c r="T185" s="2"/>
    </row>
    <row r="186" spans="1:20" ht="15.6" x14ac:dyDescent="0.3">
      <c r="A186" s="112"/>
      <c r="B186" s="113" t="s">
        <v>47</v>
      </c>
      <c r="C186" s="113"/>
      <c r="D186" s="113"/>
      <c r="E186" s="113"/>
      <c r="F186" s="113"/>
      <c r="G186" s="113"/>
      <c r="H186" s="113"/>
      <c r="I186" s="113"/>
      <c r="J186" s="113"/>
      <c r="K186" s="113"/>
      <c r="L186" s="113"/>
      <c r="M186" s="113"/>
      <c r="N186" s="113"/>
      <c r="O186" s="156">
        <f>+R31*0.08</f>
        <v>24000.720000000001</v>
      </c>
      <c r="P186" s="145"/>
      <c r="Q186" s="113"/>
      <c r="R186" s="156"/>
      <c r="S186" s="116"/>
      <c r="T186" s="2"/>
    </row>
    <row r="187" spans="1:20" ht="15.6" x14ac:dyDescent="0.3">
      <c r="A187" s="112"/>
      <c r="B187" s="113" t="s">
        <v>48</v>
      </c>
      <c r="C187" s="113"/>
      <c r="D187" s="113"/>
      <c r="E187" s="113"/>
      <c r="F187" s="113"/>
      <c r="G187" s="113"/>
      <c r="H187" s="113"/>
      <c r="I187" s="113"/>
      <c r="J187" s="113"/>
      <c r="K187" s="113"/>
      <c r="L187" s="113"/>
      <c r="M187" s="113"/>
      <c r="N187" s="113"/>
      <c r="O187" s="156">
        <f>+'Aug 16'!O189</f>
        <v>499</v>
      </c>
      <c r="P187" s="156">
        <f>+'Aug 16'!P189</f>
        <v>678</v>
      </c>
      <c r="Q187" s="113"/>
      <c r="R187" s="156">
        <f>O187+P187</f>
        <v>1177</v>
      </c>
      <c r="S187" s="116"/>
      <c r="T187" s="2"/>
    </row>
    <row r="188" spans="1:20" ht="15.6" x14ac:dyDescent="0.3">
      <c r="A188" s="112"/>
      <c r="B188" s="113" t="s">
        <v>49</v>
      </c>
      <c r="C188" s="113"/>
      <c r="D188" s="113"/>
      <c r="E188" s="113"/>
      <c r="F188" s="113"/>
      <c r="G188" s="113"/>
      <c r="H188" s="113"/>
      <c r="I188" s="113"/>
      <c r="J188" s="113"/>
      <c r="K188" s="113"/>
      <c r="L188" s="113"/>
      <c r="M188" s="113"/>
      <c r="N188" s="113"/>
      <c r="O188" s="155">
        <v>0</v>
      </c>
      <c r="P188" s="155">
        <v>10</v>
      </c>
      <c r="Q188" s="113"/>
      <c r="R188" s="156">
        <f>O188+P188</f>
        <v>10</v>
      </c>
      <c r="S188" s="116"/>
      <c r="T188" s="2"/>
    </row>
    <row r="189" spans="1:20" ht="15.6" x14ac:dyDescent="0.3">
      <c r="A189" s="112"/>
      <c r="B189" s="113" t="s">
        <v>50</v>
      </c>
      <c r="C189" s="113"/>
      <c r="D189" s="113"/>
      <c r="E189" s="113"/>
      <c r="F189" s="113"/>
      <c r="G189" s="113"/>
      <c r="H189" s="113"/>
      <c r="I189" s="113"/>
      <c r="J189" s="113"/>
      <c r="K189" s="113"/>
      <c r="L189" s="113"/>
      <c r="M189" s="113"/>
      <c r="N189" s="113"/>
      <c r="O189" s="156">
        <f>O187+O188</f>
        <v>499</v>
      </c>
      <c r="P189" s="156">
        <f>P188+P187</f>
        <v>688</v>
      </c>
      <c r="Q189" s="113"/>
      <c r="R189" s="156">
        <f>O189+P189</f>
        <v>1187</v>
      </c>
      <c r="S189" s="116"/>
      <c r="T189" s="2"/>
    </row>
    <row r="190" spans="1:20" ht="15.6" x14ac:dyDescent="0.3">
      <c r="A190" s="112"/>
      <c r="B190" s="113" t="s">
        <v>51</v>
      </c>
      <c r="C190" s="113"/>
      <c r="D190" s="113"/>
      <c r="E190" s="113"/>
      <c r="F190" s="113"/>
      <c r="G190" s="113"/>
      <c r="H190" s="113"/>
      <c r="I190" s="113"/>
      <c r="J190" s="113"/>
      <c r="K190" s="113"/>
      <c r="L190" s="113"/>
      <c r="M190" s="113"/>
      <c r="N190" s="113"/>
      <c r="O190" s="156">
        <f>O186-O189-P189</f>
        <v>22813.72</v>
      </c>
      <c r="P190" s="145"/>
      <c r="Q190" s="113"/>
      <c r="R190" s="156"/>
      <c r="S190" s="116"/>
      <c r="T190" s="2"/>
    </row>
    <row r="191" spans="1:20" ht="16.2" thickBot="1" x14ac:dyDescent="0.35">
      <c r="A191" s="12"/>
      <c r="B191" s="43"/>
      <c r="C191" s="43"/>
      <c r="D191" s="43"/>
      <c r="E191" s="43"/>
      <c r="F191" s="43"/>
      <c r="G191" s="43"/>
      <c r="H191" s="43"/>
      <c r="I191" s="43"/>
      <c r="J191" s="43"/>
      <c r="K191" s="43"/>
      <c r="L191" s="43"/>
      <c r="M191" s="43"/>
      <c r="N191" s="43"/>
      <c r="O191" s="43"/>
      <c r="P191" s="43"/>
      <c r="Q191" s="43"/>
      <c r="R191" s="162"/>
      <c r="S191" s="217"/>
      <c r="T191" s="2"/>
    </row>
    <row r="192" spans="1:20" ht="15.6" x14ac:dyDescent="0.3">
      <c r="A192" s="10"/>
      <c r="B192" s="11"/>
      <c r="C192" s="11"/>
      <c r="D192" s="11"/>
      <c r="E192" s="11"/>
      <c r="F192" s="11"/>
      <c r="G192" s="11"/>
      <c r="H192" s="11"/>
      <c r="I192" s="11"/>
      <c r="J192" s="11"/>
      <c r="K192" s="11"/>
      <c r="L192" s="11"/>
      <c r="M192" s="11"/>
      <c r="N192" s="11"/>
      <c r="O192" s="11"/>
      <c r="P192" s="11"/>
      <c r="Q192" s="11"/>
      <c r="R192" s="32"/>
      <c r="S192" s="216"/>
      <c r="T192" s="2"/>
    </row>
    <row r="193" spans="1:20" ht="15.6" x14ac:dyDescent="0.3">
      <c r="A193" s="12"/>
      <c r="B193" s="41" t="s">
        <v>52</v>
      </c>
      <c r="C193" s="14"/>
      <c r="D193" s="14"/>
      <c r="E193" s="14"/>
      <c r="F193" s="14"/>
      <c r="G193" s="14"/>
      <c r="H193" s="14"/>
      <c r="I193" s="14"/>
      <c r="J193" s="14"/>
      <c r="K193" s="14"/>
      <c r="L193" s="14"/>
      <c r="M193" s="14"/>
      <c r="N193" s="14"/>
      <c r="O193" s="14"/>
      <c r="P193" s="14"/>
      <c r="Q193" s="14"/>
      <c r="R193" s="47"/>
      <c r="S193" s="217"/>
      <c r="T193" s="2"/>
    </row>
    <row r="194" spans="1:20" ht="15.6" x14ac:dyDescent="0.3">
      <c r="A194" s="112"/>
      <c r="B194" s="113" t="s">
        <v>53</v>
      </c>
      <c r="C194" s="113"/>
      <c r="D194" s="113"/>
      <c r="E194" s="113"/>
      <c r="F194" s="113"/>
      <c r="G194" s="113"/>
      <c r="H194" s="113"/>
      <c r="I194" s="113"/>
      <c r="J194" s="113"/>
      <c r="K194" s="113"/>
      <c r="L194" s="113"/>
      <c r="M194" s="113"/>
      <c r="N194" s="113"/>
      <c r="O194" s="113"/>
      <c r="P194" s="113"/>
      <c r="Q194" s="113"/>
      <c r="R194" s="161">
        <f>(R100+R102+R103+R104+R105)/-(R106+R107)</f>
        <v>3.6527777777777777</v>
      </c>
      <c r="S194" s="116" t="s">
        <v>95</v>
      </c>
      <c r="T194" s="2"/>
    </row>
    <row r="195" spans="1:20" ht="15.6" x14ac:dyDescent="0.3">
      <c r="A195" s="112"/>
      <c r="B195" s="113" t="s">
        <v>54</v>
      </c>
      <c r="C195" s="113"/>
      <c r="D195" s="113"/>
      <c r="E195" s="113"/>
      <c r="F195" s="113"/>
      <c r="G195" s="113"/>
      <c r="H195" s="113"/>
      <c r="I195" s="113"/>
      <c r="J195" s="113"/>
      <c r="K195" s="113"/>
      <c r="L195" s="113"/>
      <c r="M195" s="113"/>
      <c r="N195" s="113"/>
      <c r="O195" s="113"/>
      <c r="P195" s="113"/>
      <c r="Q195" s="113"/>
      <c r="R195" s="241">
        <v>3.24</v>
      </c>
      <c r="S195" s="116" t="s">
        <v>95</v>
      </c>
      <c r="T195" s="2"/>
    </row>
    <row r="196" spans="1:20" ht="15.6" x14ac:dyDescent="0.3">
      <c r="A196" s="112"/>
      <c r="B196" s="113" t="s">
        <v>183</v>
      </c>
      <c r="C196" s="113"/>
      <c r="D196" s="113"/>
      <c r="E196" s="113"/>
      <c r="F196" s="113"/>
      <c r="G196" s="113"/>
      <c r="H196" s="113"/>
      <c r="I196" s="113"/>
      <c r="J196" s="113"/>
      <c r="K196" s="113"/>
      <c r="L196" s="113"/>
      <c r="M196" s="113"/>
      <c r="N196" s="113"/>
      <c r="O196" s="113"/>
      <c r="P196" s="113"/>
      <c r="Q196" s="113"/>
      <c r="R196" s="242">
        <f>(R100+R102+R103+R104+R105+R106+R107)/-(R108)</f>
        <v>40.403846153846153</v>
      </c>
      <c r="S196" s="116" t="s">
        <v>95</v>
      </c>
      <c r="T196" s="2"/>
    </row>
    <row r="197" spans="1:20" ht="15.6" x14ac:dyDescent="0.3">
      <c r="A197" s="112"/>
      <c r="B197" s="113" t="s">
        <v>184</v>
      </c>
      <c r="C197" s="113"/>
      <c r="D197" s="113"/>
      <c r="E197" s="113"/>
      <c r="F197" s="113"/>
      <c r="G197" s="113"/>
      <c r="H197" s="113"/>
      <c r="I197" s="113"/>
      <c r="J197" s="113"/>
      <c r="K197" s="113"/>
      <c r="L197" s="113"/>
      <c r="M197" s="113"/>
      <c r="N197" s="113"/>
      <c r="O197" s="113"/>
      <c r="P197" s="113"/>
      <c r="Q197" s="113"/>
      <c r="R197" s="241">
        <v>36.99</v>
      </c>
      <c r="S197" s="116" t="s">
        <v>95</v>
      </c>
      <c r="T197" s="2"/>
    </row>
    <row r="198" spans="1:20" ht="15.6" x14ac:dyDescent="0.3">
      <c r="A198" s="112"/>
      <c r="B198" s="113" t="s">
        <v>185</v>
      </c>
      <c r="C198" s="113"/>
      <c r="D198" s="113"/>
      <c r="E198" s="113"/>
      <c r="F198" s="113"/>
      <c r="G198" s="113"/>
      <c r="H198" s="113"/>
      <c r="I198" s="113"/>
      <c r="J198" s="113"/>
      <c r="K198" s="113"/>
      <c r="L198" s="113"/>
      <c r="M198" s="113"/>
      <c r="N198" s="113"/>
      <c r="O198" s="113"/>
      <c r="P198" s="113"/>
      <c r="Q198" s="113"/>
      <c r="R198" s="242">
        <f>(R100+R102+R103+R104+R105+R106+R107+R108)/-(R109)</f>
        <v>33.590163934426229</v>
      </c>
      <c r="S198" s="116" t="s">
        <v>95</v>
      </c>
      <c r="T198" s="2"/>
    </row>
    <row r="199" spans="1:20" ht="15.6" x14ac:dyDescent="0.3">
      <c r="A199" s="112"/>
      <c r="B199" s="113" t="s">
        <v>186</v>
      </c>
      <c r="C199" s="113"/>
      <c r="D199" s="113"/>
      <c r="E199" s="113"/>
      <c r="F199" s="113"/>
      <c r="G199" s="113"/>
      <c r="H199" s="113"/>
      <c r="I199" s="113"/>
      <c r="J199" s="113"/>
      <c r="K199" s="113"/>
      <c r="L199" s="113"/>
      <c r="M199" s="113"/>
      <c r="N199" s="113"/>
      <c r="O199" s="113"/>
      <c r="P199" s="113"/>
      <c r="Q199" s="113"/>
      <c r="R199" s="241">
        <v>31.1</v>
      </c>
      <c r="S199" s="116" t="s">
        <v>95</v>
      </c>
      <c r="T199" s="2"/>
    </row>
    <row r="200" spans="1:20" ht="15.6" x14ac:dyDescent="0.3">
      <c r="A200" s="112"/>
      <c r="B200" s="113" t="s">
        <v>257</v>
      </c>
      <c r="C200" s="113"/>
      <c r="D200" s="113"/>
      <c r="E200" s="113"/>
      <c r="F200" s="113"/>
      <c r="G200" s="113"/>
      <c r="H200" s="113"/>
      <c r="I200" s="113"/>
      <c r="J200" s="113"/>
      <c r="K200" s="113"/>
      <c r="L200" s="113"/>
      <c r="M200" s="113"/>
      <c r="N200" s="113"/>
      <c r="O200" s="113"/>
      <c r="P200" s="113"/>
      <c r="Q200" s="113"/>
      <c r="R200" s="242">
        <f>(R100+R102+R103+R104+R105+R106+R107+R108+R109+R110+R111+R112+R113+R114)/-(R115)</f>
        <v>43.733333333333334</v>
      </c>
      <c r="S200" s="116" t="s">
        <v>95</v>
      </c>
      <c r="T200" s="2"/>
    </row>
    <row r="201" spans="1:20" ht="15.6" x14ac:dyDescent="0.3">
      <c r="A201" s="112"/>
      <c r="B201" s="113" t="s">
        <v>258</v>
      </c>
      <c r="C201" s="113"/>
      <c r="D201" s="113"/>
      <c r="E201" s="113"/>
      <c r="F201" s="113"/>
      <c r="G201" s="113"/>
      <c r="H201" s="113"/>
      <c r="I201" s="113"/>
      <c r="J201" s="113"/>
      <c r="K201" s="113"/>
      <c r="L201" s="113"/>
      <c r="M201" s="113"/>
      <c r="N201" s="113"/>
      <c r="O201" s="113"/>
      <c r="P201" s="113"/>
      <c r="Q201" s="113"/>
      <c r="R201" s="241">
        <v>41.03</v>
      </c>
      <c r="S201" s="116" t="s">
        <v>95</v>
      </c>
      <c r="T201" s="2"/>
    </row>
    <row r="202" spans="1:20" ht="15.6" x14ac:dyDescent="0.3">
      <c r="A202" s="112"/>
      <c r="B202" s="113"/>
      <c r="C202" s="113"/>
      <c r="D202" s="113"/>
      <c r="E202" s="113"/>
      <c r="F202" s="113"/>
      <c r="G202" s="113"/>
      <c r="H202" s="113"/>
      <c r="I202" s="113"/>
      <c r="J202" s="113"/>
      <c r="K202" s="113"/>
      <c r="L202" s="113"/>
      <c r="M202" s="113"/>
      <c r="N202" s="113"/>
      <c r="O202" s="113"/>
      <c r="P202" s="113"/>
      <c r="Q202" s="113"/>
      <c r="R202" s="113"/>
      <c r="S202" s="116"/>
      <c r="T202" s="2"/>
    </row>
    <row r="203" spans="1:20" ht="15.6" x14ac:dyDescent="0.3">
      <c r="A203" s="12"/>
      <c r="B203" s="163"/>
      <c r="C203" s="163"/>
      <c r="D203" s="163"/>
      <c r="E203" s="163"/>
      <c r="F203" s="163"/>
      <c r="G203" s="163"/>
      <c r="H203" s="163"/>
      <c r="I203" s="163"/>
      <c r="J203" s="163"/>
      <c r="K203" s="163"/>
      <c r="L203" s="163"/>
      <c r="M203" s="163"/>
      <c r="N203" s="163"/>
      <c r="O203" s="163"/>
      <c r="P203" s="163"/>
      <c r="Q203" s="163"/>
      <c r="R203" s="163"/>
      <c r="S203" s="218"/>
      <c r="T203" s="2"/>
    </row>
    <row r="204" spans="1:20" ht="15.6" x14ac:dyDescent="0.3">
      <c r="A204" s="12"/>
      <c r="B204" s="84"/>
      <c r="C204" s="84"/>
      <c r="D204" s="84"/>
      <c r="E204" s="84"/>
      <c r="F204" s="84"/>
      <c r="G204" s="84"/>
      <c r="H204" s="84"/>
      <c r="I204" s="84"/>
      <c r="J204" s="84"/>
      <c r="K204" s="84"/>
      <c r="L204" s="84"/>
      <c r="M204" s="84"/>
      <c r="N204" s="84"/>
      <c r="O204" s="84"/>
      <c r="P204" s="84"/>
      <c r="Q204" s="84"/>
      <c r="R204" s="84"/>
      <c r="S204" s="218"/>
      <c r="T204" s="2"/>
    </row>
    <row r="205" spans="1:20" ht="18" thickBot="1" x14ac:dyDescent="0.35">
      <c r="A205" s="28"/>
      <c r="B205" s="97" t="str">
        <f>B132</f>
        <v>PM22 INVESTOR REPORT QUARTER ENDING NOVEMBER 2016</v>
      </c>
      <c r="C205" s="98"/>
      <c r="D205" s="98"/>
      <c r="E205" s="98"/>
      <c r="F205" s="98"/>
      <c r="G205" s="98"/>
      <c r="H205" s="98"/>
      <c r="I205" s="98"/>
      <c r="J205" s="98"/>
      <c r="K205" s="98"/>
      <c r="L205" s="98"/>
      <c r="M205" s="98"/>
      <c r="N205" s="98"/>
      <c r="O205" s="98"/>
      <c r="P205" s="98"/>
      <c r="Q205" s="98"/>
      <c r="R205" s="98"/>
      <c r="S205" s="99"/>
      <c r="T205" s="2"/>
    </row>
    <row r="206" spans="1:20" ht="15.6" x14ac:dyDescent="0.3">
      <c r="A206" s="65"/>
      <c r="B206" s="66" t="s">
        <v>55</v>
      </c>
      <c r="C206" s="69"/>
      <c r="D206" s="70"/>
      <c r="E206" s="70"/>
      <c r="F206" s="70"/>
      <c r="G206" s="70"/>
      <c r="H206" s="70"/>
      <c r="I206" s="70"/>
      <c r="J206" s="70"/>
      <c r="K206" s="70"/>
      <c r="L206" s="70"/>
      <c r="M206" s="70"/>
      <c r="N206" s="70"/>
      <c r="O206" s="70"/>
      <c r="P206" s="70">
        <v>42704</v>
      </c>
      <c r="Q206" s="67"/>
      <c r="R206" s="67"/>
      <c r="S206" s="223"/>
      <c r="T206" s="2"/>
    </row>
    <row r="207" spans="1:20" ht="15.6" x14ac:dyDescent="0.3">
      <c r="A207" s="48"/>
      <c r="B207" s="49"/>
      <c r="C207" s="50"/>
      <c r="D207" s="51"/>
      <c r="E207" s="51"/>
      <c r="F207" s="51"/>
      <c r="G207" s="51"/>
      <c r="H207" s="51"/>
      <c r="I207" s="51"/>
      <c r="J207" s="51"/>
      <c r="K207" s="51"/>
      <c r="L207" s="51"/>
      <c r="M207" s="51"/>
      <c r="N207" s="51"/>
      <c r="O207" s="51"/>
      <c r="P207" s="51"/>
      <c r="Q207" s="14"/>
      <c r="R207" s="14"/>
      <c r="S207" s="217"/>
      <c r="T207" s="2"/>
    </row>
    <row r="208" spans="1:20" ht="15.6" x14ac:dyDescent="0.3">
      <c r="A208" s="166"/>
      <c r="B208" s="113" t="s">
        <v>56</v>
      </c>
      <c r="C208" s="167"/>
      <c r="D208" s="148"/>
      <c r="E208" s="148"/>
      <c r="F208" s="148"/>
      <c r="G208" s="148"/>
      <c r="H208" s="148"/>
      <c r="I208" s="148"/>
      <c r="J208" s="148"/>
      <c r="K208" s="148"/>
      <c r="L208" s="148"/>
      <c r="M208" s="148"/>
      <c r="N208" s="148"/>
      <c r="O208" s="148"/>
      <c r="P208" s="142">
        <v>4.079E-2</v>
      </c>
      <c r="Q208" s="113"/>
      <c r="R208" s="113"/>
      <c r="S208" s="116"/>
      <c r="T208" s="2"/>
    </row>
    <row r="209" spans="1:20" ht="15.6" x14ac:dyDescent="0.3">
      <c r="A209" s="166"/>
      <c r="B209" s="113" t="s">
        <v>158</v>
      </c>
      <c r="C209" s="167"/>
      <c r="D209" s="148"/>
      <c r="E209" s="148"/>
      <c r="F209" s="148"/>
      <c r="G209" s="148"/>
      <c r="H209" s="148"/>
      <c r="I209" s="148"/>
      <c r="J209" s="148"/>
      <c r="K209" s="148"/>
      <c r="L209" s="148"/>
      <c r="M209" s="148"/>
      <c r="N209" s="148"/>
      <c r="O209" s="148"/>
      <c r="P209" s="142">
        <v>1.5340718167454973E-2</v>
      </c>
      <c r="Q209" s="113"/>
      <c r="R209" s="113"/>
      <c r="S209" s="116"/>
      <c r="T209" s="2"/>
    </row>
    <row r="210" spans="1:20" ht="15.6" x14ac:dyDescent="0.3">
      <c r="A210" s="166"/>
      <c r="B210" s="113" t="s">
        <v>57</v>
      </c>
      <c r="C210" s="167"/>
      <c r="D210" s="148"/>
      <c r="E210" s="148"/>
      <c r="F210" s="148"/>
      <c r="G210" s="148"/>
      <c r="H210" s="148"/>
      <c r="I210" s="148"/>
      <c r="J210" s="148"/>
      <c r="K210" s="148"/>
      <c r="L210" s="148"/>
      <c r="M210" s="148"/>
      <c r="N210" s="148"/>
      <c r="O210" s="148"/>
      <c r="P210" s="210">
        <f>P208-P209</f>
        <v>2.5449281832545027E-2</v>
      </c>
      <c r="Q210" s="113"/>
      <c r="R210" s="113"/>
      <c r="S210" s="116"/>
      <c r="T210" s="2"/>
    </row>
    <row r="211" spans="1:20" ht="15.6" x14ac:dyDescent="0.3">
      <c r="A211" s="166"/>
      <c r="B211" s="113" t="s">
        <v>161</v>
      </c>
      <c r="C211" s="167"/>
      <c r="D211" s="148"/>
      <c r="E211" s="148"/>
      <c r="F211" s="148"/>
      <c r="G211" s="148"/>
      <c r="H211" s="148"/>
      <c r="I211" s="148"/>
      <c r="J211" s="148"/>
      <c r="K211" s="148"/>
      <c r="L211" s="148"/>
      <c r="M211" s="148"/>
      <c r="N211" s="148"/>
      <c r="O211" s="148"/>
      <c r="P211" s="210">
        <v>4.3793800000000001E-2</v>
      </c>
      <c r="Q211" s="113"/>
      <c r="R211" s="113"/>
      <c r="S211" s="116"/>
      <c r="T211" s="2"/>
    </row>
    <row r="212" spans="1:20" ht="15.6" x14ac:dyDescent="0.3">
      <c r="A212" s="166"/>
      <c r="B212" s="113" t="s">
        <v>58</v>
      </c>
      <c r="C212" s="167"/>
      <c r="D212" s="148"/>
      <c r="E212" s="148"/>
      <c r="F212" s="148"/>
      <c r="G212" s="148"/>
      <c r="H212" s="148"/>
      <c r="I212" s="148"/>
      <c r="J212" s="148"/>
      <c r="K212" s="148"/>
      <c r="L212" s="148"/>
      <c r="M212" s="148"/>
      <c r="N212" s="148"/>
      <c r="O212" s="148"/>
      <c r="P212" s="208">
        <v>4.1149999999999999E-2</v>
      </c>
      <c r="Q212" s="113"/>
      <c r="R212" s="113"/>
      <c r="S212" s="116"/>
      <c r="T212" s="2"/>
    </row>
    <row r="213" spans="1:20" ht="15.6" x14ac:dyDescent="0.3">
      <c r="A213" s="166"/>
      <c r="B213" s="113" t="s">
        <v>159</v>
      </c>
      <c r="C213" s="167"/>
      <c r="D213" s="148"/>
      <c r="E213" s="148"/>
      <c r="F213" s="148"/>
      <c r="G213" s="148"/>
      <c r="H213" s="148"/>
      <c r="I213" s="148"/>
      <c r="J213" s="148"/>
      <c r="K213" s="148"/>
      <c r="L213" s="148"/>
      <c r="M213" s="148"/>
      <c r="N213" s="148"/>
      <c r="O213" s="148"/>
      <c r="P213" s="142">
        <f>R40</f>
        <v>1.3671321290740775E-2</v>
      </c>
      <c r="Q213" s="113"/>
      <c r="R213" s="113"/>
      <c r="S213" s="116"/>
      <c r="T213" s="2"/>
    </row>
    <row r="214" spans="1:20" ht="15.6" x14ac:dyDescent="0.3">
      <c r="A214" s="166"/>
      <c r="B214" s="113" t="s">
        <v>59</v>
      </c>
      <c r="C214" s="167"/>
      <c r="D214" s="148"/>
      <c r="E214" s="148"/>
      <c r="F214" s="148"/>
      <c r="G214" s="148"/>
      <c r="H214" s="148"/>
      <c r="I214" s="148"/>
      <c r="J214" s="148"/>
      <c r="K214" s="148"/>
      <c r="L214" s="148"/>
      <c r="M214" s="148"/>
      <c r="N214" s="148"/>
      <c r="O214" s="148"/>
      <c r="P214" s="142">
        <f>P212-P213</f>
        <v>2.7478678709259224E-2</v>
      </c>
      <c r="Q214" s="113"/>
      <c r="R214" s="113"/>
      <c r="S214" s="116"/>
      <c r="T214" s="2"/>
    </row>
    <row r="215" spans="1:20" ht="15.6" x14ac:dyDescent="0.3">
      <c r="A215" s="166"/>
      <c r="B215" s="113" t="s">
        <v>139</v>
      </c>
      <c r="C215" s="167"/>
      <c r="D215" s="148"/>
      <c r="E215" s="148"/>
      <c r="F215" s="148"/>
      <c r="G215" s="148"/>
      <c r="H215" s="148"/>
      <c r="I215" s="148"/>
      <c r="J215" s="148"/>
      <c r="K215" s="148"/>
      <c r="L215" s="148"/>
      <c r="M215" s="148"/>
      <c r="N215" s="148"/>
      <c r="O215" s="148"/>
      <c r="P215" s="142">
        <f>(+R100+R102)/H80</f>
        <v>1.2117163707406769E-2</v>
      </c>
      <c r="Q215" s="113"/>
      <c r="R215" s="113"/>
      <c r="S215" s="116"/>
      <c r="T215" s="2"/>
    </row>
    <row r="216" spans="1:20" ht="15.6" x14ac:dyDescent="0.3">
      <c r="A216" s="166"/>
      <c r="B216" s="113" t="s">
        <v>132</v>
      </c>
      <c r="C216" s="167"/>
      <c r="D216" s="148"/>
      <c r="E216" s="148"/>
      <c r="F216" s="148"/>
      <c r="G216" s="148"/>
      <c r="H216" s="148"/>
      <c r="I216" s="148"/>
      <c r="J216" s="148"/>
      <c r="K216" s="148"/>
      <c r="L216" s="148"/>
      <c r="M216" s="148"/>
      <c r="N216" s="148"/>
      <c r="O216" s="148"/>
      <c r="P216" s="168">
        <v>52124</v>
      </c>
      <c r="Q216" s="113"/>
      <c r="R216" s="113"/>
      <c r="S216" s="116"/>
      <c r="T216" s="2"/>
    </row>
    <row r="217" spans="1:20" ht="15.6" x14ac:dyDescent="0.3">
      <c r="A217" s="166"/>
      <c r="B217" s="113" t="s">
        <v>187</v>
      </c>
      <c r="C217" s="167"/>
      <c r="D217" s="148"/>
      <c r="E217" s="148"/>
      <c r="F217" s="148"/>
      <c r="G217" s="148"/>
      <c r="H217" s="148"/>
      <c r="I217" s="148"/>
      <c r="J217" s="148"/>
      <c r="K217" s="148"/>
      <c r="L217" s="148"/>
      <c r="M217" s="148"/>
      <c r="N217" s="148"/>
      <c r="O217" s="148"/>
      <c r="P217" s="168">
        <v>15599</v>
      </c>
      <c r="Q217" s="113"/>
      <c r="R217" s="113"/>
      <c r="S217" s="116"/>
      <c r="T217" s="2"/>
    </row>
    <row r="218" spans="1:20" ht="15.6" x14ac:dyDescent="0.3">
      <c r="A218" s="166"/>
      <c r="B218" s="113" t="s">
        <v>188</v>
      </c>
      <c r="C218" s="167"/>
      <c r="D218" s="148"/>
      <c r="E218" s="148"/>
      <c r="F218" s="148"/>
      <c r="G218" s="148"/>
      <c r="H218" s="148"/>
      <c r="I218" s="148"/>
      <c r="J218" s="148"/>
      <c r="K218" s="148"/>
      <c r="L218" s="148"/>
      <c r="M218" s="148"/>
      <c r="N218" s="148"/>
      <c r="O218" s="148"/>
      <c r="P218" s="168">
        <v>15599</v>
      </c>
      <c r="Q218" s="113"/>
      <c r="R218" s="113"/>
      <c r="S218" s="116"/>
      <c r="T218" s="2"/>
    </row>
    <row r="219" spans="1:20" ht="15.6" x14ac:dyDescent="0.3">
      <c r="A219" s="166"/>
      <c r="B219" s="113" t="s">
        <v>259</v>
      </c>
      <c r="C219" s="167"/>
      <c r="D219" s="148"/>
      <c r="E219" s="148"/>
      <c r="F219" s="148"/>
      <c r="G219" s="148"/>
      <c r="H219" s="148"/>
      <c r="I219" s="148"/>
      <c r="J219" s="148"/>
      <c r="K219" s="148"/>
      <c r="L219" s="148"/>
      <c r="M219" s="148"/>
      <c r="N219" s="148"/>
      <c r="O219" s="148"/>
      <c r="P219" s="168">
        <v>15599</v>
      </c>
      <c r="Q219" s="113"/>
      <c r="R219" s="113"/>
      <c r="S219" s="116"/>
      <c r="T219" s="2"/>
    </row>
    <row r="220" spans="1:20" ht="15.6" x14ac:dyDescent="0.3">
      <c r="A220" s="166"/>
      <c r="B220" s="113" t="s">
        <v>60</v>
      </c>
      <c r="C220" s="167"/>
      <c r="D220" s="148"/>
      <c r="E220" s="148"/>
      <c r="F220" s="148"/>
      <c r="G220" s="148"/>
      <c r="H220" s="148"/>
      <c r="I220" s="148"/>
      <c r="J220" s="148"/>
      <c r="K220" s="148"/>
      <c r="L220" s="148"/>
      <c r="M220" s="148"/>
      <c r="N220" s="148"/>
      <c r="O220" s="148"/>
      <c r="P220" s="146">
        <v>20.55</v>
      </c>
      <c r="Q220" s="113" t="s">
        <v>90</v>
      </c>
      <c r="R220" s="113"/>
      <c r="S220" s="116"/>
      <c r="T220" s="2"/>
    </row>
    <row r="221" spans="1:20" ht="15.6" x14ac:dyDescent="0.3">
      <c r="A221" s="166"/>
      <c r="B221" s="113" t="s">
        <v>61</v>
      </c>
      <c r="C221" s="167"/>
      <c r="D221" s="148"/>
      <c r="E221" s="148"/>
      <c r="F221" s="148"/>
      <c r="G221" s="148"/>
      <c r="H221" s="148"/>
      <c r="I221" s="148"/>
      <c r="J221" s="148"/>
      <c r="K221" s="148"/>
      <c r="L221" s="148"/>
      <c r="M221" s="148"/>
      <c r="N221" s="148"/>
      <c r="O221" s="148"/>
      <c r="P221" s="209">
        <v>19</v>
      </c>
      <c r="Q221" s="113" t="s">
        <v>90</v>
      </c>
      <c r="R221" s="113"/>
      <c r="S221" s="116"/>
      <c r="T221" s="2"/>
    </row>
    <row r="222" spans="1:20" ht="15.6" x14ac:dyDescent="0.3">
      <c r="A222" s="166"/>
      <c r="B222" s="113" t="s">
        <v>62</v>
      </c>
      <c r="C222" s="167"/>
      <c r="D222" s="148"/>
      <c r="E222" s="148"/>
      <c r="F222" s="148"/>
      <c r="G222" s="148"/>
      <c r="H222" s="148"/>
      <c r="I222" s="148"/>
      <c r="J222" s="148"/>
      <c r="K222" s="148"/>
      <c r="L222" s="148"/>
      <c r="M222" s="148"/>
      <c r="N222" s="148"/>
      <c r="O222" s="148"/>
      <c r="P222" s="142">
        <f>(+J64+L64)/H64</f>
        <v>3.5462092743127935E-2</v>
      </c>
      <c r="Q222" s="113"/>
      <c r="R222" s="113"/>
      <c r="S222" s="116"/>
      <c r="T222" s="2"/>
    </row>
    <row r="223" spans="1:20" ht="15.6" x14ac:dyDescent="0.3">
      <c r="A223" s="166"/>
      <c r="B223" s="113" t="s">
        <v>63</v>
      </c>
      <c r="C223" s="167"/>
      <c r="D223" s="148"/>
      <c r="E223" s="148"/>
      <c r="F223" s="148"/>
      <c r="G223" s="148"/>
      <c r="H223" s="148"/>
      <c r="I223" s="148"/>
      <c r="J223" s="148"/>
      <c r="K223" s="148"/>
      <c r="L223" s="148"/>
      <c r="M223" s="148"/>
      <c r="N223" s="148"/>
      <c r="O223" s="148"/>
      <c r="P223" s="210">
        <v>6.1800000000000001E-2</v>
      </c>
      <c r="Q223" s="113"/>
      <c r="R223" s="113"/>
      <c r="S223" s="116"/>
      <c r="T223" s="2"/>
    </row>
    <row r="224" spans="1:20" ht="15.6" x14ac:dyDescent="0.3">
      <c r="A224" s="48"/>
      <c r="B224" s="164"/>
      <c r="C224" s="164"/>
      <c r="D224" s="43"/>
      <c r="E224" s="43"/>
      <c r="F224" s="43"/>
      <c r="G224" s="43"/>
      <c r="H224" s="43"/>
      <c r="I224" s="43"/>
      <c r="J224" s="43"/>
      <c r="K224" s="43"/>
      <c r="L224" s="43"/>
      <c r="M224" s="43"/>
      <c r="N224" s="43"/>
      <c r="O224" s="43"/>
      <c r="P224" s="162"/>
      <c r="Q224" s="43"/>
      <c r="R224" s="165"/>
      <c r="S224" s="217"/>
      <c r="T224" s="2"/>
    </row>
    <row r="225" spans="1:20" ht="15.6" x14ac:dyDescent="0.3">
      <c r="A225" s="71"/>
      <c r="B225" s="61" t="s">
        <v>64</v>
      </c>
      <c r="C225" s="62"/>
      <c r="D225" s="62"/>
      <c r="E225" s="62"/>
      <c r="F225" s="62"/>
      <c r="G225" s="62"/>
      <c r="H225" s="62"/>
      <c r="I225" s="62"/>
      <c r="J225" s="62"/>
      <c r="K225" s="62"/>
      <c r="L225" s="62"/>
      <c r="M225" s="62"/>
      <c r="N225" s="62"/>
      <c r="O225" s="62" t="s">
        <v>83</v>
      </c>
      <c r="P225" s="72" t="s">
        <v>88</v>
      </c>
      <c r="Q225" s="54"/>
      <c r="R225" s="54"/>
      <c r="S225" s="219"/>
      <c r="T225" s="2"/>
    </row>
    <row r="226" spans="1:20" ht="15.6" x14ac:dyDescent="0.3">
      <c r="A226" s="52"/>
      <c r="B226" s="79" t="s">
        <v>65</v>
      </c>
      <c r="C226" s="78"/>
      <c r="D226" s="95"/>
      <c r="E226" s="95"/>
      <c r="F226" s="95"/>
      <c r="G226" s="95"/>
      <c r="H226" s="95"/>
      <c r="I226" s="95"/>
      <c r="J226" s="95"/>
      <c r="K226" s="95"/>
      <c r="L226" s="95"/>
      <c r="M226" s="95"/>
      <c r="N226" s="95"/>
      <c r="O226" s="95">
        <v>0</v>
      </c>
      <c r="P226" s="96">
        <v>0</v>
      </c>
      <c r="Q226" s="79"/>
      <c r="R226" s="94"/>
      <c r="S226" s="225"/>
      <c r="T226" s="2"/>
    </row>
    <row r="227" spans="1:20" ht="15.6" x14ac:dyDescent="0.3">
      <c r="A227" s="172"/>
      <c r="B227" s="113" t="s">
        <v>113</v>
      </c>
      <c r="C227" s="155"/>
      <c r="D227" s="123"/>
      <c r="E227" s="123"/>
      <c r="F227" s="123"/>
      <c r="G227" s="123"/>
      <c r="H227" s="123"/>
      <c r="I227" s="123"/>
      <c r="J227" s="123"/>
      <c r="K227" s="123"/>
      <c r="L227" s="123"/>
      <c r="M227" s="123"/>
      <c r="N227" s="123"/>
      <c r="O227" s="173">
        <f>+N279</f>
        <v>0</v>
      </c>
      <c r="P227" s="174">
        <f>+P279</f>
        <v>0</v>
      </c>
      <c r="Q227" s="113"/>
      <c r="R227" s="175"/>
      <c r="S227" s="176"/>
      <c r="T227" s="2"/>
    </row>
    <row r="228" spans="1:20" ht="15.6" x14ac:dyDescent="0.3">
      <c r="A228" s="172"/>
      <c r="B228" s="113" t="s">
        <v>66</v>
      </c>
      <c r="C228" s="155"/>
      <c r="D228" s="123"/>
      <c r="E228" s="123"/>
      <c r="F228" s="123"/>
      <c r="G228" s="123"/>
      <c r="H228" s="123"/>
      <c r="I228" s="123"/>
      <c r="J228" s="123"/>
      <c r="K228" s="123"/>
      <c r="L228" s="123"/>
      <c r="M228" s="123"/>
      <c r="N228" s="123"/>
      <c r="O228" s="173">
        <f>+N291</f>
        <v>0</v>
      </c>
      <c r="P228" s="174">
        <f>+P291</f>
        <v>0</v>
      </c>
      <c r="Q228" s="113"/>
      <c r="R228" s="175"/>
      <c r="S228" s="176"/>
      <c r="T228" s="2"/>
    </row>
    <row r="229" spans="1:20" ht="15.6" x14ac:dyDescent="0.3">
      <c r="A229" s="172"/>
      <c r="B229" s="134" t="s">
        <v>284</v>
      </c>
      <c r="C229" s="177"/>
      <c r="D229" s="135"/>
      <c r="E229" s="135"/>
      <c r="F229" s="135"/>
      <c r="G229" s="135"/>
      <c r="H229" s="135"/>
      <c r="I229" s="135"/>
      <c r="J229" s="135"/>
      <c r="K229" s="135"/>
      <c r="L229" s="135"/>
      <c r="M229" s="135"/>
      <c r="N229" s="135"/>
      <c r="O229" s="113"/>
      <c r="P229" s="174">
        <v>0</v>
      </c>
      <c r="Q229" s="135"/>
      <c r="R229" s="178"/>
      <c r="S229" s="176"/>
      <c r="T229" s="2"/>
    </row>
    <row r="230" spans="1:20" ht="15.6" x14ac:dyDescent="0.3">
      <c r="A230" s="172"/>
      <c r="B230" s="134" t="s">
        <v>140</v>
      </c>
      <c r="C230" s="177"/>
      <c r="D230" s="135"/>
      <c r="E230" s="135"/>
      <c r="F230" s="135"/>
      <c r="G230" s="135"/>
      <c r="H230" s="135"/>
      <c r="I230" s="135"/>
      <c r="J230" s="135"/>
      <c r="K230" s="135"/>
      <c r="L230" s="135"/>
      <c r="M230" s="135"/>
      <c r="N230" s="135"/>
      <c r="O230" s="113"/>
      <c r="P230" s="174">
        <f>-J77</f>
        <v>0</v>
      </c>
      <c r="Q230" s="135"/>
      <c r="R230" s="178"/>
      <c r="S230" s="176"/>
      <c r="T230" s="2"/>
    </row>
    <row r="231" spans="1:20" ht="15.6" x14ac:dyDescent="0.3">
      <c r="A231" s="179"/>
      <c r="B231" s="134" t="s">
        <v>67</v>
      </c>
      <c r="C231" s="180"/>
      <c r="D231" s="135"/>
      <c r="E231" s="135"/>
      <c r="F231" s="135"/>
      <c r="G231" s="135"/>
      <c r="H231" s="135"/>
      <c r="I231" s="135"/>
      <c r="J231" s="135"/>
      <c r="K231" s="135"/>
      <c r="L231" s="135"/>
      <c r="M231" s="135"/>
      <c r="N231" s="135"/>
      <c r="O231" s="113"/>
      <c r="P231" s="174"/>
      <c r="Q231" s="135"/>
      <c r="R231" s="178"/>
      <c r="S231" s="181"/>
      <c r="T231" s="2"/>
    </row>
    <row r="232" spans="1:20" ht="15.6" x14ac:dyDescent="0.3">
      <c r="A232" s="179"/>
      <c r="B232" s="118" t="s">
        <v>68</v>
      </c>
      <c r="C232" s="180"/>
      <c r="D232" s="135"/>
      <c r="E232" s="135"/>
      <c r="F232" s="135"/>
      <c r="G232" s="135"/>
      <c r="H232" s="135"/>
      <c r="I232" s="135"/>
      <c r="J232" s="135"/>
      <c r="K232" s="135"/>
      <c r="L232" s="135"/>
      <c r="M232" s="135"/>
      <c r="N232" s="135"/>
      <c r="O232" s="123"/>
      <c r="P232" s="174">
        <f>R162</f>
        <v>0</v>
      </c>
      <c r="Q232" s="135"/>
      <c r="R232" s="178"/>
      <c r="S232" s="181"/>
      <c r="T232" s="2"/>
    </row>
    <row r="233" spans="1:20" ht="15.6" x14ac:dyDescent="0.3">
      <c r="A233" s="172"/>
      <c r="B233" s="113" t="s">
        <v>69</v>
      </c>
      <c r="C233" s="177"/>
      <c r="D233" s="135"/>
      <c r="E233" s="135"/>
      <c r="F233" s="135"/>
      <c r="G233" s="135"/>
      <c r="H233" s="135"/>
      <c r="I233" s="135"/>
      <c r="J233" s="135"/>
      <c r="K233" s="135"/>
      <c r="L233" s="135"/>
      <c r="M233" s="135"/>
      <c r="N233" s="135"/>
      <c r="O233" s="123"/>
      <c r="P233" s="174">
        <f>'Aug 16'!P232+P232</f>
        <v>0</v>
      </c>
      <c r="Q233" s="135"/>
      <c r="R233" s="178"/>
      <c r="S233" s="181"/>
      <c r="T233" s="2"/>
    </row>
    <row r="234" spans="1:20" ht="15.6" x14ac:dyDescent="0.3">
      <c r="A234" s="179"/>
      <c r="B234" s="134" t="s">
        <v>151</v>
      </c>
      <c r="C234" s="180"/>
      <c r="D234" s="135"/>
      <c r="E234" s="135"/>
      <c r="F234" s="135"/>
      <c r="G234" s="135"/>
      <c r="H234" s="135"/>
      <c r="I234" s="135"/>
      <c r="J234" s="135"/>
      <c r="K234" s="135"/>
      <c r="L234" s="135"/>
      <c r="M234" s="135"/>
      <c r="N234" s="135"/>
      <c r="O234" s="123"/>
      <c r="P234" s="174"/>
      <c r="Q234" s="135"/>
      <c r="R234" s="178"/>
      <c r="S234" s="181"/>
      <c r="T234" s="2"/>
    </row>
    <row r="235" spans="1:20" ht="15.6" x14ac:dyDescent="0.3">
      <c r="A235" s="179"/>
      <c r="B235" s="113" t="s">
        <v>160</v>
      </c>
      <c r="C235" s="180"/>
      <c r="D235" s="135"/>
      <c r="E235" s="135"/>
      <c r="F235" s="135"/>
      <c r="G235" s="135"/>
      <c r="H235" s="135"/>
      <c r="I235" s="135"/>
      <c r="J235" s="135"/>
      <c r="K235" s="135"/>
      <c r="L235" s="135"/>
      <c r="M235" s="135"/>
      <c r="N235" s="135"/>
      <c r="O235" s="123">
        <v>0</v>
      </c>
      <c r="P235" s="174">
        <v>0</v>
      </c>
      <c r="Q235" s="135"/>
      <c r="R235" s="178"/>
      <c r="S235" s="181"/>
      <c r="T235" s="2"/>
    </row>
    <row r="236" spans="1:20" ht="15.6" x14ac:dyDescent="0.3">
      <c r="A236" s="172"/>
      <c r="B236" s="113" t="s">
        <v>70</v>
      </c>
      <c r="C236" s="182"/>
      <c r="D236" s="135"/>
      <c r="E236" s="135"/>
      <c r="F236" s="135"/>
      <c r="G236" s="135"/>
      <c r="H236" s="135"/>
      <c r="I236" s="135"/>
      <c r="J236" s="135"/>
      <c r="K236" s="135"/>
      <c r="L236" s="135"/>
      <c r="M236" s="135"/>
      <c r="N236" s="135"/>
      <c r="O236" s="113"/>
      <c r="P236" s="183">
        <v>0</v>
      </c>
      <c r="Q236" s="135"/>
      <c r="R236" s="178"/>
      <c r="S236" s="181"/>
      <c r="T236" s="2"/>
    </row>
    <row r="237" spans="1:20" ht="15.6" x14ac:dyDescent="0.3">
      <c r="A237" s="172"/>
      <c r="B237" s="113" t="s">
        <v>71</v>
      </c>
      <c r="C237" s="182"/>
      <c r="D237" s="135"/>
      <c r="E237" s="135"/>
      <c r="F237" s="135"/>
      <c r="G237" s="135"/>
      <c r="H237" s="135"/>
      <c r="I237" s="135"/>
      <c r="J237" s="135"/>
      <c r="K237" s="135"/>
      <c r="L237" s="135"/>
      <c r="M237" s="135"/>
      <c r="N237" s="135"/>
      <c r="O237" s="113"/>
      <c r="P237" s="183">
        <v>0</v>
      </c>
      <c r="Q237" s="135"/>
      <c r="R237" s="178"/>
      <c r="S237" s="181"/>
      <c r="T237" s="2"/>
    </row>
    <row r="238" spans="1:20" ht="15.6" x14ac:dyDescent="0.3">
      <c r="A238" s="172"/>
      <c r="B238" s="134" t="s">
        <v>136</v>
      </c>
      <c r="C238" s="182"/>
      <c r="D238" s="135"/>
      <c r="E238" s="135"/>
      <c r="F238" s="135"/>
      <c r="G238" s="135"/>
      <c r="H238" s="135"/>
      <c r="I238" s="135"/>
      <c r="J238" s="135"/>
      <c r="K238" s="135"/>
      <c r="L238" s="135"/>
      <c r="M238" s="135"/>
      <c r="N238" s="135"/>
      <c r="O238" s="113"/>
      <c r="P238" s="184"/>
      <c r="Q238" s="135"/>
      <c r="R238" s="178"/>
      <c r="S238" s="181"/>
      <c r="T238" s="2"/>
    </row>
    <row r="239" spans="1:20" ht="15.6" x14ac:dyDescent="0.3">
      <c r="A239" s="172"/>
      <c r="B239" s="113" t="s">
        <v>160</v>
      </c>
      <c r="C239" s="182"/>
      <c r="D239" s="135"/>
      <c r="E239" s="135"/>
      <c r="F239" s="135"/>
      <c r="G239" s="135"/>
      <c r="H239" s="135"/>
      <c r="I239" s="135"/>
      <c r="J239" s="135"/>
      <c r="K239" s="135"/>
      <c r="L239" s="135"/>
      <c r="M239" s="135"/>
      <c r="N239" s="135"/>
      <c r="O239" s="123">
        <v>0</v>
      </c>
      <c r="P239" s="174">
        <v>0</v>
      </c>
      <c r="Q239" s="135"/>
      <c r="R239" s="178"/>
      <c r="S239" s="181"/>
      <c r="T239" s="2"/>
    </row>
    <row r="240" spans="1:20" ht="15.6" x14ac:dyDescent="0.3">
      <c r="A240" s="172"/>
      <c r="B240" s="113" t="s">
        <v>137</v>
      </c>
      <c r="C240" s="182"/>
      <c r="D240" s="135"/>
      <c r="E240" s="135"/>
      <c r="F240" s="135"/>
      <c r="G240" s="135"/>
      <c r="H240" s="135"/>
      <c r="I240" s="135"/>
      <c r="J240" s="135"/>
      <c r="K240" s="135"/>
      <c r="L240" s="135"/>
      <c r="M240" s="135"/>
      <c r="N240" s="135"/>
      <c r="O240" s="113"/>
      <c r="P240" s="183">
        <v>0</v>
      </c>
      <c r="Q240" s="135"/>
      <c r="R240" s="178"/>
      <c r="S240" s="181"/>
      <c r="T240" s="2"/>
    </row>
    <row r="241" spans="1:20" ht="15.6" x14ac:dyDescent="0.3">
      <c r="A241" s="172"/>
      <c r="B241" s="180"/>
      <c r="C241" s="182"/>
      <c r="D241" s="135"/>
      <c r="E241" s="135"/>
      <c r="F241" s="135"/>
      <c r="G241" s="135"/>
      <c r="H241" s="135"/>
      <c r="I241" s="135"/>
      <c r="J241" s="135"/>
      <c r="K241" s="135"/>
      <c r="L241" s="135"/>
      <c r="M241" s="135"/>
      <c r="N241" s="135"/>
      <c r="O241" s="113"/>
      <c r="P241" s="184"/>
      <c r="Q241" s="135"/>
      <c r="R241" s="178"/>
      <c r="S241" s="181"/>
      <c r="T241" s="2"/>
    </row>
    <row r="242" spans="1:20" ht="15.6" x14ac:dyDescent="0.3">
      <c r="A242" s="172"/>
      <c r="B242" s="180"/>
      <c r="C242" s="182"/>
      <c r="D242" s="135"/>
      <c r="E242" s="135"/>
      <c r="F242" s="135"/>
      <c r="G242" s="135"/>
      <c r="H242" s="135"/>
      <c r="I242" s="135"/>
      <c r="J242" s="135"/>
      <c r="K242" s="135"/>
      <c r="L242" s="135"/>
      <c r="M242" s="135"/>
      <c r="N242" s="135"/>
      <c r="O242" s="135"/>
      <c r="P242" s="185"/>
      <c r="Q242" s="135"/>
      <c r="R242" s="178"/>
      <c r="S242" s="181"/>
      <c r="T242" s="2"/>
    </row>
    <row r="243" spans="1:20" ht="17.399999999999999" x14ac:dyDescent="0.3">
      <c r="A243" s="172"/>
      <c r="B243" s="186" t="s">
        <v>129</v>
      </c>
      <c r="C243" s="182"/>
      <c r="D243" s="135"/>
      <c r="E243" s="135"/>
      <c r="F243" s="135"/>
      <c r="G243" s="135"/>
      <c r="H243" s="135"/>
      <c r="I243" s="135"/>
      <c r="J243" s="135"/>
      <c r="K243" s="135"/>
      <c r="L243" s="187"/>
      <c r="M243" s="135"/>
      <c r="N243" s="187" t="s">
        <v>128</v>
      </c>
      <c r="O243" s="187"/>
      <c r="P243" s="185"/>
      <c r="Q243" s="135"/>
      <c r="R243" s="178"/>
      <c r="S243" s="181"/>
      <c r="T243" s="2"/>
    </row>
    <row r="244" spans="1:20" ht="17.399999999999999" x14ac:dyDescent="0.3">
      <c r="A244" s="169"/>
      <c r="B244" s="199"/>
      <c r="C244" s="170"/>
      <c r="D244" s="43"/>
      <c r="E244" s="43"/>
      <c r="F244" s="43"/>
      <c r="G244" s="43"/>
      <c r="H244" s="43"/>
      <c r="I244" s="43"/>
      <c r="J244" s="43"/>
      <c r="K244" s="43"/>
      <c r="L244" s="200"/>
      <c r="M244" s="43"/>
      <c r="N244" s="43"/>
      <c r="O244" s="43"/>
      <c r="P244" s="171"/>
      <c r="Q244" s="43"/>
      <c r="R244" s="165"/>
      <c r="S244" s="226"/>
      <c r="T244" s="2"/>
    </row>
    <row r="245" spans="1:20" ht="15.6" x14ac:dyDescent="0.3">
      <c r="A245" s="53"/>
      <c r="B245" s="61" t="s">
        <v>152</v>
      </c>
      <c r="C245" s="62"/>
      <c r="D245" s="62"/>
      <c r="E245" s="62"/>
      <c r="F245" s="62"/>
      <c r="G245" s="62"/>
      <c r="H245" s="62"/>
      <c r="I245" s="62"/>
      <c r="J245" s="62"/>
      <c r="K245" s="62"/>
      <c r="L245" s="62"/>
      <c r="M245" s="62"/>
      <c r="N245" s="72" t="s">
        <v>83</v>
      </c>
      <c r="O245" s="62" t="s">
        <v>84</v>
      </c>
      <c r="P245" s="72" t="s">
        <v>89</v>
      </c>
      <c r="Q245" s="62" t="s">
        <v>84</v>
      </c>
      <c r="R245" s="54"/>
      <c r="S245" s="227"/>
      <c r="T245" s="2"/>
    </row>
    <row r="246" spans="1:20" ht="15.6" x14ac:dyDescent="0.3">
      <c r="A246" s="24"/>
      <c r="B246" s="78" t="s">
        <v>72</v>
      </c>
      <c r="C246" s="93"/>
      <c r="D246" s="93"/>
      <c r="E246" s="93"/>
      <c r="F246" s="93"/>
      <c r="G246" s="93"/>
      <c r="H246" s="93"/>
      <c r="I246" s="93"/>
      <c r="J246" s="93"/>
      <c r="K246" s="93"/>
      <c r="L246" s="93"/>
      <c r="M246" s="93"/>
      <c r="N246" s="78">
        <f>+N258+N270+N282</f>
        <v>1669</v>
      </c>
      <c r="O246" s="81">
        <f>N246/$N$255</f>
        <v>1</v>
      </c>
      <c r="P246" s="82">
        <f t="shared" ref="P246:P253" si="5">+P258+P270+P282</f>
        <v>267459</v>
      </c>
      <c r="Q246" s="81">
        <f t="shared" ref="Q246:Q253" si="6">P246/$P$255</f>
        <v>1</v>
      </c>
      <c r="R246" s="94"/>
      <c r="S246" s="228"/>
      <c r="T246" s="2"/>
    </row>
    <row r="247" spans="1:20" ht="15.6" x14ac:dyDescent="0.3">
      <c r="A247" s="112"/>
      <c r="B247" s="155" t="s">
        <v>73</v>
      </c>
      <c r="C247" s="191"/>
      <c r="D247" s="191"/>
      <c r="E247" s="191"/>
      <c r="F247" s="191"/>
      <c r="G247" s="191"/>
      <c r="H247" s="191"/>
      <c r="I247" s="191"/>
      <c r="J247" s="191"/>
      <c r="K247" s="191"/>
      <c r="L247" s="191"/>
      <c r="M247" s="191"/>
      <c r="N247" s="155">
        <f t="shared" ref="N247:N253" si="7">+N259+N271+N283</f>
        <v>0</v>
      </c>
      <c r="O247" s="192">
        <f t="shared" ref="O247:O253" si="8">N247/$N$255</f>
        <v>0</v>
      </c>
      <c r="P247" s="156">
        <f t="shared" si="5"/>
        <v>0</v>
      </c>
      <c r="Q247" s="192">
        <f t="shared" si="6"/>
        <v>0</v>
      </c>
      <c r="R247" s="175"/>
      <c r="S247" s="193"/>
      <c r="T247" s="2"/>
    </row>
    <row r="248" spans="1:20" ht="15.6" x14ac:dyDescent="0.3">
      <c r="A248" s="112"/>
      <c r="B248" s="155" t="s">
        <v>74</v>
      </c>
      <c r="C248" s="191"/>
      <c r="D248" s="191"/>
      <c r="E248" s="191"/>
      <c r="F248" s="191"/>
      <c r="G248" s="191"/>
      <c r="H248" s="191"/>
      <c r="I248" s="191"/>
      <c r="J248" s="191"/>
      <c r="K248" s="191"/>
      <c r="L248" s="191"/>
      <c r="M248" s="191"/>
      <c r="N248" s="155">
        <f t="shared" si="7"/>
        <v>0</v>
      </c>
      <c r="O248" s="192">
        <f t="shared" si="8"/>
        <v>0</v>
      </c>
      <c r="P248" s="156">
        <f t="shared" si="5"/>
        <v>0</v>
      </c>
      <c r="Q248" s="192">
        <f t="shared" si="6"/>
        <v>0</v>
      </c>
      <c r="R248" s="175"/>
      <c r="S248" s="193"/>
      <c r="T248" s="2"/>
    </row>
    <row r="249" spans="1:20" ht="15.6" x14ac:dyDescent="0.3">
      <c r="A249" s="112"/>
      <c r="B249" s="155" t="s">
        <v>119</v>
      </c>
      <c r="C249" s="191"/>
      <c r="D249" s="191"/>
      <c r="E249" s="191"/>
      <c r="F249" s="191"/>
      <c r="G249" s="191"/>
      <c r="H249" s="191"/>
      <c r="I249" s="191"/>
      <c r="J249" s="191"/>
      <c r="K249" s="191"/>
      <c r="L249" s="191"/>
      <c r="M249" s="191"/>
      <c r="N249" s="155">
        <f t="shared" si="7"/>
        <v>0</v>
      </c>
      <c r="O249" s="192">
        <f t="shared" si="8"/>
        <v>0</v>
      </c>
      <c r="P249" s="156">
        <f t="shared" si="5"/>
        <v>0</v>
      </c>
      <c r="Q249" s="192">
        <f t="shared" si="6"/>
        <v>0</v>
      </c>
      <c r="R249" s="175"/>
      <c r="S249" s="193"/>
      <c r="T249" s="2"/>
    </row>
    <row r="250" spans="1:20" ht="15.6" x14ac:dyDescent="0.3">
      <c r="A250" s="112"/>
      <c r="B250" s="155" t="s">
        <v>120</v>
      </c>
      <c r="C250" s="191"/>
      <c r="D250" s="191"/>
      <c r="E250" s="191"/>
      <c r="F250" s="191"/>
      <c r="G250" s="191"/>
      <c r="H250" s="191"/>
      <c r="I250" s="191"/>
      <c r="J250" s="191"/>
      <c r="K250" s="191"/>
      <c r="L250" s="191"/>
      <c r="M250" s="191"/>
      <c r="N250" s="155">
        <f t="shared" si="7"/>
        <v>0</v>
      </c>
      <c r="O250" s="192">
        <f t="shared" si="8"/>
        <v>0</v>
      </c>
      <c r="P250" s="156">
        <f t="shared" si="5"/>
        <v>0</v>
      </c>
      <c r="Q250" s="192">
        <f t="shared" si="6"/>
        <v>0</v>
      </c>
      <c r="R250" s="175"/>
      <c r="S250" s="193"/>
      <c r="T250" s="2"/>
    </row>
    <row r="251" spans="1:20" ht="15.6" x14ac:dyDescent="0.3">
      <c r="A251" s="112"/>
      <c r="B251" s="155" t="s">
        <v>121</v>
      </c>
      <c r="C251" s="191"/>
      <c r="D251" s="191"/>
      <c r="E251" s="191"/>
      <c r="F251" s="191"/>
      <c r="G251" s="191"/>
      <c r="H251" s="191"/>
      <c r="I251" s="191"/>
      <c r="J251" s="191"/>
      <c r="K251" s="191"/>
      <c r="L251" s="191"/>
      <c r="M251" s="191"/>
      <c r="N251" s="155">
        <f t="shared" si="7"/>
        <v>0</v>
      </c>
      <c r="O251" s="192">
        <f t="shared" si="8"/>
        <v>0</v>
      </c>
      <c r="P251" s="156">
        <f t="shared" si="5"/>
        <v>0</v>
      </c>
      <c r="Q251" s="192">
        <f t="shared" si="6"/>
        <v>0</v>
      </c>
      <c r="R251" s="175"/>
      <c r="S251" s="193"/>
      <c r="T251" s="2"/>
    </row>
    <row r="252" spans="1:20" ht="15.6" x14ac:dyDescent="0.3">
      <c r="A252" s="112"/>
      <c r="B252" s="155" t="s">
        <v>122</v>
      </c>
      <c r="C252" s="191"/>
      <c r="D252" s="191"/>
      <c r="E252" s="191"/>
      <c r="F252" s="191"/>
      <c r="G252" s="191"/>
      <c r="H252" s="191"/>
      <c r="I252" s="191"/>
      <c r="J252" s="191"/>
      <c r="K252" s="191"/>
      <c r="L252" s="191"/>
      <c r="M252" s="191"/>
      <c r="N252" s="155">
        <f t="shared" si="7"/>
        <v>0</v>
      </c>
      <c r="O252" s="192">
        <f t="shared" si="8"/>
        <v>0</v>
      </c>
      <c r="P252" s="156">
        <f t="shared" si="5"/>
        <v>0</v>
      </c>
      <c r="Q252" s="192">
        <f t="shared" si="6"/>
        <v>0</v>
      </c>
      <c r="R252" s="175"/>
      <c r="S252" s="193"/>
      <c r="T252" s="2"/>
    </row>
    <row r="253" spans="1:20" ht="15.6" x14ac:dyDescent="0.3">
      <c r="A253" s="112"/>
      <c r="B253" s="155" t="s">
        <v>123</v>
      </c>
      <c r="C253" s="191"/>
      <c r="D253" s="191"/>
      <c r="E253" s="191"/>
      <c r="F253" s="191"/>
      <c r="G253" s="191"/>
      <c r="H253" s="191"/>
      <c r="I253" s="191"/>
      <c r="J253" s="191"/>
      <c r="K253" s="191"/>
      <c r="L253" s="191"/>
      <c r="M253" s="191"/>
      <c r="N253" s="155">
        <f t="shared" si="7"/>
        <v>0</v>
      </c>
      <c r="O253" s="192">
        <f t="shared" si="8"/>
        <v>0</v>
      </c>
      <c r="P253" s="156">
        <f t="shared" si="5"/>
        <v>0</v>
      </c>
      <c r="Q253" s="192">
        <f t="shared" si="6"/>
        <v>0</v>
      </c>
      <c r="R253" s="175"/>
      <c r="S253" s="193"/>
      <c r="T253" s="2"/>
    </row>
    <row r="254" spans="1:20" ht="15.6" x14ac:dyDescent="0.3">
      <c r="A254" s="112"/>
      <c r="B254" s="155"/>
      <c r="C254" s="191"/>
      <c r="D254" s="191"/>
      <c r="E254" s="191"/>
      <c r="F254" s="191"/>
      <c r="G254" s="191"/>
      <c r="H254" s="191"/>
      <c r="I254" s="191"/>
      <c r="J254" s="191"/>
      <c r="K254" s="191"/>
      <c r="L254" s="191"/>
      <c r="M254" s="191"/>
      <c r="N254" s="155"/>
      <c r="O254" s="192"/>
      <c r="P254" s="156"/>
      <c r="Q254" s="192"/>
      <c r="R254" s="175"/>
      <c r="S254" s="193"/>
      <c r="T254" s="2"/>
    </row>
    <row r="255" spans="1:20" ht="15.6" x14ac:dyDescent="0.3">
      <c r="A255" s="112"/>
      <c r="B255" s="113" t="s">
        <v>94</v>
      </c>
      <c r="C255" s="113"/>
      <c r="D255" s="194"/>
      <c r="E255" s="194"/>
      <c r="F255" s="194"/>
      <c r="G255" s="194"/>
      <c r="H255" s="194"/>
      <c r="I255" s="194"/>
      <c r="J255" s="194"/>
      <c r="K255" s="194"/>
      <c r="L255" s="194"/>
      <c r="M255" s="194"/>
      <c r="N255" s="155">
        <f>SUM(N246:N254)</f>
        <v>1669</v>
      </c>
      <c r="O255" s="192">
        <f>SUM(O246:O254)</f>
        <v>1</v>
      </c>
      <c r="P255" s="156">
        <f>SUM(P246:P254)</f>
        <v>267459</v>
      </c>
      <c r="Q255" s="192">
        <f>SUM(Q246:Q254)</f>
        <v>1</v>
      </c>
      <c r="R255" s="113"/>
      <c r="S255" s="116"/>
      <c r="T255" s="2"/>
    </row>
    <row r="256" spans="1:20" ht="15.6" x14ac:dyDescent="0.3">
      <c r="A256" s="12"/>
      <c r="B256" s="164"/>
      <c r="C256" s="170"/>
      <c r="D256" s="43"/>
      <c r="E256" s="43"/>
      <c r="F256" s="43"/>
      <c r="G256" s="43"/>
      <c r="H256" s="43"/>
      <c r="I256" s="43"/>
      <c r="J256" s="43"/>
      <c r="K256" s="43"/>
      <c r="L256" s="43"/>
      <c r="M256" s="43"/>
      <c r="N256" s="43"/>
      <c r="O256" s="43"/>
      <c r="P256" s="171"/>
      <c r="Q256" s="43"/>
      <c r="R256" s="43"/>
      <c r="S256" s="217"/>
      <c r="T256" s="2"/>
    </row>
    <row r="257" spans="1:21" ht="15.6" x14ac:dyDescent="0.3">
      <c r="A257" s="53"/>
      <c r="B257" s="61" t="s">
        <v>124</v>
      </c>
      <c r="C257" s="62"/>
      <c r="D257" s="62"/>
      <c r="E257" s="62"/>
      <c r="F257" s="62"/>
      <c r="G257" s="62"/>
      <c r="H257" s="62"/>
      <c r="I257" s="62"/>
      <c r="J257" s="62"/>
      <c r="K257" s="62"/>
      <c r="L257" s="62"/>
      <c r="M257" s="62"/>
      <c r="N257" s="72" t="s">
        <v>83</v>
      </c>
      <c r="O257" s="62" t="s">
        <v>84</v>
      </c>
      <c r="P257" s="72" t="s">
        <v>89</v>
      </c>
      <c r="Q257" s="62" t="s">
        <v>84</v>
      </c>
      <c r="R257" s="54"/>
      <c r="S257" s="227"/>
      <c r="T257" s="2"/>
    </row>
    <row r="258" spans="1:21" ht="15.6" x14ac:dyDescent="0.3">
      <c r="A258" s="24"/>
      <c r="B258" s="78" t="s">
        <v>72</v>
      </c>
      <c r="C258" s="93"/>
      <c r="D258" s="93"/>
      <c r="E258" s="93"/>
      <c r="F258" s="93"/>
      <c r="G258" s="93"/>
      <c r="H258" s="93"/>
      <c r="I258" s="93"/>
      <c r="J258" s="93"/>
      <c r="K258" s="93"/>
      <c r="L258" s="93"/>
      <c r="M258" s="93"/>
      <c r="N258" s="78">
        <v>1669</v>
      </c>
      <c r="O258" s="81">
        <f>N258/$N$267</f>
        <v>1</v>
      </c>
      <c r="P258" s="82">
        <v>267459</v>
      </c>
      <c r="Q258" s="81">
        <f>P258/$P$267</f>
        <v>1</v>
      </c>
      <c r="R258" s="94"/>
      <c r="S258" s="228"/>
      <c r="T258" s="2"/>
    </row>
    <row r="259" spans="1:21" ht="15.6" x14ac:dyDescent="0.3">
      <c r="A259" s="112"/>
      <c r="B259" s="155" t="s">
        <v>73</v>
      </c>
      <c r="C259" s="191"/>
      <c r="D259" s="191"/>
      <c r="E259" s="191"/>
      <c r="F259" s="191"/>
      <c r="G259" s="191"/>
      <c r="H259" s="191"/>
      <c r="I259" s="191"/>
      <c r="J259" s="191"/>
      <c r="K259" s="191"/>
      <c r="L259" s="191"/>
      <c r="M259" s="191"/>
      <c r="N259" s="155">
        <v>0</v>
      </c>
      <c r="O259" s="192">
        <f t="shared" ref="O259:O265" si="9">N259/$N$267</f>
        <v>0</v>
      </c>
      <c r="P259" s="156">
        <v>0</v>
      </c>
      <c r="Q259" s="192">
        <f t="shared" ref="Q259:Q265" si="10">P259/$P$267</f>
        <v>0</v>
      </c>
      <c r="R259" s="175"/>
      <c r="S259" s="193"/>
      <c r="T259" s="2"/>
      <c r="U259" s="4"/>
    </row>
    <row r="260" spans="1:21" ht="15.6" x14ac:dyDescent="0.3">
      <c r="A260" s="112"/>
      <c r="B260" s="155" t="s">
        <v>74</v>
      </c>
      <c r="C260" s="191"/>
      <c r="D260" s="191"/>
      <c r="E260" s="191"/>
      <c r="F260" s="191"/>
      <c r="G260" s="191"/>
      <c r="H260" s="191"/>
      <c r="I260" s="191"/>
      <c r="J260" s="191"/>
      <c r="K260" s="191"/>
      <c r="L260" s="191"/>
      <c r="M260" s="191"/>
      <c r="N260" s="155">
        <v>0</v>
      </c>
      <c r="O260" s="192">
        <f t="shared" si="9"/>
        <v>0</v>
      </c>
      <c r="P260" s="156">
        <v>0</v>
      </c>
      <c r="Q260" s="192">
        <f t="shared" si="10"/>
        <v>0</v>
      </c>
      <c r="R260" s="175"/>
      <c r="S260" s="193"/>
      <c r="T260" s="2"/>
    </row>
    <row r="261" spans="1:21" ht="15.6" x14ac:dyDescent="0.3">
      <c r="A261" s="112"/>
      <c r="B261" s="155" t="s">
        <v>119</v>
      </c>
      <c r="C261" s="191"/>
      <c r="D261" s="191"/>
      <c r="E261" s="191"/>
      <c r="F261" s="191"/>
      <c r="G261" s="191"/>
      <c r="H261" s="191"/>
      <c r="I261" s="191"/>
      <c r="J261" s="191"/>
      <c r="K261" s="191"/>
      <c r="L261" s="191"/>
      <c r="M261" s="191"/>
      <c r="N261" s="155">
        <v>0</v>
      </c>
      <c r="O261" s="192">
        <f t="shared" si="9"/>
        <v>0</v>
      </c>
      <c r="P261" s="156">
        <v>0</v>
      </c>
      <c r="Q261" s="192">
        <f t="shared" si="10"/>
        <v>0</v>
      </c>
      <c r="R261" s="175"/>
      <c r="S261" s="193"/>
      <c r="T261" s="2"/>
      <c r="U261" s="4"/>
    </row>
    <row r="262" spans="1:21" ht="15.6" x14ac:dyDescent="0.3">
      <c r="A262" s="112"/>
      <c r="B262" s="155" t="s">
        <v>120</v>
      </c>
      <c r="C262" s="191"/>
      <c r="D262" s="191"/>
      <c r="E262" s="191"/>
      <c r="F262" s="191"/>
      <c r="G262" s="191"/>
      <c r="H262" s="191"/>
      <c r="I262" s="191"/>
      <c r="J262" s="191"/>
      <c r="K262" s="191"/>
      <c r="L262" s="191"/>
      <c r="M262" s="191"/>
      <c r="N262" s="155">
        <v>0</v>
      </c>
      <c r="O262" s="192">
        <f t="shared" si="9"/>
        <v>0</v>
      </c>
      <c r="P262" s="156">
        <v>0</v>
      </c>
      <c r="Q262" s="192">
        <f t="shared" si="10"/>
        <v>0</v>
      </c>
      <c r="R262" s="175"/>
      <c r="S262" s="193"/>
      <c r="T262" s="2"/>
    </row>
    <row r="263" spans="1:21" ht="15.6" x14ac:dyDescent="0.3">
      <c r="A263" s="112"/>
      <c r="B263" s="155" t="s">
        <v>121</v>
      </c>
      <c r="C263" s="191"/>
      <c r="D263" s="191"/>
      <c r="E263" s="191"/>
      <c r="F263" s="191"/>
      <c r="G263" s="191"/>
      <c r="H263" s="191"/>
      <c r="I263" s="191"/>
      <c r="J263" s="191"/>
      <c r="K263" s="191"/>
      <c r="L263" s="191"/>
      <c r="M263" s="191"/>
      <c r="N263" s="155">
        <v>0</v>
      </c>
      <c r="O263" s="192">
        <f t="shared" si="9"/>
        <v>0</v>
      </c>
      <c r="P263" s="156">
        <v>0</v>
      </c>
      <c r="Q263" s="192">
        <f t="shared" si="10"/>
        <v>0</v>
      </c>
      <c r="R263" s="175"/>
      <c r="S263" s="193"/>
      <c r="T263" s="2"/>
      <c r="U263" s="4"/>
    </row>
    <row r="264" spans="1:21" ht="15.6" x14ac:dyDescent="0.3">
      <c r="A264" s="112"/>
      <c r="B264" s="155" t="s">
        <v>122</v>
      </c>
      <c r="C264" s="191"/>
      <c r="D264" s="191"/>
      <c r="E264" s="191"/>
      <c r="F264" s="191"/>
      <c r="G264" s="191"/>
      <c r="H264" s="191"/>
      <c r="I264" s="191"/>
      <c r="J264" s="191"/>
      <c r="K264" s="191"/>
      <c r="L264" s="191"/>
      <c r="M264" s="191"/>
      <c r="N264" s="155">
        <v>0</v>
      </c>
      <c r="O264" s="192">
        <f t="shared" si="9"/>
        <v>0</v>
      </c>
      <c r="P264" s="156">
        <v>0</v>
      </c>
      <c r="Q264" s="192">
        <f t="shared" si="10"/>
        <v>0</v>
      </c>
      <c r="R264" s="175"/>
      <c r="S264" s="193"/>
      <c r="T264" s="2"/>
    </row>
    <row r="265" spans="1:21" ht="15.6" x14ac:dyDescent="0.3">
      <c r="A265" s="112"/>
      <c r="B265" s="155" t="s">
        <v>123</v>
      </c>
      <c r="C265" s="191"/>
      <c r="D265" s="191"/>
      <c r="E265" s="191"/>
      <c r="F265" s="191"/>
      <c r="G265" s="191"/>
      <c r="H265" s="191"/>
      <c r="I265" s="191"/>
      <c r="J265" s="191"/>
      <c r="K265" s="191"/>
      <c r="L265" s="191"/>
      <c r="M265" s="191"/>
      <c r="N265" s="155">
        <v>0</v>
      </c>
      <c r="O265" s="192">
        <f t="shared" si="9"/>
        <v>0</v>
      </c>
      <c r="P265" s="156">
        <v>0</v>
      </c>
      <c r="Q265" s="192">
        <f t="shared" si="10"/>
        <v>0</v>
      </c>
      <c r="R265" s="175"/>
      <c r="S265" s="193"/>
      <c r="T265" s="2"/>
      <c r="U265" s="4"/>
    </row>
    <row r="266" spans="1:21" ht="15.6" x14ac:dyDescent="0.3">
      <c r="A266" s="112"/>
      <c r="B266" s="155"/>
      <c r="C266" s="191"/>
      <c r="D266" s="191"/>
      <c r="E266" s="191"/>
      <c r="F266" s="191"/>
      <c r="G266" s="191"/>
      <c r="H266" s="191"/>
      <c r="I266" s="191"/>
      <c r="J266" s="191"/>
      <c r="K266" s="191"/>
      <c r="L266" s="191"/>
      <c r="M266" s="191"/>
      <c r="N266" s="155"/>
      <c r="O266" s="192"/>
      <c r="P266" s="156"/>
      <c r="Q266" s="192"/>
      <c r="R266" s="175"/>
      <c r="S266" s="193"/>
      <c r="T266" s="2"/>
    </row>
    <row r="267" spans="1:21" ht="15.6" x14ac:dyDescent="0.3">
      <c r="A267" s="112"/>
      <c r="B267" s="113" t="s">
        <v>94</v>
      </c>
      <c r="C267" s="113"/>
      <c r="D267" s="194"/>
      <c r="E267" s="194"/>
      <c r="F267" s="194"/>
      <c r="G267" s="194"/>
      <c r="H267" s="194"/>
      <c r="I267" s="194"/>
      <c r="J267" s="194"/>
      <c r="K267" s="194"/>
      <c r="L267" s="194"/>
      <c r="M267" s="194"/>
      <c r="N267" s="155">
        <f>SUM(N258:N266)</f>
        <v>1669</v>
      </c>
      <c r="O267" s="192">
        <f>SUM(O258:O266)</f>
        <v>1</v>
      </c>
      <c r="P267" s="156">
        <f>SUM(P258:P266)</f>
        <v>267459</v>
      </c>
      <c r="Q267" s="192">
        <f>SUM(Q258:Q266)</f>
        <v>1</v>
      </c>
      <c r="R267" s="113"/>
      <c r="S267" s="116"/>
      <c r="T267" s="2"/>
    </row>
    <row r="268" spans="1:21" ht="15.6" x14ac:dyDescent="0.3">
      <c r="A268" s="12"/>
      <c r="B268" s="43"/>
      <c r="C268" s="43"/>
      <c r="D268" s="188"/>
      <c r="E268" s="188"/>
      <c r="F268" s="188"/>
      <c r="G268" s="188"/>
      <c r="H268" s="188"/>
      <c r="I268" s="188"/>
      <c r="J268" s="188"/>
      <c r="K268" s="188"/>
      <c r="L268" s="188"/>
      <c r="M268" s="188"/>
      <c r="N268" s="153"/>
      <c r="O268" s="189"/>
      <c r="P268" s="190"/>
      <c r="Q268" s="189"/>
      <c r="R268" s="43"/>
      <c r="S268" s="217"/>
      <c r="T268" s="2"/>
    </row>
    <row r="269" spans="1:21" ht="15.6" x14ac:dyDescent="0.3">
      <c r="A269" s="73"/>
      <c r="B269" s="61" t="s">
        <v>146</v>
      </c>
      <c r="C269" s="62"/>
      <c r="D269" s="62"/>
      <c r="E269" s="62"/>
      <c r="F269" s="62"/>
      <c r="G269" s="62"/>
      <c r="H269" s="62"/>
      <c r="I269" s="62"/>
      <c r="J269" s="62"/>
      <c r="K269" s="62"/>
      <c r="L269" s="62"/>
      <c r="M269" s="62"/>
      <c r="N269" s="72" t="s">
        <v>83</v>
      </c>
      <c r="O269" s="62" t="s">
        <v>84</v>
      </c>
      <c r="P269" s="72" t="s">
        <v>89</v>
      </c>
      <c r="Q269" s="62" t="s">
        <v>84</v>
      </c>
      <c r="R269" s="74"/>
      <c r="S269" s="75"/>
      <c r="T269" s="2"/>
    </row>
    <row r="270" spans="1:21" ht="15.6" x14ac:dyDescent="0.3">
      <c r="A270" s="24"/>
      <c r="B270" s="78" t="s">
        <v>72</v>
      </c>
      <c r="C270" s="93"/>
      <c r="D270" s="93"/>
      <c r="E270" s="93"/>
      <c r="F270" s="93"/>
      <c r="G270" s="93"/>
      <c r="H270" s="93"/>
      <c r="I270" s="93"/>
      <c r="J270" s="93"/>
      <c r="K270" s="93"/>
      <c r="L270" s="93"/>
      <c r="M270" s="93"/>
      <c r="N270" s="78">
        <v>0</v>
      </c>
      <c r="O270" s="81">
        <v>0</v>
      </c>
      <c r="P270" s="82">
        <v>0</v>
      </c>
      <c r="Q270" s="81">
        <v>0</v>
      </c>
      <c r="R270" s="79"/>
      <c r="S270" s="220"/>
      <c r="T270" s="2"/>
    </row>
    <row r="271" spans="1:21" ht="15.6" x14ac:dyDescent="0.3">
      <c r="A271" s="112"/>
      <c r="B271" s="155" t="s">
        <v>73</v>
      </c>
      <c r="C271" s="191"/>
      <c r="D271" s="191"/>
      <c r="E271" s="191"/>
      <c r="F271" s="191"/>
      <c r="G271" s="191"/>
      <c r="H271" s="191"/>
      <c r="I271" s="191"/>
      <c r="J271" s="191"/>
      <c r="K271" s="191"/>
      <c r="L271" s="191"/>
      <c r="M271" s="191"/>
      <c r="N271" s="155">
        <v>0</v>
      </c>
      <c r="O271" s="192">
        <v>0</v>
      </c>
      <c r="P271" s="156">
        <v>0</v>
      </c>
      <c r="Q271" s="192">
        <v>0</v>
      </c>
      <c r="R271" s="113"/>
      <c r="S271" s="116"/>
      <c r="T271" s="2"/>
    </row>
    <row r="272" spans="1:21" ht="15.6" x14ac:dyDescent="0.3">
      <c r="A272" s="112"/>
      <c r="B272" s="155" t="s">
        <v>74</v>
      </c>
      <c r="C272" s="191"/>
      <c r="D272" s="191"/>
      <c r="E272" s="191"/>
      <c r="F272" s="191"/>
      <c r="G272" s="191"/>
      <c r="H272" s="191"/>
      <c r="I272" s="191"/>
      <c r="J272" s="191"/>
      <c r="K272" s="191"/>
      <c r="L272" s="191"/>
      <c r="M272" s="191"/>
      <c r="N272" s="155">
        <v>0</v>
      </c>
      <c r="O272" s="192">
        <v>0</v>
      </c>
      <c r="P272" s="156">
        <v>0</v>
      </c>
      <c r="Q272" s="192">
        <v>0</v>
      </c>
      <c r="R272" s="113"/>
      <c r="S272" s="116"/>
      <c r="T272" s="2"/>
    </row>
    <row r="273" spans="1:20" ht="15.6" x14ac:dyDescent="0.3">
      <c r="A273" s="112"/>
      <c r="B273" s="155" t="s">
        <v>119</v>
      </c>
      <c r="C273" s="191"/>
      <c r="D273" s="191"/>
      <c r="E273" s="191"/>
      <c r="F273" s="191"/>
      <c r="G273" s="191"/>
      <c r="H273" s="191"/>
      <c r="I273" s="191"/>
      <c r="J273" s="191"/>
      <c r="K273" s="191"/>
      <c r="L273" s="191"/>
      <c r="M273" s="191"/>
      <c r="N273" s="155">
        <v>0</v>
      </c>
      <c r="O273" s="192">
        <v>0</v>
      </c>
      <c r="P273" s="156">
        <v>0</v>
      </c>
      <c r="Q273" s="192">
        <v>0</v>
      </c>
      <c r="R273" s="113"/>
      <c r="S273" s="116"/>
      <c r="T273" s="2"/>
    </row>
    <row r="274" spans="1:20" ht="15.6" x14ac:dyDescent="0.3">
      <c r="A274" s="112"/>
      <c r="B274" s="155" t="s">
        <v>120</v>
      </c>
      <c r="C274" s="191"/>
      <c r="D274" s="191"/>
      <c r="E274" s="191"/>
      <c r="F274" s="191"/>
      <c r="G274" s="191"/>
      <c r="H274" s="191"/>
      <c r="I274" s="191"/>
      <c r="J274" s="191"/>
      <c r="K274" s="191"/>
      <c r="L274" s="191"/>
      <c r="M274" s="191"/>
      <c r="N274" s="155">
        <v>0</v>
      </c>
      <c r="O274" s="192">
        <v>0</v>
      </c>
      <c r="P274" s="156">
        <v>0</v>
      </c>
      <c r="Q274" s="192">
        <v>0</v>
      </c>
      <c r="R274" s="113"/>
      <c r="S274" s="116"/>
      <c r="T274" s="2"/>
    </row>
    <row r="275" spans="1:20" ht="15.6" x14ac:dyDescent="0.3">
      <c r="A275" s="112"/>
      <c r="B275" s="155" t="s">
        <v>121</v>
      </c>
      <c r="C275" s="191"/>
      <c r="D275" s="191"/>
      <c r="E275" s="191"/>
      <c r="F275" s="191"/>
      <c r="G275" s="191"/>
      <c r="H275" s="191"/>
      <c r="I275" s="191"/>
      <c r="J275" s="191"/>
      <c r="K275" s="191"/>
      <c r="L275" s="191"/>
      <c r="M275" s="191"/>
      <c r="N275" s="155">
        <v>0</v>
      </c>
      <c r="O275" s="192">
        <v>0</v>
      </c>
      <c r="P275" s="156">
        <v>0</v>
      </c>
      <c r="Q275" s="192">
        <v>0</v>
      </c>
      <c r="R275" s="113"/>
      <c r="S275" s="116"/>
      <c r="T275" s="2"/>
    </row>
    <row r="276" spans="1:20" ht="15.6" x14ac:dyDescent="0.3">
      <c r="A276" s="112"/>
      <c r="B276" s="155" t="s">
        <v>122</v>
      </c>
      <c r="C276" s="191"/>
      <c r="D276" s="191"/>
      <c r="E276" s="191"/>
      <c r="F276" s="191"/>
      <c r="G276" s="191"/>
      <c r="H276" s="191"/>
      <c r="I276" s="191"/>
      <c r="J276" s="191"/>
      <c r="K276" s="191"/>
      <c r="L276" s="191"/>
      <c r="M276" s="191"/>
      <c r="N276" s="155">
        <v>0</v>
      </c>
      <c r="O276" s="192">
        <v>0</v>
      </c>
      <c r="P276" s="156">
        <v>0</v>
      </c>
      <c r="Q276" s="192">
        <v>0</v>
      </c>
      <c r="R276" s="113"/>
      <c r="S276" s="116"/>
      <c r="T276" s="2"/>
    </row>
    <row r="277" spans="1:20" ht="15.6" x14ac:dyDescent="0.3">
      <c r="A277" s="112"/>
      <c r="B277" s="155" t="s">
        <v>123</v>
      </c>
      <c r="C277" s="191"/>
      <c r="D277" s="191"/>
      <c r="E277" s="191"/>
      <c r="F277" s="191"/>
      <c r="G277" s="191"/>
      <c r="H277" s="191"/>
      <c r="I277" s="191"/>
      <c r="J277" s="191"/>
      <c r="K277" s="191"/>
      <c r="L277" s="191"/>
      <c r="M277" s="191"/>
      <c r="N277" s="155">
        <v>0</v>
      </c>
      <c r="O277" s="192">
        <v>0</v>
      </c>
      <c r="P277" s="156">
        <v>0</v>
      </c>
      <c r="Q277" s="192">
        <v>0</v>
      </c>
      <c r="R277" s="113"/>
      <c r="S277" s="116"/>
      <c r="T277" s="2"/>
    </row>
    <row r="278" spans="1:20" ht="15.6" x14ac:dyDescent="0.3">
      <c r="A278" s="112"/>
      <c r="B278" s="155"/>
      <c r="C278" s="191"/>
      <c r="D278" s="191"/>
      <c r="E278" s="191"/>
      <c r="F278" s="191"/>
      <c r="G278" s="191"/>
      <c r="H278" s="191"/>
      <c r="I278" s="191"/>
      <c r="J278" s="191"/>
      <c r="K278" s="191"/>
      <c r="L278" s="191"/>
      <c r="M278" s="191"/>
      <c r="N278" s="155"/>
      <c r="O278" s="192"/>
      <c r="P278" s="156"/>
      <c r="Q278" s="192"/>
      <c r="R278" s="113"/>
      <c r="S278" s="116"/>
      <c r="T278" s="2"/>
    </row>
    <row r="279" spans="1:20" ht="15.6" x14ac:dyDescent="0.3">
      <c r="A279" s="112"/>
      <c r="B279" s="113" t="s">
        <v>94</v>
      </c>
      <c r="C279" s="113"/>
      <c r="D279" s="194"/>
      <c r="E279" s="194"/>
      <c r="F279" s="194"/>
      <c r="G279" s="194"/>
      <c r="H279" s="194"/>
      <c r="I279" s="194"/>
      <c r="J279" s="194"/>
      <c r="K279" s="194"/>
      <c r="L279" s="194"/>
      <c r="M279" s="194"/>
      <c r="N279" s="155">
        <f>SUM(N270:N278)</f>
        <v>0</v>
      </c>
      <c r="O279" s="192">
        <f>SUM(O270:O278)</f>
        <v>0</v>
      </c>
      <c r="P279" s="156">
        <f>SUM(P270:P278)</f>
        <v>0</v>
      </c>
      <c r="Q279" s="192">
        <f>SUM(Q270:Q278)</f>
        <v>0</v>
      </c>
      <c r="R279" s="113"/>
      <c r="S279" s="116"/>
      <c r="T279" s="2"/>
    </row>
    <row r="280" spans="1:20" ht="15.6" x14ac:dyDescent="0.3">
      <c r="A280" s="12"/>
      <c r="B280" s="43"/>
      <c r="C280" s="43"/>
      <c r="D280" s="188"/>
      <c r="E280" s="188"/>
      <c r="F280" s="188"/>
      <c r="G280" s="188"/>
      <c r="H280" s="188"/>
      <c r="I280" s="188"/>
      <c r="J280" s="188"/>
      <c r="K280" s="188"/>
      <c r="L280" s="188"/>
      <c r="M280" s="188"/>
      <c r="N280" s="153"/>
      <c r="O280" s="189"/>
      <c r="P280" s="190"/>
      <c r="Q280" s="189"/>
      <c r="R280" s="43"/>
      <c r="S280" s="217"/>
      <c r="T280" s="2"/>
    </row>
    <row r="281" spans="1:20" ht="15.6" x14ac:dyDescent="0.3">
      <c r="A281" s="73"/>
      <c r="B281" s="61" t="s">
        <v>125</v>
      </c>
      <c r="C281" s="74"/>
      <c r="D281" s="76"/>
      <c r="E281" s="76"/>
      <c r="F281" s="76"/>
      <c r="G281" s="76"/>
      <c r="H281" s="76"/>
      <c r="I281" s="76"/>
      <c r="J281" s="76"/>
      <c r="K281" s="76"/>
      <c r="L281" s="76"/>
      <c r="M281" s="76"/>
      <c r="N281" s="72" t="s">
        <v>83</v>
      </c>
      <c r="O281" s="62" t="s">
        <v>84</v>
      </c>
      <c r="P281" s="72" t="s">
        <v>89</v>
      </c>
      <c r="Q281" s="62" t="s">
        <v>84</v>
      </c>
      <c r="R281" s="74"/>
      <c r="S281" s="75"/>
      <c r="T281" s="2"/>
    </row>
    <row r="282" spans="1:20" ht="15.6" x14ac:dyDescent="0.3">
      <c r="A282" s="77"/>
      <c r="B282" s="78" t="s">
        <v>72</v>
      </c>
      <c r="C282" s="79"/>
      <c r="D282" s="80"/>
      <c r="E282" s="80"/>
      <c r="F282" s="80"/>
      <c r="G282" s="80"/>
      <c r="H282" s="80"/>
      <c r="I282" s="80"/>
      <c r="J282" s="80"/>
      <c r="K282" s="80"/>
      <c r="L282" s="80"/>
      <c r="M282" s="80"/>
      <c r="N282" s="78">
        <v>0</v>
      </c>
      <c r="O282" s="81">
        <v>0</v>
      </c>
      <c r="P282" s="82">
        <v>0</v>
      </c>
      <c r="Q282" s="81">
        <v>0</v>
      </c>
      <c r="R282" s="79"/>
      <c r="S282" s="220"/>
      <c r="T282" s="2"/>
    </row>
    <row r="283" spans="1:20" ht="15.6" x14ac:dyDescent="0.3">
      <c r="A283" s="122"/>
      <c r="B283" s="155" t="s">
        <v>73</v>
      </c>
      <c r="C283" s="113"/>
      <c r="D283" s="194"/>
      <c r="E283" s="194"/>
      <c r="F283" s="194"/>
      <c r="G283" s="194"/>
      <c r="H283" s="194"/>
      <c r="I283" s="194"/>
      <c r="J283" s="194"/>
      <c r="K283" s="194"/>
      <c r="L283" s="194"/>
      <c r="M283" s="194"/>
      <c r="N283" s="155">
        <v>0</v>
      </c>
      <c r="O283" s="192">
        <v>0</v>
      </c>
      <c r="P283" s="156">
        <v>0</v>
      </c>
      <c r="Q283" s="192">
        <v>0</v>
      </c>
      <c r="R283" s="113"/>
      <c r="S283" s="116"/>
      <c r="T283" s="2"/>
    </row>
    <row r="284" spans="1:20" ht="15.6" x14ac:dyDescent="0.3">
      <c r="A284" s="122"/>
      <c r="B284" s="155" t="s">
        <v>74</v>
      </c>
      <c r="C284" s="113"/>
      <c r="D284" s="194"/>
      <c r="E284" s="194"/>
      <c r="F284" s="194"/>
      <c r="G284" s="194"/>
      <c r="H284" s="194"/>
      <c r="I284" s="194"/>
      <c r="J284" s="194"/>
      <c r="K284" s="194"/>
      <c r="L284" s="194"/>
      <c r="M284" s="194"/>
      <c r="N284" s="155">
        <v>0</v>
      </c>
      <c r="O284" s="192">
        <v>0</v>
      </c>
      <c r="P284" s="156">
        <v>0</v>
      </c>
      <c r="Q284" s="192">
        <v>0</v>
      </c>
      <c r="R284" s="113"/>
      <c r="S284" s="116"/>
      <c r="T284" s="2"/>
    </row>
    <row r="285" spans="1:20" ht="15.6" x14ac:dyDescent="0.3">
      <c r="A285" s="122"/>
      <c r="B285" s="155" t="s">
        <v>119</v>
      </c>
      <c r="C285" s="113"/>
      <c r="D285" s="194"/>
      <c r="E285" s="194"/>
      <c r="F285" s="194"/>
      <c r="G285" s="194"/>
      <c r="H285" s="194"/>
      <c r="I285" s="194"/>
      <c r="J285" s="194"/>
      <c r="K285" s="194"/>
      <c r="L285" s="194"/>
      <c r="M285" s="194"/>
      <c r="N285" s="155">
        <v>0</v>
      </c>
      <c r="O285" s="192">
        <v>0</v>
      </c>
      <c r="P285" s="156">
        <v>0</v>
      </c>
      <c r="Q285" s="192">
        <v>0</v>
      </c>
      <c r="R285" s="113"/>
      <c r="S285" s="116"/>
      <c r="T285" s="2"/>
    </row>
    <row r="286" spans="1:20" ht="15.6" x14ac:dyDescent="0.3">
      <c r="A286" s="122"/>
      <c r="B286" s="155" t="s">
        <v>120</v>
      </c>
      <c r="C286" s="113"/>
      <c r="D286" s="194"/>
      <c r="E286" s="194"/>
      <c r="F286" s="194"/>
      <c r="G286" s="194"/>
      <c r="H286" s="194"/>
      <c r="I286" s="194"/>
      <c r="J286" s="194"/>
      <c r="K286" s="194"/>
      <c r="L286" s="194"/>
      <c r="M286" s="194"/>
      <c r="N286" s="155">
        <v>0</v>
      </c>
      <c r="O286" s="192">
        <v>0</v>
      </c>
      <c r="P286" s="156">
        <v>0</v>
      </c>
      <c r="Q286" s="192">
        <v>0</v>
      </c>
      <c r="R286" s="113"/>
      <c r="S286" s="116"/>
      <c r="T286" s="2"/>
    </row>
    <row r="287" spans="1:20" ht="15.6" x14ac:dyDescent="0.3">
      <c r="A287" s="122"/>
      <c r="B287" s="155" t="s">
        <v>121</v>
      </c>
      <c r="C287" s="113"/>
      <c r="D287" s="194"/>
      <c r="E287" s="194"/>
      <c r="F287" s="194"/>
      <c r="G287" s="194"/>
      <c r="H287" s="194"/>
      <c r="I287" s="194"/>
      <c r="J287" s="194"/>
      <c r="K287" s="194"/>
      <c r="L287" s="194"/>
      <c r="M287" s="194"/>
      <c r="N287" s="155">
        <v>0</v>
      </c>
      <c r="O287" s="192">
        <v>0</v>
      </c>
      <c r="P287" s="156">
        <v>0</v>
      </c>
      <c r="Q287" s="192">
        <v>0</v>
      </c>
      <c r="R287" s="113"/>
      <c r="S287" s="116"/>
      <c r="T287" s="2"/>
    </row>
    <row r="288" spans="1:20" ht="15.6" x14ac:dyDescent="0.3">
      <c r="A288" s="122"/>
      <c r="B288" s="155" t="s">
        <v>122</v>
      </c>
      <c r="C288" s="113"/>
      <c r="D288" s="194"/>
      <c r="E288" s="194"/>
      <c r="F288" s="194"/>
      <c r="G288" s="194"/>
      <c r="H288" s="194"/>
      <c r="I288" s="194"/>
      <c r="J288" s="194"/>
      <c r="K288" s="194"/>
      <c r="L288" s="194"/>
      <c r="M288" s="194"/>
      <c r="N288" s="155">
        <v>0</v>
      </c>
      <c r="O288" s="192">
        <v>0</v>
      </c>
      <c r="P288" s="156">
        <v>0</v>
      </c>
      <c r="Q288" s="192">
        <v>0</v>
      </c>
      <c r="R288" s="113"/>
      <c r="S288" s="116"/>
      <c r="T288" s="2"/>
    </row>
    <row r="289" spans="1:20" ht="15.6" x14ac:dyDescent="0.3">
      <c r="A289" s="122"/>
      <c r="B289" s="155" t="s">
        <v>123</v>
      </c>
      <c r="C289" s="113"/>
      <c r="D289" s="194"/>
      <c r="E289" s="194"/>
      <c r="F289" s="194"/>
      <c r="G289" s="194"/>
      <c r="H289" s="194"/>
      <c r="I289" s="194"/>
      <c r="J289" s="194"/>
      <c r="K289" s="194"/>
      <c r="L289" s="194"/>
      <c r="M289" s="194"/>
      <c r="N289" s="155">
        <v>0</v>
      </c>
      <c r="O289" s="192">
        <v>0</v>
      </c>
      <c r="P289" s="156">
        <v>0</v>
      </c>
      <c r="Q289" s="192">
        <v>0</v>
      </c>
      <c r="R289" s="113"/>
      <c r="S289" s="116"/>
      <c r="T289" s="2"/>
    </row>
    <row r="290" spans="1:20" ht="15.6" x14ac:dyDescent="0.3">
      <c r="A290" s="122"/>
      <c r="B290" s="155"/>
      <c r="C290" s="113"/>
      <c r="D290" s="194"/>
      <c r="E290" s="194"/>
      <c r="F290" s="194"/>
      <c r="G290" s="194"/>
      <c r="H290" s="194"/>
      <c r="I290" s="194"/>
      <c r="J290" s="194"/>
      <c r="K290" s="194"/>
      <c r="L290" s="194"/>
      <c r="M290" s="194"/>
      <c r="N290" s="155"/>
      <c r="O290" s="192"/>
      <c r="P290" s="156"/>
      <c r="Q290" s="192"/>
      <c r="R290" s="113"/>
      <c r="S290" s="116"/>
      <c r="T290" s="2"/>
    </row>
    <row r="291" spans="1:20" ht="15.6" x14ac:dyDescent="0.3">
      <c r="A291" s="122"/>
      <c r="B291" s="113" t="s">
        <v>94</v>
      </c>
      <c r="C291" s="113"/>
      <c r="D291" s="194"/>
      <c r="E291" s="194"/>
      <c r="F291" s="194"/>
      <c r="G291" s="194"/>
      <c r="H291" s="194"/>
      <c r="I291" s="194"/>
      <c r="J291" s="194"/>
      <c r="K291" s="194"/>
      <c r="L291" s="194"/>
      <c r="M291" s="194"/>
      <c r="N291" s="155">
        <f>SUM(N282:N289)</f>
        <v>0</v>
      </c>
      <c r="O291" s="192">
        <f>SUM(O282:O289)</f>
        <v>0</v>
      </c>
      <c r="P291" s="156">
        <f>SUM(P282:P289)</f>
        <v>0</v>
      </c>
      <c r="Q291" s="192">
        <f>SUM(Q282:Q289)</f>
        <v>0</v>
      </c>
      <c r="R291" s="113"/>
      <c r="S291" s="116"/>
      <c r="T291" s="2"/>
    </row>
    <row r="292" spans="1:20" ht="15.6" x14ac:dyDescent="0.3">
      <c r="A292" s="122"/>
      <c r="B292" s="113"/>
      <c r="C292" s="113"/>
      <c r="D292" s="194"/>
      <c r="E292" s="194"/>
      <c r="F292" s="194"/>
      <c r="G292" s="194"/>
      <c r="H292" s="194"/>
      <c r="I292" s="194"/>
      <c r="J292" s="194"/>
      <c r="K292" s="194"/>
      <c r="L292" s="194"/>
      <c r="M292" s="194"/>
      <c r="N292" s="155"/>
      <c r="O292" s="192"/>
      <c r="P292" s="156"/>
      <c r="Q292" s="192"/>
      <c r="R292" s="113"/>
      <c r="S292" s="116"/>
      <c r="T292" s="2"/>
    </row>
    <row r="293" spans="1:20" ht="15.6" x14ac:dyDescent="0.3">
      <c r="A293" s="122"/>
      <c r="B293" s="124" t="s">
        <v>177</v>
      </c>
      <c r="C293" s="113"/>
      <c r="D293" s="194"/>
      <c r="E293" s="194"/>
      <c r="F293" s="194"/>
      <c r="G293" s="194"/>
      <c r="H293" s="194"/>
      <c r="I293" s="194"/>
      <c r="J293" s="194"/>
      <c r="K293" s="194"/>
      <c r="L293" s="194"/>
      <c r="M293" s="194"/>
      <c r="N293" s="196">
        <f>N291+N279+N267</f>
        <v>1669</v>
      </c>
      <c r="O293" s="192"/>
      <c r="P293" s="197">
        <f>+P291+P279+P267</f>
        <v>267459</v>
      </c>
      <c r="Q293" s="192"/>
      <c r="R293" s="113"/>
      <c r="S293" s="116"/>
      <c r="T293" s="2"/>
    </row>
    <row r="294" spans="1:20" ht="15.6" x14ac:dyDescent="0.3">
      <c r="A294" s="122"/>
      <c r="B294" s="124" t="s">
        <v>217</v>
      </c>
      <c r="C294" s="124"/>
      <c r="D294" s="205"/>
      <c r="E294" s="205"/>
      <c r="F294" s="205"/>
      <c r="G294" s="205"/>
      <c r="H294" s="205"/>
      <c r="I294" s="205"/>
      <c r="J294" s="205"/>
      <c r="K294" s="205"/>
      <c r="L294" s="205"/>
      <c r="M294" s="205"/>
      <c r="N294" s="196"/>
      <c r="O294" s="206"/>
      <c r="P294" s="207">
        <f>+R180</f>
        <v>1166</v>
      </c>
      <c r="Q294" s="192"/>
      <c r="R294" s="113"/>
      <c r="S294" s="116"/>
      <c r="T294" s="2"/>
    </row>
    <row r="295" spans="1:20" ht="15.6" x14ac:dyDescent="0.3">
      <c r="A295" s="122"/>
      <c r="B295" s="124" t="s">
        <v>126</v>
      </c>
      <c r="C295" s="124"/>
      <c r="D295" s="205"/>
      <c r="E295" s="205"/>
      <c r="F295" s="205"/>
      <c r="G295" s="205"/>
      <c r="H295" s="205"/>
      <c r="I295" s="205"/>
      <c r="J295" s="205"/>
      <c r="K295" s="205"/>
      <c r="L295" s="205"/>
      <c r="M295" s="205"/>
      <c r="N295" s="196"/>
      <c r="O295" s="206"/>
      <c r="P295" s="207">
        <f>+P293+P294</f>
        <v>268625</v>
      </c>
      <c r="Q295" s="192"/>
      <c r="R295" s="113"/>
      <c r="S295" s="116"/>
      <c r="T295" s="2"/>
    </row>
    <row r="296" spans="1:20" ht="15.6" x14ac:dyDescent="0.3">
      <c r="A296" s="122"/>
      <c r="B296" s="124" t="s">
        <v>176</v>
      </c>
      <c r="C296" s="113"/>
      <c r="D296" s="194"/>
      <c r="E296" s="194"/>
      <c r="F296" s="194"/>
      <c r="G296" s="194"/>
      <c r="H296" s="194"/>
      <c r="I296" s="194"/>
      <c r="J296" s="194"/>
      <c r="K296" s="194"/>
      <c r="L296" s="194"/>
      <c r="M296" s="194"/>
      <c r="N296" s="196"/>
      <c r="O296" s="192"/>
      <c r="P296" s="197">
        <f>+R80</f>
        <v>268625</v>
      </c>
      <c r="Q296" s="192"/>
      <c r="R296" s="113"/>
      <c r="S296" s="116"/>
      <c r="T296" s="2"/>
    </row>
    <row r="297" spans="1:20" ht="15.6" x14ac:dyDescent="0.3">
      <c r="A297" s="122"/>
      <c r="B297" s="124"/>
      <c r="C297" s="113"/>
      <c r="D297" s="194"/>
      <c r="E297" s="194"/>
      <c r="F297" s="194"/>
      <c r="G297" s="194"/>
      <c r="H297" s="194"/>
      <c r="I297" s="194"/>
      <c r="J297" s="194"/>
      <c r="K297" s="194"/>
      <c r="L297" s="194"/>
      <c r="M297" s="194"/>
      <c r="N297" s="196"/>
      <c r="O297" s="192"/>
      <c r="P297" s="197"/>
      <c r="Q297" s="192"/>
      <c r="R297" s="113"/>
      <c r="S297" s="116"/>
      <c r="T297" s="2"/>
    </row>
    <row r="298" spans="1:20" ht="15.6" x14ac:dyDescent="0.3">
      <c r="A298" s="122"/>
      <c r="B298" s="124" t="s">
        <v>202</v>
      </c>
      <c r="C298" s="113"/>
      <c r="D298" s="194"/>
      <c r="E298" s="194"/>
      <c r="F298" s="194"/>
      <c r="G298" s="194"/>
      <c r="H298" s="194"/>
      <c r="I298" s="194"/>
      <c r="J298" s="194"/>
      <c r="K298" s="194"/>
      <c r="L298" s="194"/>
      <c r="M298" s="194"/>
      <c r="N298" s="196"/>
      <c r="O298" s="192"/>
      <c r="P298" s="214">
        <f>(L33+R147)/R33</f>
        <v>5.5847377116221834E-2</v>
      </c>
      <c r="Q298" s="192"/>
      <c r="R298" s="113"/>
      <c r="S298" s="116"/>
      <c r="T298" s="2"/>
    </row>
    <row r="299" spans="1:20" ht="15.6" x14ac:dyDescent="0.3">
      <c r="A299" s="83"/>
      <c r="B299" s="84"/>
      <c r="C299" s="84"/>
      <c r="D299" s="85"/>
      <c r="E299" s="85"/>
      <c r="F299" s="85"/>
      <c r="G299" s="85"/>
      <c r="H299" s="85"/>
      <c r="I299" s="85"/>
      <c r="J299" s="85"/>
      <c r="K299" s="85"/>
      <c r="L299" s="85"/>
      <c r="M299" s="85"/>
      <c r="N299" s="85"/>
      <c r="O299" s="85"/>
      <c r="P299" s="86"/>
      <c r="Q299" s="85"/>
      <c r="R299" s="84"/>
      <c r="S299" s="218"/>
      <c r="T299" s="2"/>
    </row>
    <row r="300" spans="1:20" ht="15.6" x14ac:dyDescent="0.3">
      <c r="A300" s="87"/>
      <c r="B300" s="88" t="s">
        <v>75</v>
      </c>
      <c r="C300" s="84"/>
      <c r="D300" s="89" t="s">
        <v>79</v>
      </c>
      <c r="E300" s="88"/>
      <c r="F300" s="88" t="s">
        <v>80</v>
      </c>
      <c r="G300" s="84"/>
      <c r="H300" s="88"/>
      <c r="I300" s="90"/>
      <c r="J300" s="90"/>
      <c r="K300" s="90"/>
      <c r="L300" s="90"/>
      <c r="M300" s="90"/>
      <c r="N300" s="90"/>
      <c r="O300" s="90"/>
      <c r="P300" s="90"/>
      <c r="Q300" s="90"/>
      <c r="R300" s="90"/>
      <c r="S300" s="229"/>
      <c r="T300" s="2"/>
    </row>
    <row r="301" spans="1:20" ht="15.6" x14ac:dyDescent="0.3">
      <c r="A301" s="87"/>
      <c r="B301" s="90"/>
      <c r="C301" s="84"/>
      <c r="D301" s="84"/>
      <c r="E301" s="84"/>
      <c r="F301" s="84"/>
      <c r="G301" s="84"/>
      <c r="H301" s="84"/>
      <c r="I301" s="90"/>
      <c r="J301" s="90"/>
      <c r="K301" s="90"/>
      <c r="L301" s="90"/>
      <c r="M301" s="90"/>
      <c r="N301" s="90"/>
      <c r="O301" s="90"/>
      <c r="P301" s="90"/>
      <c r="Q301" s="90"/>
      <c r="R301" s="90"/>
      <c r="S301" s="229"/>
      <c r="T301" s="2"/>
    </row>
    <row r="302" spans="1:20" ht="15.6" x14ac:dyDescent="0.3">
      <c r="A302" s="87"/>
      <c r="B302" s="213" t="s">
        <v>192</v>
      </c>
      <c r="C302" s="88"/>
      <c r="D302" s="91" t="s">
        <v>115</v>
      </c>
      <c r="E302" s="88"/>
      <c r="F302" s="88" t="s">
        <v>116</v>
      </c>
      <c r="G302" s="88"/>
      <c r="H302" s="88"/>
      <c r="I302" s="90"/>
      <c r="J302" s="90"/>
      <c r="K302" s="90"/>
      <c r="L302" s="90"/>
      <c r="M302" s="90"/>
      <c r="N302" s="90"/>
      <c r="O302" s="90"/>
      <c r="P302" s="90"/>
      <c r="Q302" s="90"/>
      <c r="R302" s="90"/>
      <c r="S302" s="229"/>
      <c r="T302" s="2"/>
    </row>
    <row r="303" spans="1:20" ht="15.6" x14ac:dyDescent="0.3">
      <c r="A303" s="87"/>
      <c r="B303" s="213" t="s">
        <v>193</v>
      </c>
      <c r="C303" s="88"/>
      <c r="D303" s="91" t="s">
        <v>147</v>
      </c>
      <c r="E303" s="88"/>
      <c r="F303" s="88" t="s">
        <v>148</v>
      </c>
      <c r="G303" s="88"/>
      <c r="H303" s="88"/>
      <c r="I303" s="90"/>
      <c r="J303" s="90"/>
      <c r="K303" s="90"/>
      <c r="L303" s="90"/>
      <c r="M303" s="90"/>
      <c r="N303" s="90"/>
      <c r="O303" s="90"/>
      <c r="P303" s="90"/>
      <c r="Q303" s="90"/>
      <c r="R303" s="90"/>
      <c r="S303" s="229"/>
      <c r="T303" s="2"/>
    </row>
    <row r="304" spans="1:20" ht="15.6" x14ac:dyDescent="0.3">
      <c r="A304" s="87"/>
      <c r="B304" s="213" t="s">
        <v>194</v>
      </c>
      <c r="C304" s="88"/>
      <c r="D304" s="91" t="s">
        <v>114</v>
      </c>
      <c r="E304" s="88"/>
      <c r="F304" s="88" t="s">
        <v>117</v>
      </c>
      <c r="G304" s="88"/>
      <c r="H304" s="88"/>
      <c r="I304" s="90"/>
      <c r="J304" s="90"/>
      <c r="K304" s="90"/>
      <c r="L304" s="90"/>
      <c r="M304" s="90"/>
      <c r="N304" s="90"/>
      <c r="O304" s="90"/>
      <c r="P304" s="90"/>
      <c r="Q304" s="90"/>
      <c r="R304" s="90"/>
      <c r="S304" s="229"/>
      <c r="T304" s="2"/>
    </row>
    <row r="305" spans="1:20" ht="15.6" x14ac:dyDescent="0.3">
      <c r="A305" s="87"/>
      <c r="B305" s="88"/>
      <c r="C305" s="88"/>
      <c r="D305" s="90"/>
      <c r="E305" s="90"/>
      <c r="F305" s="90"/>
      <c r="G305" s="90"/>
      <c r="H305" s="90"/>
      <c r="I305" s="90"/>
      <c r="J305" s="90"/>
      <c r="K305" s="90"/>
      <c r="L305" s="90"/>
      <c r="M305" s="90"/>
      <c r="N305" s="90"/>
      <c r="O305" s="90"/>
      <c r="P305" s="90"/>
      <c r="Q305" s="90"/>
      <c r="R305" s="90"/>
      <c r="S305" s="229"/>
      <c r="T305" s="2"/>
    </row>
    <row r="306" spans="1:20" ht="15.6" x14ac:dyDescent="0.3">
      <c r="A306" s="87"/>
      <c r="B306" s="88"/>
      <c r="C306" s="88"/>
      <c r="D306" s="90"/>
      <c r="E306" s="90"/>
      <c r="F306" s="90"/>
      <c r="G306" s="90"/>
      <c r="H306" s="90"/>
      <c r="I306" s="90"/>
      <c r="J306" s="90"/>
      <c r="K306" s="90"/>
      <c r="L306" s="90"/>
      <c r="M306" s="90"/>
      <c r="N306" s="90"/>
      <c r="O306" s="90"/>
      <c r="P306" s="90"/>
      <c r="Q306" s="90"/>
      <c r="R306" s="90"/>
      <c r="S306" s="229"/>
      <c r="T306" s="2"/>
    </row>
    <row r="307" spans="1:20" ht="18" thickBot="1" x14ac:dyDescent="0.35">
      <c r="A307" s="87"/>
      <c r="B307" s="92" t="str">
        <f>B205</f>
        <v>PM22 INVESTOR REPORT QUARTER ENDING NOVEMBER 2016</v>
      </c>
      <c r="C307" s="88"/>
      <c r="D307" s="90"/>
      <c r="E307" s="90"/>
      <c r="F307" s="90"/>
      <c r="G307" s="90"/>
      <c r="H307" s="90"/>
      <c r="I307" s="90"/>
      <c r="J307" s="90"/>
      <c r="K307" s="90"/>
      <c r="L307" s="90"/>
      <c r="M307" s="90"/>
      <c r="N307" s="90"/>
      <c r="O307" s="90"/>
      <c r="P307" s="90"/>
      <c r="Q307" s="90"/>
      <c r="R307" s="90"/>
      <c r="S307" s="99"/>
      <c r="T307" s="2"/>
    </row>
    <row r="308" spans="1:20" x14ac:dyDescent="0.25">
      <c r="A308" s="3"/>
      <c r="B308" s="3"/>
      <c r="C308" s="3"/>
      <c r="D308" s="3"/>
      <c r="E308" s="3"/>
      <c r="F308" s="3"/>
      <c r="G308" s="3"/>
      <c r="H308" s="3"/>
      <c r="I308" s="3"/>
      <c r="J308" s="3"/>
      <c r="K308" s="3"/>
      <c r="L308" s="3"/>
      <c r="M308" s="3"/>
      <c r="N308" s="3"/>
      <c r="O308" s="3"/>
      <c r="P308" s="3"/>
      <c r="Q308" s="3"/>
      <c r="R308" s="3"/>
      <c r="S308" s="3"/>
    </row>
  </sheetData>
  <hyperlinks>
    <hyperlink ref="N243"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R307"/>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221</v>
      </c>
      <c r="C1" s="11"/>
      <c r="D1" s="11"/>
      <c r="E1" s="11"/>
      <c r="F1" s="11"/>
      <c r="G1" s="11"/>
      <c r="H1" s="11"/>
      <c r="I1" s="11"/>
      <c r="J1" s="11"/>
      <c r="K1" s="11"/>
      <c r="L1" s="11"/>
      <c r="M1" s="11"/>
      <c r="N1" s="11"/>
      <c r="O1" s="11"/>
      <c r="P1" s="11"/>
      <c r="Q1" s="11"/>
      <c r="R1" s="11"/>
      <c r="S1" s="216"/>
      <c r="T1" s="2"/>
    </row>
    <row r="2" spans="1:20" ht="15.6" x14ac:dyDescent="0.3">
      <c r="A2" s="12"/>
      <c r="B2" s="13"/>
      <c r="C2" s="14"/>
      <c r="D2" s="14"/>
      <c r="E2" s="14"/>
      <c r="F2" s="14"/>
      <c r="G2" s="14"/>
      <c r="H2" s="14"/>
      <c r="I2" s="14"/>
      <c r="J2" s="14"/>
      <c r="K2" s="14"/>
      <c r="L2" s="14"/>
      <c r="M2" s="14"/>
      <c r="N2" s="14"/>
      <c r="O2" s="14"/>
      <c r="P2" s="14"/>
      <c r="Q2" s="14"/>
      <c r="R2" s="14"/>
      <c r="S2" s="217"/>
      <c r="T2" s="2"/>
    </row>
    <row r="3" spans="1:20" ht="15.6" x14ac:dyDescent="0.3">
      <c r="A3" s="15"/>
      <c r="B3" s="16" t="s">
        <v>222</v>
      </c>
      <c r="C3" s="14"/>
      <c r="D3" s="14"/>
      <c r="E3" s="14"/>
      <c r="F3" s="14"/>
      <c r="G3" s="14"/>
      <c r="H3" s="14"/>
      <c r="I3" s="14"/>
      <c r="J3" s="14"/>
      <c r="K3" s="14"/>
      <c r="L3" s="14"/>
      <c r="M3" s="14"/>
      <c r="N3" s="14"/>
      <c r="O3" s="14"/>
      <c r="P3" s="14"/>
      <c r="Q3" s="14"/>
      <c r="R3" s="14"/>
      <c r="S3" s="217"/>
      <c r="T3" s="2"/>
    </row>
    <row r="4" spans="1:20" ht="15.6" x14ac:dyDescent="0.3">
      <c r="A4" s="12"/>
      <c r="B4" s="13"/>
      <c r="C4" s="14"/>
      <c r="D4" s="14"/>
      <c r="E4" s="14"/>
      <c r="F4" s="14"/>
      <c r="G4" s="14"/>
      <c r="H4" s="14"/>
      <c r="I4" s="14"/>
      <c r="J4" s="14"/>
      <c r="K4" s="14"/>
      <c r="L4" s="14"/>
      <c r="M4" s="14"/>
      <c r="N4" s="14"/>
      <c r="O4" s="14"/>
      <c r="P4" s="14"/>
      <c r="Q4" s="14"/>
      <c r="R4" s="14"/>
      <c r="S4" s="217"/>
      <c r="T4" s="2"/>
    </row>
    <row r="5" spans="1:20" ht="15.6" x14ac:dyDescent="0.3">
      <c r="A5" s="12"/>
      <c r="B5" s="102" t="s">
        <v>109</v>
      </c>
      <c r="C5" s="14"/>
      <c r="D5" s="14"/>
      <c r="E5" s="14"/>
      <c r="F5" s="14"/>
      <c r="G5" s="14"/>
      <c r="H5" s="14"/>
      <c r="I5" s="14"/>
      <c r="J5" s="14"/>
      <c r="K5" s="14"/>
      <c r="L5" s="14"/>
      <c r="M5" s="14"/>
      <c r="N5" s="14"/>
      <c r="O5" s="14"/>
      <c r="P5" s="14"/>
      <c r="Q5" s="14"/>
      <c r="R5" s="14"/>
      <c r="S5" s="217"/>
      <c r="T5" s="2"/>
    </row>
    <row r="6" spans="1:20" ht="15.6" x14ac:dyDescent="0.3">
      <c r="A6" s="12"/>
      <c r="B6" s="102" t="s">
        <v>111</v>
      </c>
      <c r="C6" s="14"/>
      <c r="D6" s="14"/>
      <c r="E6" s="14"/>
      <c r="F6" s="14"/>
      <c r="G6" s="14"/>
      <c r="H6" s="14"/>
      <c r="I6" s="14"/>
      <c r="J6" s="14"/>
      <c r="K6" s="14"/>
      <c r="L6" s="14"/>
      <c r="M6" s="14"/>
      <c r="N6" s="14"/>
      <c r="O6" s="14"/>
      <c r="P6" s="14"/>
      <c r="Q6" s="14"/>
      <c r="R6" s="14"/>
      <c r="S6" s="217"/>
      <c r="T6" s="2"/>
    </row>
    <row r="7" spans="1:20" ht="15.6" x14ac:dyDescent="0.3">
      <c r="A7" s="12"/>
      <c r="B7" s="102" t="s">
        <v>110</v>
      </c>
      <c r="C7" s="14"/>
      <c r="D7" s="14"/>
      <c r="E7" s="14"/>
      <c r="F7" s="14"/>
      <c r="G7" s="14"/>
      <c r="H7" s="14"/>
      <c r="I7" s="14"/>
      <c r="J7" s="14"/>
      <c r="K7" s="14"/>
      <c r="L7" s="14"/>
      <c r="M7" s="14"/>
      <c r="N7" s="14"/>
      <c r="O7" s="14"/>
      <c r="P7" s="14"/>
      <c r="Q7" s="14"/>
      <c r="R7" s="14"/>
      <c r="S7" s="217"/>
      <c r="T7" s="2"/>
    </row>
    <row r="8" spans="1:20" ht="15.6" x14ac:dyDescent="0.3">
      <c r="A8" s="12"/>
      <c r="B8" s="17"/>
      <c r="C8" s="14"/>
      <c r="D8" s="14"/>
      <c r="E8" s="14"/>
      <c r="F8" s="14"/>
      <c r="G8" s="14"/>
      <c r="H8" s="14"/>
      <c r="I8" s="14"/>
      <c r="J8" s="14"/>
      <c r="K8" s="14"/>
      <c r="L8" s="14"/>
      <c r="M8" s="14"/>
      <c r="N8" s="14"/>
      <c r="O8" s="14"/>
      <c r="P8" s="14"/>
      <c r="Q8" s="14"/>
      <c r="R8" s="14"/>
      <c r="S8" s="217"/>
      <c r="T8" s="2"/>
    </row>
    <row r="9" spans="1:20" ht="17.399999999999999" x14ac:dyDescent="0.3">
      <c r="A9" s="12"/>
      <c r="B9" s="18" t="s">
        <v>127</v>
      </c>
      <c r="C9" s="14"/>
      <c r="D9" s="14"/>
      <c r="E9" s="19"/>
      <c r="F9" s="14"/>
      <c r="G9" s="14"/>
      <c r="H9" s="19"/>
      <c r="I9" s="14"/>
      <c r="J9" s="19"/>
      <c r="K9" s="19" t="s">
        <v>128</v>
      </c>
      <c r="L9" s="19"/>
      <c r="M9" s="14"/>
      <c r="N9" s="14"/>
      <c r="O9" s="14"/>
      <c r="P9" s="14"/>
      <c r="Q9" s="14"/>
      <c r="R9" s="14"/>
      <c r="S9" s="217"/>
      <c r="T9" s="2"/>
    </row>
    <row r="10" spans="1:20" ht="15.6" x14ac:dyDescent="0.3">
      <c r="A10" s="12"/>
      <c r="B10" s="17"/>
      <c r="C10" s="20"/>
      <c r="D10" s="14"/>
      <c r="E10" s="14"/>
      <c r="F10" s="14"/>
      <c r="G10" s="14"/>
      <c r="H10" s="14"/>
      <c r="I10" s="14"/>
      <c r="J10" s="14"/>
      <c r="K10" s="14"/>
      <c r="L10" s="14"/>
      <c r="M10" s="14"/>
      <c r="N10" s="14"/>
      <c r="O10" s="14"/>
      <c r="P10" s="14"/>
      <c r="Q10" s="14"/>
      <c r="R10" s="14"/>
      <c r="S10" s="217"/>
      <c r="T10" s="2"/>
    </row>
    <row r="11" spans="1:20" ht="15.6" x14ac:dyDescent="0.3">
      <c r="A11" s="12"/>
      <c r="B11" s="88" t="s">
        <v>0</v>
      </c>
      <c r="C11" s="14"/>
      <c r="D11" s="14"/>
      <c r="E11" s="14"/>
      <c r="F11" s="14"/>
      <c r="G11" s="14"/>
      <c r="H11" s="14"/>
      <c r="I11" s="14"/>
      <c r="J11" s="14"/>
      <c r="K11" s="14"/>
      <c r="L11" s="14"/>
      <c r="M11" s="14"/>
      <c r="N11" s="14"/>
      <c r="O11" s="14"/>
      <c r="P11" s="14"/>
      <c r="Q11" s="14"/>
      <c r="R11" s="14"/>
      <c r="S11" s="217"/>
      <c r="T11" s="2"/>
    </row>
    <row r="12" spans="1:20" ht="16.2" thickBot="1" x14ac:dyDescent="0.35">
      <c r="A12" s="12"/>
      <c r="B12" s="20"/>
      <c r="C12" s="14"/>
      <c r="D12" s="14"/>
      <c r="E12" s="14"/>
      <c r="F12" s="14"/>
      <c r="G12" s="14"/>
      <c r="H12" s="14"/>
      <c r="I12" s="14"/>
      <c r="J12" s="14"/>
      <c r="K12" s="14"/>
      <c r="L12" s="14"/>
      <c r="M12" s="14"/>
      <c r="N12" s="14"/>
      <c r="O12" s="14"/>
      <c r="P12" s="14"/>
      <c r="Q12" s="14"/>
      <c r="R12" s="14"/>
      <c r="S12" s="217"/>
      <c r="T12" s="2"/>
    </row>
    <row r="13" spans="1:20" ht="15.6" x14ac:dyDescent="0.3">
      <c r="A13" s="10"/>
      <c r="B13" s="11"/>
      <c r="C13" s="11"/>
      <c r="D13" s="11"/>
      <c r="E13" s="11"/>
      <c r="F13" s="11"/>
      <c r="G13" s="11"/>
      <c r="H13" s="11"/>
      <c r="I13" s="11"/>
      <c r="J13" s="11"/>
      <c r="K13" s="11"/>
      <c r="L13" s="11"/>
      <c r="M13" s="11"/>
      <c r="N13" s="11"/>
      <c r="O13" s="11"/>
      <c r="P13" s="11"/>
      <c r="Q13" s="11"/>
      <c r="R13" s="11"/>
      <c r="S13" s="216"/>
      <c r="T13" s="2"/>
    </row>
    <row r="14" spans="1:20" ht="15.6" x14ac:dyDescent="0.3">
      <c r="A14" s="12"/>
      <c r="B14" s="88" t="s">
        <v>1</v>
      </c>
      <c r="C14" s="84"/>
      <c r="D14" s="84"/>
      <c r="E14" s="84"/>
      <c r="F14" s="84"/>
      <c r="G14" s="84"/>
      <c r="H14" s="84"/>
      <c r="I14" s="84"/>
      <c r="J14" s="84"/>
      <c r="K14" s="84"/>
      <c r="L14" s="84"/>
      <c r="M14" s="84"/>
      <c r="N14" s="84"/>
      <c r="O14" s="84"/>
      <c r="P14" s="84"/>
      <c r="Q14" s="84"/>
      <c r="R14" s="103" t="s">
        <v>223</v>
      </c>
      <c r="S14" s="218"/>
      <c r="T14" s="2"/>
    </row>
    <row r="15" spans="1:20" ht="15.6" x14ac:dyDescent="0.3">
      <c r="A15" s="12"/>
      <c r="B15" s="88" t="s">
        <v>2</v>
      </c>
      <c r="C15" s="84"/>
      <c r="D15" s="104"/>
      <c r="E15" s="104"/>
      <c r="F15" s="104"/>
      <c r="G15" s="104"/>
      <c r="H15" s="104"/>
      <c r="I15" s="104"/>
      <c r="J15" s="104"/>
      <c r="K15" s="104"/>
      <c r="L15" s="104"/>
      <c r="M15" s="104"/>
      <c r="N15" s="105"/>
      <c r="O15" s="105"/>
      <c r="P15" s="105" t="s">
        <v>154</v>
      </c>
      <c r="Q15" s="105">
        <v>1</v>
      </c>
      <c r="R15" s="103"/>
      <c r="S15" s="218"/>
      <c r="T15" s="2"/>
    </row>
    <row r="16" spans="1:20" ht="15.6" x14ac:dyDescent="0.3">
      <c r="A16" s="12"/>
      <c r="B16" s="88" t="s">
        <v>3</v>
      </c>
      <c r="C16" s="84"/>
      <c r="D16" s="104"/>
      <c r="E16" s="104"/>
      <c r="F16" s="104"/>
      <c r="G16" s="104"/>
      <c r="H16" s="104"/>
      <c r="I16" s="104"/>
      <c r="J16" s="104"/>
      <c r="K16" s="104"/>
      <c r="L16" s="104"/>
      <c r="M16" s="104"/>
      <c r="N16" s="105"/>
      <c r="O16" s="230"/>
      <c r="P16" s="105" t="s">
        <v>154</v>
      </c>
      <c r="Q16" s="230">
        <v>1</v>
      </c>
      <c r="R16" s="103"/>
      <c r="S16" s="218"/>
      <c r="T16" s="2"/>
    </row>
    <row r="17" spans="1:23" ht="15.6" x14ac:dyDescent="0.3">
      <c r="A17" s="12"/>
      <c r="B17" s="88" t="s">
        <v>4</v>
      </c>
      <c r="C17" s="84"/>
      <c r="D17" s="84"/>
      <c r="E17" s="84"/>
      <c r="F17" s="84"/>
      <c r="G17" s="84"/>
      <c r="H17" s="84"/>
      <c r="I17" s="84"/>
      <c r="J17" s="84"/>
      <c r="K17" s="84"/>
      <c r="L17" s="84"/>
      <c r="M17" s="84"/>
      <c r="N17" s="84"/>
      <c r="O17" s="84"/>
      <c r="P17" s="84"/>
      <c r="Q17" s="84"/>
      <c r="R17" s="106">
        <v>42088</v>
      </c>
      <c r="S17" s="218"/>
      <c r="T17" s="2"/>
    </row>
    <row r="18" spans="1:23" ht="15.6" x14ac:dyDescent="0.3">
      <c r="A18" s="12"/>
      <c r="B18" s="88" t="s">
        <v>5</v>
      </c>
      <c r="C18" s="84"/>
      <c r="D18" s="84"/>
      <c r="E18" s="84"/>
      <c r="F18" s="84"/>
      <c r="G18" s="84"/>
      <c r="H18" s="84"/>
      <c r="I18" s="84"/>
      <c r="J18" s="84"/>
      <c r="K18" s="84"/>
      <c r="L18" s="84"/>
      <c r="M18" s="84"/>
      <c r="N18" s="84"/>
      <c r="O18" s="84"/>
      <c r="P18" s="84"/>
      <c r="Q18" s="84"/>
      <c r="R18" s="215">
        <v>42814</v>
      </c>
      <c r="S18" s="218"/>
      <c r="T18" s="2"/>
    </row>
    <row r="19" spans="1:23" ht="15.6" x14ac:dyDescent="0.3">
      <c r="A19" s="12"/>
      <c r="B19" s="14"/>
      <c r="C19" s="14"/>
      <c r="D19" s="14"/>
      <c r="E19" s="14"/>
      <c r="F19" s="14"/>
      <c r="G19" s="14"/>
      <c r="H19" s="14"/>
      <c r="I19" s="14"/>
      <c r="J19" s="14"/>
      <c r="K19" s="14"/>
      <c r="L19" s="14"/>
      <c r="M19" s="14"/>
      <c r="N19" s="14"/>
      <c r="O19" s="14"/>
      <c r="P19" s="14"/>
      <c r="Q19" s="14"/>
      <c r="R19" s="21"/>
      <c r="S19" s="217"/>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7"/>
      <c r="T20" s="2"/>
    </row>
    <row r="21" spans="1:23" ht="15.6" x14ac:dyDescent="0.3">
      <c r="A21" s="12"/>
      <c r="B21" s="14"/>
      <c r="C21" s="14"/>
      <c r="D21" s="14"/>
      <c r="E21" s="14"/>
      <c r="F21" s="14"/>
      <c r="G21" s="14"/>
      <c r="H21" s="14"/>
      <c r="I21" s="14"/>
      <c r="J21" s="14"/>
      <c r="K21" s="14"/>
      <c r="L21" s="14"/>
      <c r="M21" s="14"/>
      <c r="N21" s="14"/>
      <c r="O21" s="14"/>
      <c r="P21" s="14"/>
      <c r="Q21" s="14"/>
      <c r="R21" s="23"/>
      <c r="S21" s="217"/>
      <c r="T21" s="2"/>
    </row>
    <row r="22" spans="1:23" ht="15.6" x14ac:dyDescent="0.3">
      <c r="A22" s="53"/>
      <c r="B22" s="54"/>
      <c r="C22" s="55"/>
      <c r="D22" s="55" t="s">
        <v>232</v>
      </c>
      <c r="E22" s="55"/>
      <c r="F22" s="55" t="s">
        <v>233</v>
      </c>
      <c r="G22" s="55"/>
      <c r="H22" s="55" t="s">
        <v>179</v>
      </c>
      <c r="I22" s="55"/>
      <c r="J22" s="55" t="s">
        <v>180</v>
      </c>
      <c r="K22" s="55"/>
      <c r="L22" s="55" t="s">
        <v>234</v>
      </c>
      <c r="M22" s="55"/>
      <c r="N22" s="55"/>
      <c r="O22" s="56"/>
      <c r="P22" s="57"/>
      <c r="Q22" s="58"/>
      <c r="R22" s="58"/>
      <c r="S22" s="219"/>
      <c r="T22" s="2"/>
    </row>
    <row r="23" spans="1:23" ht="15.6" x14ac:dyDescent="0.3">
      <c r="A23" s="24"/>
      <c r="B23" s="79" t="s">
        <v>226</v>
      </c>
      <c r="C23" s="109"/>
      <c r="D23" s="109" t="s">
        <v>112</v>
      </c>
      <c r="E23" s="109"/>
      <c r="F23" s="109" t="s">
        <v>112</v>
      </c>
      <c r="G23" s="109"/>
      <c r="H23" s="109" t="s">
        <v>178</v>
      </c>
      <c r="I23" s="109"/>
      <c r="J23" s="109" t="s">
        <v>249</v>
      </c>
      <c r="K23" s="109"/>
      <c r="L23" s="109" t="s">
        <v>153</v>
      </c>
      <c r="M23" s="109"/>
      <c r="N23" s="109"/>
      <c r="O23" s="109"/>
      <c r="P23" s="109"/>
      <c r="Q23" s="100"/>
      <c r="R23" s="100"/>
      <c r="S23" s="220"/>
      <c r="T23" s="2"/>
    </row>
    <row r="24" spans="1:23" ht="15.6" x14ac:dyDescent="0.3">
      <c r="A24" s="117"/>
      <c r="B24" s="113" t="s">
        <v>197</v>
      </c>
      <c r="C24" s="119"/>
      <c r="D24" s="114" t="s">
        <v>199</v>
      </c>
      <c r="E24" s="114"/>
      <c r="F24" s="114" t="s">
        <v>199</v>
      </c>
      <c r="G24" s="114"/>
      <c r="H24" s="114" t="s">
        <v>200</v>
      </c>
      <c r="I24" s="114"/>
      <c r="J24" s="114" t="s">
        <v>201</v>
      </c>
      <c r="K24" s="114"/>
      <c r="L24" s="114" t="s">
        <v>153</v>
      </c>
      <c r="M24" s="114"/>
      <c r="N24" s="114"/>
      <c r="O24" s="119"/>
      <c r="P24" s="114"/>
      <c r="Q24" s="115"/>
      <c r="R24" s="115"/>
      <c r="S24" s="116"/>
      <c r="T24" s="2"/>
    </row>
    <row r="25" spans="1:23" ht="15.6" x14ac:dyDescent="0.3">
      <c r="A25" s="120"/>
      <c r="B25" s="124" t="s">
        <v>227</v>
      </c>
      <c r="C25" s="119"/>
      <c r="D25" s="119" t="s">
        <v>112</v>
      </c>
      <c r="E25" s="119"/>
      <c r="F25" s="119" t="s">
        <v>112</v>
      </c>
      <c r="G25" s="119"/>
      <c r="H25" s="119" t="s">
        <v>178</v>
      </c>
      <c r="I25" s="119"/>
      <c r="J25" s="119" t="s">
        <v>249</v>
      </c>
      <c r="K25" s="119"/>
      <c r="L25" s="119" t="s">
        <v>153</v>
      </c>
      <c r="M25" s="119"/>
      <c r="N25" s="119"/>
      <c r="O25" s="119"/>
      <c r="P25" s="114"/>
      <c r="Q25" s="115"/>
      <c r="R25" s="115"/>
      <c r="S25" s="116"/>
      <c r="T25" s="2"/>
      <c r="U25" s="211"/>
      <c r="W25" s="212"/>
    </row>
    <row r="26" spans="1:23" ht="15.6" x14ac:dyDescent="0.3">
      <c r="A26" s="122"/>
      <c r="B26" s="124" t="s">
        <v>198</v>
      </c>
      <c r="C26" s="114"/>
      <c r="D26" s="119" t="s">
        <v>199</v>
      </c>
      <c r="E26" s="119"/>
      <c r="F26" s="119" t="s">
        <v>199</v>
      </c>
      <c r="G26" s="119"/>
      <c r="H26" s="119" t="s">
        <v>200</v>
      </c>
      <c r="I26" s="119"/>
      <c r="J26" s="119" t="s">
        <v>201</v>
      </c>
      <c r="K26" s="119"/>
      <c r="L26" s="119" t="s">
        <v>153</v>
      </c>
      <c r="M26" s="119"/>
      <c r="N26" s="119"/>
      <c r="O26" s="114"/>
      <c r="P26" s="123"/>
      <c r="Q26" s="115"/>
      <c r="R26" s="115"/>
      <c r="S26" s="116"/>
      <c r="T26" s="2"/>
      <c r="U26" s="211"/>
      <c r="W26" s="212"/>
    </row>
    <row r="27" spans="1:23" ht="15.6" x14ac:dyDescent="0.3">
      <c r="A27" s="122"/>
      <c r="B27" s="113" t="s">
        <v>7</v>
      </c>
      <c r="C27" s="125"/>
      <c r="D27" s="114" t="s">
        <v>228</v>
      </c>
      <c r="E27" s="114"/>
      <c r="F27" s="114" t="s">
        <v>242</v>
      </c>
      <c r="G27" s="114"/>
      <c r="H27" s="114" t="s">
        <v>243</v>
      </c>
      <c r="I27" s="114"/>
      <c r="J27" s="114" t="s">
        <v>244</v>
      </c>
      <c r="K27" s="114"/>
      <c r="L27" s="114" t="s">
        <v>245</v>
      </c>
      <c r="M27" s="114"/>
      <c r="N27" s="114"/>
      <c r="O27" s="126"/>
      <c r="P27" s="126"/>
      <c r="Q27" s="127"/>
      <c r="R27" s="126"/>
      <c r="S27" s="128"/>
      <c r="T27" s="2"/>
      <c r="U27" s="211"/>
      <c r="W27" s="212"/>
    </row>
    <row r="28" spans="1:23" ht="15.6" x14ac:dyDescent="0.3">
      <c r="A28" s="120"/>
      <c r="B28" s="113" t="s">
        <v>106</v>
      </c>
      <c r="C28" s="129"/>
      <c r="D28" s="235">
        <v>164000</v>
      </c>
      <c r="E28" s="130"/>
      <c r="F28" s="201">
        <v>151700</v>
      </c>
      <c r="G28" s="198"/>
      <c r="H28" s="201">
        <v>12000</v>
      </c>
      <c r="I28" s="198"/>
      <c r="J28" s="201">
        <v>12000</v>
      </c>
      <c r="K28" s="126"/>
      <c r="L28" s="201">
        <v>7500</v>
      </c>
      <c r="M28" s="126"/>
      <c r="N28" s="130"/>
      <c r="O28" s="131"/>
      <c r="P28" s="131"/>
      <c r="Q28" s="132"/>
      <c r="R28" s="126"/>
      <c r="S28" s="128"/>
      <c r="T28" s="2"/>
    </row>
    <row r="29" spans="1:23" ht="15.6" x14ac:dyDescent="0.3">
      <c r="A29" s="122"/>
      <c r="B29" s="113" t="s">
        <v>105</v>
      </c>
      <c r="C29" s="125"/>
      <c r="D29" s="235">
        <f>D28*D35</f>
        <v>144831.2536</v>
      </c>
      <c r="E29" s="130"/>
      <c r="F29" s="201">
        <f>F28*F35</f>
        <v>133968.90958000001</v>
      </c>
      <c r="G29" s="201"/>
      <c r="H29" s="201">
        <f>H28</f>
        <v>12000</v>
      </c>
      <c r="I29" s="201"/>
      <c r="J29" s="201">
        <f>J28</f>
        <v>12000</v>
      </c>
      <c r="K29" s="126"/>
      <c r="L29" s="201">
        <f>L28</f>
        <v>7500</v>
      </c>
      <c r="M29" s="126"/>
      <c r="N29" s="130"/>
      <c r="O29" s="126"/>
      <c r="P29" s="126"/>
      <c r="Q29" s="127"/>
      <c r="R29" s="126"/>
      <c r="S29" s="128"/>
      <c r="T29" s="2"/>
    </row>
    <row r="30" spans="1:23" ht="15.6" x14ac:dyDescent="0.3">
      <c r="A30" s="122"/>
      <c r="B30" s="121" t="s">
        <v>107</v>
      </c>
      <c r="C30" s="125"/>
      <c r="D30" s="236">
        <f>D28*D34</f>
        <v>124397.54240000001</v>
      </c>
      <c r="E30" s="202"/>
      <c r="F30" s="202">
        <f t="shared" ref="F30" si="0">F28*F34</f>
        <v>115067.72672000001</v>
      </c>
      <c r="G30" s="202"/>
      <c r="H30" s="202">
        <f t="shared" ref="H30" si="1">H28*H34</f>
        <v>12000</v>
      </c>
      <c r="I30" s="202"/>
      <c r="J30" s="202">
        <f t="shared" ref="J30" si="2">J28*J34</f>
        <v>12000</v>
      </c>
      <c r="K30" s="202"/>
      <c r="L30" s="202">
        <f t="shared" ref="L30" si="3">L28*L34</f>
        <v>7500</v>
      </c>
      <c r="M30" s="131"/>
      <c r="N30" s="133"/>
      <c r="O30" s="126"/>
      <c r="P30" s="126"/>
      <c r="Q30" s="127"/>
      <c r="R30" s="203"/>
      <c r="S30" s="128"/>
      <c r="T30" s="2"/>
    </row>
    <row r="31" spans="1:23" ht="15.6" x14ac:dyDescent="0.3">
      <c r="A31" s="122"/>
      <c r="B31" s="113" t="s">
        <v>229</v>
      </c>
      <c r="C31" s="125"/>
      <c r="D31" s="201">
        <v>116809</v>
      </c>
      <c r="E31" s="201"/>
      <c r="F31" s="201">
        <v>151700</v>
      </c>
      <c r="G31" s="201"/>
      <c r="H31" s="201">
        <v>12000</v>
      </c>
      <c r="I31" s="201"/>
      <c r="J31" s="201">
        <v>12000</v>
      </c>
      <c r="K31" s="201"/>
      <c r="L31" s="201">
        <v>7500</v>
      </c>
      <c r="M31" s="126"/>
      <c r="N31" s="133"/>
      <c r="O31" s="126"/>
      <c r="P31" s="126"/>
      <c r="Q31" s="127"/>
      <c r="R31" s="126">
        <f>SUM(D31:L31)</f>
        <v>300009</v>
      </c>
      <c r="S31" s="128"/>
      <c r="T31" s="2"/>
    </row>
    <row r="32" spans="1:23" ht="15.6" x14ac:dyDescent="0.3">
      <c r="A32" s="122"/>
      <c r="B32" s="113" t="s">
        <v>230</v>
      </c>
      <c r="C32" s="125"/>
      <c r="D32" s="201">
        <f>D31*D35</f>
        <v>103156.06037660001</v>
      </c>
      <c r="E32" s="201"/>
      <c r="F32" s="201">
        <f>F31*F35</f>
        <v>133968.90958000001</v>
      </c>
      <c r="G32" s="201"/>
      <c r="H32" s="201">
        <f>H31</f>
        <v>12000</v>
      </c>
      <c r="I32" s="201"/>
      <c r="J32" s="201">
        <f>+J31</f>
        <v>12000</v>
      </c>
      <c r="K32" s="201"/>
      <c r="L32" s="201">
        <f>L31</f>
        <v>7500</v>
      </c>
      <c r="M32" s="126"/>
      <c r="N32" s="133"/>
      <c r="O32" s="126"/>
      <c r="P32" s="126"/>
      <c r="Q32" s="127"/>
      <c r="R32" s="126">
        <f>SUM(D32:L32)</f>
        <v>268624.96995659999</v>
      </c>
      <c r="S32" s="128"/>
      <c r="T32" s="2"/>
    </row>
    <row r="33" spans="1:20" ht="15.6" x14ac:dyDescent="0.3">
      <c r="A33" s="122"/>
      <c r="B33" s="124" t="s">
        <v>231</v>
      </c>
      <c r="C33" s="125"/>
      <c r="D33" s="237">
        <f>D31*D34</f>
        <v>88602.149574399999</v>
      </c>
      <c r="E33" s="237"/>
      <c r="F33" s="237">
        <f>F31*F34</f>
        <v>115067.72672000001</v>
      </c>
      <c r="G33" s="237"/>
      <c r="H33" s="237">
        <f t="shared" ref="H33:L33" si="4">H31*H34</f>
        <v>12000</v>
      </c>
      <c r="I33" s="237"/>
      <c r="J33" s="237">
        <f t="shared" si="4"/>
        <v>12000</v>
      </c>
      <c r="K33" s="237"/>
      <c r="L33" s="237">
        <f t="shared" si="4"/>
        <v>7500</v>
      </c>
      <c r="M33" s="131"/>
      <c r="N33" s="133"/>
      <c r="O33" s="126"/>
      <c r="P33" s="126"/>
      <c r="Q33" s="127"/>
      <c r="R33" s="203">
        <f>SUM(D33:L33)</f>
        <v>235169.87629440002</v>
      </c>
      <c r="S33" s="128"/>
      <c r="T33" s="2"/>
    </row>
    <row r="34" spans="1:20" ht="15.6" x14ac:dyDescent="0.3">
      <c r="A34" s="112"/>
      <c r="B34" s="134" t="s">
        <v>103</v>
      </c>
      <c r="C34" s="135"/>
      <c r="D34" s="136">
        <v>0.75852160000000002</v>
      </c>
      <c r="E34" s="136"/>
      <c r="F34" s="136">
        <v>0.75852160000000002</v>
      </c>
      <c r="G34" s="136"/>
      <c r="H34" s="136">
        <v>1</v>
      </c>
      <c r="I34" s="136"/>
      <c r="J34" s="136">
        <v>1</v>
      </c>
      <c r="K34" s="136"/>
      <c r="L34" s="136">
        <v>1</v>
      </c>
      <c r="M34" s="136"/>
      <c r="N34" s="136"/>
      <c r="O34" s="137"/>
      <c r="P34" s="137"/>
      <c r="Q34" s="138"/>
      <c r="R34" s="204"/>
      <c r="S34" s="139"/>
      <c r="T34" s="2"/>
    </row>
    <row r="35" spans="1:20" ht="15.6" x14ac:dyDescent="0.3">
      <c r="A35" s="112"/>
      <c r="B35" s="134" t="s">
        <v>104</v>
      </c>
      <c r="C35" s="135"/>
      <c r="D35" s="136">
        <v>0.88311740000000005</v>
      </c>
      <c r="E35" s="136"/>
      <c r="F35" s="136">
        <v>0.88311740000000005</v>
      </c>
      <c r="G35" s="136"/>
      <c r="H35" s="136">
        <v>1</v>
      </c>
      <c r="I35" s="136"/>
      <c r="J35" s="136">
        <v>1</v>
      </c>
      <c r="K35" s="136"/>
      <c r="L35" s="136">
        <v>1</v>
      </c>
      <c r="M35" s="136"/>
      <c r="N35" s="136"/>
      <c r="O35" s="140"/>
      <c r="P35" s="141"/>
      <c r="Q35" s="138"/>
      <c r="R35" s="140"/>
      <c r="S35" s="139"/>
      <c r="T35" s="2"/>
    </row>
    <row r="36" spans="1:20" ht="15.6" x14ac:dyDescent="0.3">
      <c r="A36" s="112"/>
      <c r="B36" s="113" t="s">
        <v>8</v>
      </c>
      <c r="C36" s="113"/>
      <c r="D36" s="123" t="s">
        <v>240</v>
      </c>
      <c r="E36" s="123"/>
      <c r="F36" s="123" t="s">
        <v>220</v>
      </c>
      <c r="G36" s="123"/>
      <c r="H36" s="123" t="s">
        <v>247</v>
      </c>
      <c r="I36" s="123"/>
      <c r="J36" s="123" t="s">
        <v>250</v>
      </c>
      <c r="K36" s="123"/>
      <c r="L36" s="123" t="s">
        <v>252</v>
      </c>
      <c r="M36" s="123"/>
      <c r="N36" s="123"/>
      <c r="O36" s="142"/>
      <c r="P36" s="143"/>
      <c r="Q36" s="115"/>
      <c r="R36" s="115"/>
      <c r="S36" s="116"/>
      <c r="T36" s="2"/>
    </row>
    <row r="37" spans="1:20" ht="15.6" x14ac:dyDescent="0.3">
      <c r="A37" s="112"/>
      <c r="B37" s="113" t="s">
        <v>9</v>
      </c>
      <c r="C37" s="144"/>
      <c r="D37" s="143">
        <v>1.8400000000000001E-3</v>
      </c>
      <c r="E37" s="143"/>
      <c r="F37" s="143">
        <v>1.17313E-2</v>
      </c>
      <c r="G37" s="143"/>
      <c r="H37" s="143">
        <v>1.7231300000000001E-2</v>
      </c>
      <c r="I37" s="143"/>
      <c r="J37" s="143">
        <v>2.0231300000000001E-2</v>
      </c>
      <c r="K37" s="143"/>
      <c r="L37" s="143">
        <v>2.37313E-2</v>
      </c>
      <c r="M37" s="142"/>
      <c r="N37" s="143"/>
      <c r="O37" s="123"/>
      <c r="P37" s="123"/>
      <c r="Q37" s="115"/>
      <c r="R37" s="142"/>
      <c r="S37" s="116"/>
      <c r="T37" s="2"/>
    </row>
    <row r="38" spans="1:20" ht="15.6" x14ac:dyDescent="0.3">
      <c r="A38" s="112"/>
      <c r="B38" s="113" t="s">
        <v>10</v>
      </c>
      <c r="C38" s="144"/>
      <c r="D38" s="143">
        <v>1.98E-3</v>
      </c>
      <c r="E38" s="143"/>
      <c r="F38" s="143">
        <v>1.1818800000000001E-2</v>
      </c>
      <c r="G38" s="143"/>
      <c r="H38" s="143">
        <v>1.7318799999999999E-2</v>
      </c>
      <c r="I38" s="143"/>
      <c r="J38" s="143">
        <v>2.0318800000000001E-2</v>
      </c>
      <c r="K38" s="143"/>
      <c r="L38" s="143">
        <v>2.3818800000000001E-2</v>
      </c>
      <c r="M38" s="142"/>
      <c r="N38" s="143"/>
      <c r="O38" s="123"/>
      <c r="P38" s="123"/>
      <c r="Q38" s="115"/>
      <c r="R38" s="115"/>
      <c r="S38" s="116"/>
      <c r="T38" s="2"/>
    </row>
    <row r="39" spans="1:20" ht="15.6" x14ac:dyDescent="0.3">
      <c r="A39" s="112"/>
      <c r="B39" s="113" t="s">
        <v>235</v>
      </c>
      <c r="C39" s="144"/>
      <c r="D39" s="240" t="s">
        <v>260</v>
      </c>
      <c r="E39" s="143"/>
      <c r="F39" s="143" t="s">
        <v>220</v>
      </c>
      <c r="G39" s="143"/>
      <c r="H39" s="143" t="s">
        <v>247</v>
      </c>
      <c r="I39" s="143"/>
      <c r="J39" s="123" t="s">
        <v>250</v>
      </c>
      <c r="K39" s="143"/>
      <c r="L39" s="143" t="s">
        <v>252</v>
      </c>
      <c r="M39" s="142"/>
      <c r="N39" s="143"/>
      <c r="O39" s="123"/>
      <c r="P39" s="123"/>
      <c r="Q39" s="115"/>
      <c r="R39" s="115"/>
      <c r="S39" s="116"/>
      <c r="T39" s="2"/>
    </row>
    <row r="40" spans="1:20" ht="15.6" x14ac:dyDescent="0.3">
      <c r="A40" s="112"/>
      <c r="B40" s="113" t="s">
        <v>236</v>
      </c>
      <c r="C40" s="144"/>
      <c r="D40" s="143">
        <v>1.4131299999999999E-2</v>
      </c>
      <c r="E40" s="143"/>
      <c r="F40" s="143">
        <f>+F37</f>
        <v>1.17313E-2</v>
      </c>
      <c r="G40" s="143"/>
      <c r="H40" s="143">
        <f>+H37</f>
        <v>1.7231300000000001E-2</v>
      </c>
      <c r="I40" s="143"/>
      <c r="J40" s="143">
        <f>+J37</f>
        <v>2.0231300000000001E-2</v>
      </c>
      <c r="K40" s="143"/>
      <c r="L40" s="143">
        <f>+L37</f>
        <v>2.37313E-2</v>
      </c>
      <c r="M40" s="142"/>
      <c r="N40" s="143"/>
      <c r="O40" s="123"/>
      <c r="P40" s="123"/>
      <c r="Q40" s="115"/>
      <c r="R40" s="142">
        <f>SUMPRODUCT(D40:L40,D32:L32)/R32</f>
        <v>1.361338320687955E-2</v>
      </c>
      <c r="S40" s="116"/>
      <c r="T40" s="2"/>
    </row>
    <row r="41" spans="1:20" ht="15.6" x14ac:dyDescent="0.3">
      <c r="A41" s="112"/>
      <c r="B41" s="113" t="s">
        <v>237</v>
      </c>
      <c r="C41" s="144"/>
      <c r="D41" s="143">
        <v>1.42188E-2</v>
      </c>
      <c r="E41" s="143"/>
      <c r="F41" s="143">
        <f>+F38</f>
        <v>1.1818800000000001E-2</v>
      </c>
      <c r="G41" s="143"/>
      <c r="H41" s="143">
        <f>+H38</f>
        <v>1.7318799999999999E-2</v>
      </c>
      <c r="I41" s="143"/>
      <c r="J41" s="143">
        <f>+J38</f>
        <v>2.0318800000000001E-2</v>
      </c>
      <c r="K41" s="143"/>
      <c r="L41" s="143">
        <f>+L38</f>
        <v>2.3818800000000001E-2</v>
      </c>
      <c r="M41" s="142"/>
      <c r="N41" s="143"/>
      <c r="O41" s="123"/>
      <c r="P41" s="123"/>
      <c r="Q41" s="115"/>
      <c r="R41" s="115"/>
      <c r="S41" s="116"/>
      <c r="T41" s="2"/>
    </row>
    <row r="42" spans="1:20" ht="15.6" x14ac:dyDescent="0.3">
      <c r="A42" s="112"/>
      <c r="B42" s="113" t="s">
        <v>238</v>
      </c>
      <c r="C42" s="113"/>
      <c r="D42" s="144">
        <v>43631</v>
      </c>
      <c r="E42" s="144"/>
      <c r="F42" s="144">
        <v>43631</v>
      </c>
      <c r="G42" s="144"/>
      <c r="H42" s="144">
        <v>43631</v>
      </c>
      <c r="I42" s="144"/>
      <c r="J42" s="144">
        <v>43631</v>
      </c>
      <c r="K42" s="144"/>
      <c r="L42" s="144">
        <v>43631</v>
      </c>
      <c r="M42" s="144"/>
      <c r="N42" s="144"/>
      <c r="O42" s="123"/>
      <c r="P42" s="123"/>
      <c r="Q42" s="115"/>
      <c r="R42" s="115"/>
      <c r="S42" s="116"/>
      <c r="T42" s="2"/>
    </row>
    <row r="43" spans="1:20" ht="15.6" x14ac:dyDescent="0.3">
      <c r="A43" s="112"/>
      <c r="B43" s="113" t="s">
        <v>11</v>
      </c>
      <c r="C43" s="113"/>
      <c r="D43" s="144">
        <v>43631</v>
      </c>
      <c r="E43" s="144"/>
      <c r="F43" s="144">
        <v>43631</v>
      </c>
      <c r="G43" s="123"/>
      <c r="H43" s="144">
        <v>43631</v>
      </c>
      <c r="I43" s="123"/>
      <c r="J43" s="144">
        <v>43631</v>
      </c>
      <c r="K43" s="123"/>
      <c r="L43" s="144" t="s">
        <v>97</v>
      </c>
      <c r="M43" s="123"/>
      <c r="N43" s="144"/>
      <c r="O43" s="123"/>
      <c r="P43" s="123"/>
      <c r="Q43" s="115"/>
      <c r="R43" s="115"/>
      <c r="S43" s="116"/>
      <c r="T43" s="2"/>
    </row>
    <row r="44" spans="1:20" ht="15.6" x14ac:dyDescent="0.3">
      <c r="A44" s="112"/>
      <c r="B44" s="113" t="s">
        <v>98</v>
      </c>
      <c r="C44" s="113"/>
      <c r="D44" s="123" t="s">
        <v>241</v>
      </c>
      <c r="E44" s="123"/>
      <c r="F44" s="123" t="s">
        <v>246</v>
      </c>
      <c r="G44" s="123"/>
      <c r="H44" s="123" t="s">
        <v>248</v>
      </c>
      <c r="I44" s="123"/>
      <c r="J44" s="123" t="s">
        <v>251</v>
      </c>
      <c r="K44" s="123"/>
      <c r="L44" s="123" t="s">
        <v>97</v>
      </c>
      <c r="M44" s="123"/>
      <c r="N44" s="123"/>
      <c r="O44" s="145"/>
      <c r="P44" s="145"/>
      <c r="Q44" s="145"/>
      <c r="R44" s="145"/>
      <c r="S44" s="116"/>
      <c r="T44" s="2"/>
    </row>
    <row r="45" spans="1:20" ht="15.6" x14ac:dyDescent="0.3">
      <c r="A45" s="112"/>
      <c r="B45" s="113" t="s">
        <v>239</v>
      </c>
      <c r="C45" s="113"/>
      <c r="D45" s="123" t="s">
        <v>273</v>
      </c>
      <c r="E45" s="123"/>
      <c r="F45" s="123" t="s">
        <v>246</v>
      </c>
      <c r="G45" s="123"/>
      <c r="H45" s="123" t="s">
        <v>248</v>
      </c>
      <c r="I45" s="123"/>
      <c r="J45" s="123" t="s">
        <v>251</v>
      </c>
      <c r="K45" s="123"/>
      <c r="L45" s="123" t="s">
        <v>97</v>
      </c>
      <c r="M45" s="123"/>
      <c r="N45" s="123"/>
      <c r="O45" s="145"/>
      <c r="P45" s="145"/>
      <c r="Q45" s="145"/>
      <c r="R45" s="145"/>
      <c r="S45" s="116"/>
      <c r="T45" s="2"/>
    </row>
    <row r="46" spans="1:20" ht="15.6" x14ac:dyDescent="0.3">
      <c r="A46" s="112"/>
      <c r="B46" s="113"/>
      <c r="C46" s="113"/>
      <c r="D46" s="123"/>
      <c r="E46" s="123"/>
      <c r="F46" s="123"/>
      <c r="G46" s="123"/>
      <c r="H46" s="123"/>
      <c r="I46" s="123"/>
      <c r="J46" s="123"/>
      <c r="K46" s="123"/>
      <c r="L46" s="123"/>
      <c r="M46" s="123"/>
      <c r="N46" s="123"/>
      <c r="O46" s="113"/>
      <c r="P46" s="113"/>
      <c r="Q46" s="113"/>
      <c r="R46" s="142" t="s">
        <v>130</v>
      </c>
      <c r="S46" s="116"/>
      <c r="T46" s="2"/>
    </row>
    <row r="47" spans="1:20" ht="15.6" x14ac:dyDescent="0.3">
      <c r="A47" s="112"/>
      <c r="B47" s="113" t="s">
        <v>253</v>
      </c>
      <c r="C47" s="113"/>
      <c r="D47" s="123"/>
      <c r="E47" s="123"/>
      <c r="F47" s="123"/>
      <c r="G47" s="123"/>
      <c r="H47" s="123"/>
      <c r="I47" s="123"/>
      <c r="J47" s="123"/>
      <c r="K47" s="123"/>
      <c r="L47" s="123"/>
      <c r="M47" s="123"/>
      <c r="N47" s="123"/>
      <c r="O47" s="113"/>
      <c r="P47" s="113"/>
      <c r="Q47" s="113"/>
      <c r="R47" s="238">
        <f>SUM(H31:L31)/(D31+F31)</f>
        <v>0.11731450342446621</v>
      </c>
      <c r="S47" s="116"/>
      <c r="T47" s="2"/>
    </row>
    <row r="48" spans="1:20" ht="15.6" x14ac:dyDescent="0.3">
      <c r="A48" s="112"/>
      <c r="B48" s="113" t="s">
        <v>254</v>
      </c>
      <c r="C48" s="113"/>
      <c r="D48" s="113"/>
      <c r="E48" s="113"/>
      <c r="F48" s="113"/>
      <c r="G48" s="113"/>
      <c r="H48" s="113"/>
      <c r="I48" s="113"/>
      <c r="J48" s="113"/>
      <c r="K48" s="113"/>
      <c r="L48" s="113"/>
      <c r="M48" s="113"/>
      <c r="N48" s="113"/>
      <c r="O48" s="113"/>
      <c r="P48" s="113"/>
      <c r="Q48" s="113"/>
      <c r="R48" s="238">
        <f>SUM(H33:L33)/(D33+F33)</f>
        <v>0.15466204709854831</v>
      </c>
      <c r="S48" s="116"/>
      <c r="T48" s="2"/>
    </row>
    <row r="49" spans="1:21" ht="15.6" x14ac:dyDescent="0.3">
      <c r="A49" s="112"/>
      <c r="B49" s="113" t="s">
        <v>255</v>
      </c>
      <c r="C49" s="113"/>
      <c r="D49" s="113"/>
      <c r="E49" s="113"/>
      <c r="F49" s="113"/>
      <c r="G49" s="113"/>
      <c r="H49" s="113"/>
      <c r="I49" s="113"/>
      <c r="J49" s="113"/>
      <c r="K49" s="113"/>
      <c r="L49" s="113"/>
      <c r="M49" s="113"/>
      <c r="N49" s="113"/>
      <c r="O49" s="113"/>
      <c r="P49" s="123"/>
      <c r="Q49" s="123"/>
      <c r="R49" s="126" t="s">
        <v>149</v>
      </c>
      <c r="S49" s="116"/>
      <c r="T49" s="2"/>
    </row>
    <row r="50" spans="1:21" ht="15.6" x14ac:dyDescent="0.3">
      <c r="A50" s="112"/>
      <c r="B50" s="113"/>
      <c r="C50" s="113"/>
      <c r="D50" s="113"/>
      <c r="E50" s="113"/>
      <c r="F50" s="113"/>
      <c r="G50" s="113"/>
      <c r="H50" s="113"/>
      <c r="I50" s="113"/>
      <c r="J50" s="113"/>
      <c r="K50" s="113"/>
      <c r="L50" s="113"/>
      <c r="M50" s="113"/>
      <c r="N50" s="113"/>
      <c r="O50" s="113"/>
      <c r="P50" s="113"/>
      <c r="Q50" s="113"/>
      <c r="R50" s="146"/>
      <c r="S50" s="116"/>
      <c r="T50" s="2"/>
    </row>
    <row r="51" spans="1:21" ht="15.6" x14ac:dyDescent="0.3">
      <c r="A51" s="112"/>
      <c r="B51" s="113" t="s">
        <v>225</v>
      </c>
      <c r="C51" s="113"/>
      <c r="D51" s="113"/>
      <c r="E51" s="113"/>
      <c r="F51" s="113"/>
      <c r="G51" s="113"/>
      <c r="H51" s="113"/>
      <c r="I51" s="113"/>
      <c r="J51" s="113"/>
      <c r="K51" s="113"/>
      <c r="L51" s="113"/>
      <c r="M51" s="113"/>
      <c r="N51" s="113"/>
      <c r="O51" s="113"/>
      <c r="P51" s="113"/>
      <c r="Q51" s="113"/>
      <c r="R51" s="147" t="s">
        <v>91</v>
      </c>
      <c r="S51" s="116"/>
      <c r="T51" s="2"/>
    </row>
    <row r="52" spans="1:21" ht="15.6" x14ac:dyDescent="0.3">
      <c r="A52" s="112"/>
      <c r="B52" s="121" t="s">
        <v>131</v>
      </c>
      <c r="C52" s="121"/>
      <c r="D52" s="121"/>
      <c r="E52" s="121"/>
      <c r="F52" s="121"/>
      <c r="G52" s="121"/>
      <c r="H52" s="121"/>
      <c r="I52" s="121"/>
      <c r="J52" s="121"/>
      <c r="K52" s="121"/>
      <c r="L52" s="121"/>
      <c r="M52" s="121"/>
      <c r="N52" s="121"/>
      <c r="O52" s="121"/>
      <c r="P52" s="148"/>
      <c r="Q52" s="148"/>
      <c r="R52" s="149">
        <v>42809</v>
      </c>
      <c r="S52" s="116"/>
      <c r="T52" s="2"/>
    </row>
    <row r="53" spans="1:21" ht="15.6" x14ac:dyDescent="0.3">
      <c r="A53" s="112"/>
      <c r="B53" s="113" t="s">
        <v>99</v>
      </c>
      <c r="C53" s="113"/>
      <c r="D53" s="150"/>
      <c r="E53" s="150"/>
      <c r="F53" s="150"/>
      <c r="G53" s="150"/>
      <c r="H53" s="150"/>
      <c r="I53" s="150"/>
      <c r="J53" s="150"/>
      <c r="K53" s="150"/>
      <c r="L53" s="150"/>
      <c r="M53" s="150"/>
      <c r="N53" s="113">
        <f>+R53-P53+1</f>
        <v>91</v>
      </c>
      <c r="O53" s="113"/>
      <c r="P53" s="151">
        <v>42628</v>
      </c>
      <c r="Q53" s="152"/>
      <c r="R53" s="151">
        <v>42718</v>
      </c>
      <c r="S53" s="116"/>
      <c r="T53" s="2"/>
    </row>
    <row r="54" spans="1:21" ht="15.6" x14ac:dyDescent="0.3">
      <c r="A54" s="112"/>
      <c r="B54" s="113" t="s">
        <v>100</v>
      </c>
      <c r="C54" s="113"/>
      <c r="D54" s="113"/>
      <c r="E54" s="113"/>
      <c r="F54" s="113"/>
      <c r="G54" s="113"/>
      <c r="H54" s="113"/>
      <c r="I54" s="113"/>
      <c r="J54" s="113"/>
      <c r="K54" s="113"/>
      <c r="L54" s="113"/>
      <c r="M54" s="113"/>
      <c r="N54" s="113">
        <f>+R54-P54+1</f>
        <v>90</v>
      </c>
      <c r="O54" s="113"/>
      <c r="P54" s="151">
        <v>42719</v>
      </c>
      <c r="Q54" s="152"/>
      <c r="R54" s="151">
        <v>42808</v>
      </c>
      <c r="S54" s="116"/>
      <c r="T54" s="2"/>
    </row>
    <row r="55" spans="1:21" ht="15.6" x14ac:dyDescent="0.3">
      <c r="A55" s="112"/>
      <c r="B55" s="113" t="s">
        <v>261</v>
      </c>
      <c r="C55" s="113"/>
      <c r="D55" s="113"/>
      <c r="E55" s="113"/>
      <c r="F55" s="113"/>
      <c r="G55" s="113"/>
      <c r="H55" s="113"/>
      <c r="I55" s="113"/>
      <c r="J55" s="113"/>
      <c r="K55" s="113"/>
      <c r="L55" s="113"/>
      <c r="M55" s="113"/>
      <c r="N55" s="113"/>
      <c r="O55" s="113"/>
      <c r="P55" s="151"/>
      <c r="Q55" s="152"/>
      <c r="R55" s="151" t="s">
        <v>263</v>
      </c>
      <c r="S55" s="116"/>
      <c r="T55" s="2"/>
    </row>
    <row r="56" spans="1:21" ht="15.6" x14ac:dyDescent="0.3">
      <c r="A56" s="112"/>
      <c r="B56" s="113" t="s">
        <v>262</v>
      </c>
      <c r="C56" s="113"/>
      <c r="D56" s="113"/>
      <c r="E56" s="113"/>
      <c r="F56" s="113"/>
      <c r="G56" s="113"/>
      <c r="H56" s="113"/>
      <c r="I56" s="113"/>
      <c r="J56" s="113"/>
      <c r="K56" s="113"/>
      <c r="L56" s="113"/>
      <c r="M56" s="113"/>
      <c r="N56" s="113"/>
      <c r="O56" s="113"/>
      <c r="P56" s="151"/>
      <c r="Q56" s="152"/>
      <c r="R56" s="151" t="s">
        <v>118</v>
      </c>
      <c r="S56" s="116"/>
      <c r="T56" s="2"/>
      <c r="U56" s="5"/>
    </row>
    <row r="57" spans="1:21" ht="15.6" x14ac:dyDescent="0.3">
      <c r="A57" s="112"/>
      <c r="B57" s="113" t="s">
        <v>12</v>
      </c>
      <c r="C57" s="113"/>
      <c r="D57" s="113"/>
      <c r="E57" s="113"/>
      <c r="F57" s="113"/>
      <c r="G57" s="113"/>
      <c r="H57" s="113"/>
      <c r="I57" s="113"/>
      <c r="J57" s="113"/>
      <c r="K57" s="113"/>
      <c r="L57" s="113"/>
      <c r="M57" s="113"/>
      <c r="N57" s="113"/>
      <c r="O57" s="113"/>
      <c r="P57" s="151"/>
      <c r="Q57" s="152"/>
      <c r="R57" s="239">
        <v>42795</v>
      </c>
      <c r="S57" s="116"/>
      <c r="T57" s="2"/>
    </row>
    <row r="58" spans="1:21" ht="15.6" x14ac:dyDescent="0.3">
      <c r="A58" s="12"/>
      <c r="B58" s="43"/>
      <c r="C58" s="43"/>
      <c r="D58" s="43"/>
      <c r="E58" s="43"/>
      <c r="F58" s="43"/>
      <c r="G58" s="43"/>
      <c r="H58" s="43"/>
      <c r="I58" s="43"/>
      <c r="J58" s="43"/>
      <c r="K58" s="43"/>
      <c r="L58" s="43"/>
      <c r="M58" s="43"/>
      <c r="N58" s="43"/>
      <c r="O58" s="43"/>
      <c r="P58" s="110"/>
      <c r="Q58" s="111"/>
      <c r="R58" s="110"/>
      <c r="S58" s="217"/>
      <c r="T58" s="2"/>
    </row>
    <row r="59" spans="1:21" ht="15.6" x14ac:dyDescent="0.3">
      <c r="A59" s="12"/>
      <c r="B59" s="14"/>
      <c r="C59" s="14"/>
      <c r="D59" s="14"/>
      <c r="E59" s="14"/>
      <c r="F59" s="14"/>
      <c r="G59" s="14"/>
      <c r="H59" s="14"/>
      <c r="I59" s="14"/>
      <c r="J59" s="14"/>
      <c r="K59" s="14"/>
      <c r="L59" s="14"/>
      <c r="M59" s="14"/>
      <c r="N59" s="14"/>
      <c r="O59" s="14"/>
      <c r="P59" s="26"/>
      <c r="Q59" s="27"/>
      <c r="R59" s="26"/>
      <c r="S59" s="217"/>
      <c r="T59" s="2"/>
    </row>
    <row r="60" spans="1:21" ht="18" thickBot="1" x14ac:dyDescent="0.35">
      <c r="A60" s="28"/>
      <c r="B60" s="97" t="s">
        <v>286</v>
      </c>
      <c r="C60" s="29"/>
      <c r="D60" s="29"/>
      <c r="E60" s="29"/>
      <c r="F60" s="29"/>
      <c r="G60" s="29"/>
      <c r="H60" s="29"/>
      <c r="I60" s="29"/>
      <c r="J60" s="29"/>
      <c r="K60" s="29"/>
      <c r="L60" s="29"/>
      <c r="M60" s="29"/>
      <c r="N60" s="29"/>
      <c r="O60" s="29"/>
      <c r="P60" s="29"/>
      <c r="Q60" s="29"/>
      <c r="R60" s="30"/>
      <c r="S60" s="31"/>
      <c r="T60" s="2"/>
    </row>
    <row r="61" spans="1:21" ht="15.6" x14ac:dyDescent="0.3">
      <c r="A61" s="53"/>
      <c r="B61" s="59" t="s">
        <v>13</v>
      </c>
      <c r="C61" s="54"/>
      <c r="D61" s="54"/>
      <c r="E61" s="54"/>
      <c r="F61" s="54"/>
      <c r="G61" s="54"/>
      <c r="H61" s="54"/>
      <c r="I61" s="54"/>
      <c r="J61" s="54"/>
      <c r="K61" s="54"/>
      <c r="L61" s="54"/>
      <c r="M61" s="54"/>
      <c r="N61" s="54"/>
      <c r="O61" s="54"/>
      <c r="P61" s="54"/>
      <c r="Q61" s="54"/>
      <c r="R61" s="60"/>
      <c r="S61" s="54"/>
      <c r="T61" s="2"/>
    </row>
    <row r="62" spans="1:21" ht="15.6" x14ac:dyDescent="0.3">
      <c r="A62" s="12"/>
      <c r="B62" s="20"/>
      <c r="C62" s="14"/>
      <c r="D62" s="14"/>
      <c r="E62" s="14"/>
      <c r="F62" s="14"/>
      <c r="G62" s="14"/>
      <c r="H62" s="14"/>
      <c r="I62" s="14"/>
      <c r="J62" s="14"/>
      <c r="K62" s="14"/>
      <c r="L62" s="14"/>
      <c r="M62" s="14"/>
      <c r="N62" s="14"/>
      <c r="O62" s="14"/>
      <c r="P62" s="14"/>
      <c r="Q62" s="14"/>
      <c r="R62" s="33"/>
      <c r="S62" s="217"/>
      <c r="T62" s="2"/>
    </row>
    <row r="63" spans="1:21" ht="46.8" x14ac:dyDescent="0.3">
      <c r="A63" s="12"/>
      <c r="B63" s="34" t="s">
        <v>14</v>
      </c>
      <c r="C63" s="35"/>
      <c r="D63" s="35"/>
      <c r="E63" s="35"/>
      <c r="F63" s="35" t="s">
        <v>76</v>
      </c>
      <c r="G63" s="35"/>
      <c r="H63" s="35" t="s">
        <v>78</v>
      </c>
      <c r="I63" s="35"/>
      <c r="J63" s="35" t="s">
        <v>162</v>
      </c>
      <c r="K63" s="35"/>
      <c r="L63" s="35" t="s">
        <v>163</v>
      </c>
      <c r="M63" s="35"/>
      <c r="N63" s="35" t="s">
        <v>81</v>
      </c>
      <c r="O63" s="35"/>
      <c r="P63" s="35" t="s">
        <v>86</v>
      </c>
      <c r="Q63" s="35"/>
      <c r="R63" s="36" t="s">
        <v>92</v>
      </c>
      <c r="S63" s="221"/>
      <c r="T63" s="2"/>
    </row>
    <row r="64" spans="1:21" ht="15.6" x14ac:dyDescent="0.3">
      <c r="A64" s="112"/>
      <c r="B64" s="113" t="s">
        <v>15</v>
      </c>
      <c r="C64" s="155"/>
      <c r="D64" s="155"/>
      <c r="E64" s="155"/>
      <c r="F64" s="155">
        <v>244234</v>
      </c>
      <c r="G64" s="155"/>
      <c r="H64" s="156">
        <v>267459</v>
      </c>
      <c r="I64" s="155"/>
      <c r="J64" s="156">
        <v>196</v>
      </c>
      <c r="K64" s="155"/>
      <c r="L64" s="155">
        <v>32093</v>
      </c>
      <c r="M64" s="155"/>
      <c r="N64" s="155">
        <v>0</v>
      </c>
      <c r="O64" s="155"/>
      <c r="P64" s="155">
        <v>0</v>
      </c>
      <c r="Q64" s="155"/>
      <c r="R64" s="156">
        <f>H64-J64-L64+N64-P64</f>
        <v>235170</v>
      </c>
      <c r="S64" s="116"/>
      <c r="T64" s="2"/>
    </row>
    <row r="65" spans="1:20" ht="15.6" x14ac:dyDescent="0.3">
      <c r="A65" s="112"/>
      <c r="B65" s="113" t="s">
        <v>16</v>
      </c>
      <c r="C65" s="155"/>
      <c r="D65" s="155"/>
      <c r="E65" s="155"/>
      <c r="F65" s="155">
        <v>0</v>
      </c>
      <c r="G65" s="155"/>
      <c r="H65" s="156">
        <v>0</v>
      </c>
      <c r="I65" s="155"/>
      <c r="J65" s="156">
        <v>0</v>
      </c>
      <c r="K65" s="155"/>
      <c r="L65" s="155">
        <v>0</v>
      </c>
      <c r="M65" s="155"/>
      <c r="N65" s="155">
        <v>0</v>
      </c>
      <c r="O65" s="155"/>
      <c r="P65" s="155">
        <v>0</v>
      </c>
      <c r="Q65" s="155"/>
      <c r="R65" s="156">
        <f>F65-J65-L65</f>
        <v>0</v>
      </c>
      <c r="S65" s="116"/>
      <c r="T65" s="2"/>
    </row>
    <row r="66" spans="1:20" ht="15.6" x14ac:dyDescent="0.3">
      <c r="A66" s="112"/>
      <c r="B66" s="113"/>
      <c r="C66" s="155"/>
      <c r="D66" s="155"/>
      <c r="E66" s="155"/>
      <c r="F66" s="155"/>
      <c r="G66" s="155"/>
      <c r="H66" s="156"/>
      <c r="I66" s="155"/>
      <c r="J66" s="156"/>
      <c r="K66" s="155"/>
      <c r="L66" s="155"/>
      <c r="M66" s="155"/>
      <c r="N66" s="155"/>
      <c r="O66" s="155"/>
      <c r="P66" s="155"/>
      <c r="Q66" s="155"/>
      <c r="R66" s="156"/>
      <c r="S66" s="116"/>
      <c r="T66" s="2"/>
    </row>
    <row r="67" spans="1:20" ht="15.6" x14ac:dyDescent="0.3">
      <c r="A67" s="112"/>
      <c r="B67" s="113" t="s">
        <v>17</v>
      </c>
      <c r="C67" s="155"/>
      <c r="D67" s="155"/>
      <c r="E67" s="155"/>
      <c r="F67" s="155">
        <f>SUM(F64:F66)</f>
        <v>244234</v>
      </c>
      <c r="G67" s="155"/>
      <c r="H67" s="155">
        <f>H64+H65</f>
        <v>267459</v>
      </c>
      <c r="I67" s="155"/>
      <c r="J67" s="155">
        <f>J64+J65</f>
        <v>196</v>
      </c>
      <c r="K67" s="155"/>
      <c r="L67" s="155">
        <f>SUM(L64:L66)</f>
        <v>32093</v>
      </c>
      <c r="M67" s="155"/>
      <c r="N67" s="155">
        <f>SUM(N64:N66)</f>
        <v>0</v>
      </c>
      <c r="O67" s="155"/>
      <c r="P67" s="155">
        <f>SUM(P64:P66)</f>
        <v>0</v>
      </c>
      <c r="Q67" s="155"/>
      <c r="R67" s="155">
        <f>SUM(R64:R66)</f>
        <v>235170</v>
      </c>
      <c r="S67" s="116"/>
      <c r="T67" s="2"/>
    </row>
    <row r="68" spans="1:20" ht="15.6" x14ac:dyDescent="0.3">
      <c r="A68" s="12"/>
      <c r="B68" s="43"/>
      <c r="C68" s="153"/>
      <c r="D68" s="153"/>
      <c r="E68" s="153"/>
      <c r="F68" s="153"/>
      <c r="G68" s="153"/>
      <c r="H68" s="153"/>
      <c r="I68" s="153"/>
      <c r="J68" s="153"/>
      <c r="K68" s="153"/>
      <c r="L68" s="153"/>
      <c r="M68" s="153"/>
      <c r="N68" s="153"/>
      <c r="O68" s="153"/>
      <c r="P68" s="153"/>
      <c r="Q68" s="153"/>
      <c r="R68" s="154"/>
      <c r="S68" s="217"/>
      <c r="T68" s="2"/>
    </row>
    <row r="69" spans="1:20" ht="15.6" x14ac:dyDescent="0.3">
      <c r="A69" s="12"/>
      <c r="B69" s="16" t="s">
        <v>18</v>
      </c>
      <c r="C69" s="38"/>
      <c r="D69" s="38"/>
      <c r="E69" s="38"/>
      <c r="F69" s="38"/>
      <c r="G69" s="38"/>
      <c r="H69" s="38"/>
      <c r="I69" s="38"/>
      <c r="J69" s="38"/>
      <c r="K69" s="38"/>
      <c r="L69" s="38"/>
      <c r="M69" s="38"/>
      <c r="N69" s="38"/>
      <c r="O69" s="38"/>
      <c r="P69" s="38"/>
      <c r="Q69" s="38"/>
      <c r="R69" s="39"/>
      <c r="S69" s="217"/>
      <c r="T69" s="2"/>
    </row>
    <row r="70" spans="1:20" ht="15.6" x14ac:dyDescent="0.3">
      <c r="A70" s="12"/>
      <c r="B70" s="14"/>
      <c r="C70" s="38"/>
      <c r="D70" s="38"/>
      <c r="E70" s="38"/>
      <c r="F70" s="38"/>
      <c r="G70" s="38"/>
      <c r="H70" s="38"/>
      <c r="I70" s="38"/>
      <c r="J70" s="38"/>
      <c r="K70" s="38"/>
      <c r="L70" s="38"/>
      <c r="M70" s="38"/>
      <c r="N70" s="38"/>
      <c r="O70" s="38"/>
      <c r="P70" s="38"/>
      <c r="Q70" s="38"/>
      <c r="R70" s="39"/>
      <c r="S70" s="217"/>
      <c r="T70" s="2"/>
    </row>
    <row r="71" spans="1:20" ht="15.6" x14ac:dyDescent="0.3">
      <c r="A71" s="112"/>
      <c r="B71" s="113" t="s">
        <v>15</v>
      </c>
      <c r="C71" s="155"/>
      <c r="D71" s="155"/>
      <c r="E71" s="155"/>
      <c r="F71" s="155"/>
      <c r="G71" s="155"/>
      <c r="H71" s="155"/>
      <c r="I71" s="155"/>
      <c r="J71" s="155"/>
      <c r="K71" s="155"/>
      <c r="L71" s="155"/>
      <c r="M71" s="155"/>
      <c r="N71" s="155"/>
      <c r="O71" s="155"/>
      <c r="P71" s="155"/>
      <c r="Q71" s="155"/>
      <c r="R71" s="155"/>
      <c r="S71" s="116"/>
      <c r="T71" s="2"/>
    </row>
    <row r="72" spans="1:20" ht="15.6" x14ac:dyDescent="0.3">
      <c r="A72" s="112"/>
      <c r="B72" s="113" t="s">
        <v>16</v>
      </c>
      <c r="C72" s="155"/>
      <c r="D72" s="155"/>
      <c r="E72" s="155"/>
      <c r="F72" s="155"/>
      <c r="G72" s="155"/>
      <c r="H72" s="155"/>
      <c r="I72" s="155"/>
      <c r="J72" s="155"/>
      <c r="K72" s="155"/>
      <c r="L72" s="155"/>
      <c r="M72" s="155"/>
      <c r="N72" s="155"/>
      <c r="O72" s="155"/>
      <c r="P72" s="155"/>
      <c r="Q72" s="155"/>
      <c r="R72" s="155"/>
      <c r="S72" s="116"/>
      <c r="T72" s="2"/>
    </row>
    <row r="73" spans="1:20" ht="15.6" x14ac:dyDescent="0.3">
      <c r="A73" s="112"/>
      <c r="B73" s="113"/>
      <c r="C73" s="155"/>
      <c r="D73" s="155"/>
      <c r="E73" s="155"/>
      <c r="F73" s="155"/>
      <c r="G73" s="155"/>
      <c r="H73" s="155"/>
      <c r="I73" s="155"/>
      <c r="J73" s="155"/>
      <c r="K73" s="155"/>
      <c r="L73" s="155"/>
      <c r="M73" s="155"/>
      <c r="N73" s="155"/>
      <c r="O73" s="155"/>
      <c r="P73" s="155"/>
      <c r="Q73" s="155"/>
      <c r="R73" s="155"/>
      <c r="S73" s="116"/>
      <c r="T73" s="2"/>
    </row>
    <row r="74" spans="1:20" ht="15.6" x14ac:dyDescent="0.3">
      <c r="A74" s="112"/>
      <c r="B74" s="113" t="s">
        <v>17</v>
      </c>
      <c r="C74" s="155"/>
      <c r="D74" s="155"/>
      <c r="E74" s="155"/>
      <c r="F74" s="155"/>
      <c r="G74" s="155"/>
      <c r="H74" s="155"/>
      <c r="I74" s="155"/>
      <c r="J74" s="155"/>
      <c r="K74" s="155"/>
      <c r="L74" s="155"/>
      <c r="M74" s="155"/>
      <c r="N74" s="155"/>
      <c r="O74" s="155"/>
      <c r="P74" s="155"/>
      <c r="Q74" s="155"/>
      <c r="R74" s="155"/>
      <c r="S74" s="116"/>
      <c r="T74" s="2"/>
    </row>
    <row r="75" spans="1:20" ht="15.6" x14ac:dyDescent="0.3">
      <c r="A75" s="112"/>
      <c r="B75" s="113"/>
      <c r="C75" s="155"/>
      <c r="D75" s="155"/>
      <c r="E75" s="155"/>
      <c r="F75" s="155"/>
      <c r="G75" s="155"/>
      <c r="H75" s="155"/>
      <c r="I75" s="155"/>
      <c r="J75" s="155"/>
      <c r="K75" s="155"/>
      <c r="L75" s="155"/>
      <c r="M75" s="155"/>
      <c r="N75" s="155"/>
      <c r="O75" s="155"/>
      <c r="P75" s="155"/>
      <c r="Q75" s="155"/>
      <c r="R75" s="155"/>
      <c r="S75" s="116"/>
      <c r="T75" s="2"/>
    </row>
    <row r="76" spans="1:20" ht="15.6" x14ac:dyDescent="0.3">
      <c r="A76" s="112"/>
      <c r="B76" s="113" t="s">
        <v>19</v>
      </c>
      <c r="C76" s="155"/>
      <c r="D76" s="155"/>
      <c r="E76" s="155"/>
      <c r="F76" s="155">
        <v>0</v>
      </c>
      <c r="G76" s="155"/>
      <c r="H76" s="155">
        <v>0</v>
      </c>
      <c r="I76" s="155"/>
      <c r="J76" s="155"/>
      <c r="K76" s="155"/>
      <c r="L76" s="155"/>
      <c r="M76" s="155"/>
      <c r="N76" s="155"/>
      <c r="O76" s="155"/>
      <c r="P76" s="155"/>
      <c r="Q76" s="155"/>
      <c r="R76" s="156">
        <v>0</v>
      </c>
      <c r="S76" s="116"/>
      <c r="T76" s="2"/>
    </row>
    <row r="77" spans="1:20" ht="15.6" x14ac:dyDescent="0.3">
      <c r="A77" s="112"/>
      <c r="B77" s="113" t="s">
        <v>196</v>
      </c>
      <c r="C77" s="155"/>
      <c r="D77" s="155"/>
      <c r="E77" s="155"/>
      <c r="F77" s="155">
        <v>53165</v>
      </c>
      <c r="G77" s="155"/>
      <c r="H77" s="155">
        <v>0</v>
      </c>
      <c r="I77" s="155"/>
      <c r="J77" s="155">
        <v>0</v>
      </c>
      <c r="K77" s="155"/>
      <c r="L77" s="155">
        <v>0</v>
      </c>
      <c r="M77" s="155"/>
      <c r="N77" s="155"/>
      <c r="O77" s="155"/>
      <c r="P77" s="155"/>
      <c r="Q77" s="155"/>
      <c r="R77" s="155">
        <v>0</v>
      </c>
      <c r="S77" s="116"/>
      <c r="T77" s="2"/>
    </row>
    <row r="78" spans="1:20" ht="15.6" x14ac:dyDescent="0.3">
      <c r="A78" s="112"/>
      <c r="B78" s="113" t="s">
        <v>206</v>
      </c>
      <c r="C78" s="155"/>
      <c r="D78" s="155"/>
      <c r="E78" s="155"/>
      <c r="F78" s="155">
        <v>2610</v>
      </c>
      <c r="G78" s="155"/>
      <c r="H78" s="155">
        <v>1166</v>
      </c>
      <c r="I78" s="155"/>
      <c r="J78" s="155"/>
      <c r="K78" s="155"/>
      <c r="L78" s="155"/>
      <c r="M78" s="155"/>
      <c r="N78" s="155">
        <v>-1166</v>
      </c>
      <c r="O78" s="155"/>
      <c r="P78" s="155"/>
      <c r="Q78" s="155"/>
      <c r="R78" s="155">
        <f>H78+N78</f>
        <v>0</v>
      </c>
      <c r="S78" s="116"/>
      <c r="T78" s="2"/>
    </row>
    <row r="79" spans="1:20" ht="15.6" x14ac:dyDescent="0.3">
      <c r="A79" s="112"/>
      <c r="B79" s="113" t="s">
        <v>20</v>
      </c>
      <c r="C79" s="155"/>
      <c r="D79" s="155"/>
      <c r="E79" s="155"/>
      <c r="F79" s="155">
        <v>0</v>
      </c>
      <c r="G79" s="155"/>
      <c r="H79" s="155">
        <v>0</v>
      </c>
      <c r="I79" s="155"/>
      <c r="J79" s="155"/>
      <c r="K79" s="155"/>
      <c r="L79" s="155"/>
      <c r="M79" s="155"/>
      <c r="N79" s="155"/>
      <c r="O79" s="155"/>
      <c r="P79" s="155"/>
      <c r="Q79" s="155"/>
      <c r="R79" s="155">
        <v>0</v>
      </c>
      <c r="S79" s="116"/>
      <c r="T79" s="2"/>
    </row>
    <row r="80" spans="1:20" ht="15.6" x14ac:dyDescent="0.3">
      <c r="A80" s="112"/>
      <c r="B80" s="113" t="s">
        <v>21</v>
      </c>
      <c r="C80" s="155"/>
      <c r="D80" s="155"/>
      <c r="E80" s="155"/>
      <c r="F80" s="155">
        <f>SUM(F67:F79)</f>
        <v>300009</v>
      </c>
      <c r="G80" s="155"/>
      <c r="H80" s="155">
        <f>SUM(H67:H79)</f>
        <v>268625</v>
      </c>
      <c r="I80" s="155"/>
      <c r="J80" s="155"/>
      <c r="K80" s="155"/>
      <c r="L80" s="155"/>
      <c r="M80" s="155"/>
      <c r="N80" s="155"/>
      <c r="O80" s="155"/>
      <c r="P80" s="155"/>
      <c r="Q80" s="155"/>
      <c r="R80" s="155">
        <f>SUM(R67:R79)</f>
        <v>235170</v>
      </c>
      <c r="S80" s="116"/>
      <c r="T80" s="2"/>
    </row>
    <row r="81" spans="1:20" ht="15.6" x14ac:dyDescent="0.3">
      <c r="A81" s="12"/>
      <c r="B81" s="43"/>
      <c r="C81" s="153"/>
      <c r="D81" s="153"/>
      <c r="E81" s="153"/>
      <c r="F81" s="153"/>
      <c r="G81" s="153"/>
      <c r="H81" s="153"/>
      <c r="I81" s="153"/>
      <c r="J81" s="153"/>
      <c r="K81" s="153"/>
      <c r="L81" s="153"/>
      <c r="M81" s="153"/>
      <c r="N81" s="153"/>
      <c r="O81" s="153"/>
      <c r="P81" s="153"/>
      <c r="Q81" s="153"/>
      <c r="R81" s="154"/>
      <c r="S81" s="217"/>
      <c r="T81" s="2"/>
    </row>
    <row r="82" spans="1:20" ht="15.6" x14ac:dyDescent="0.3">
      <c r="A82" s="12"/>
      <c r="B82" s="14"/>
      <c r="C82" s="14"/>
      <c r="D82" s="14"/>
      <c r="E82" s="14"/>
      <c r="F82" s="14"/>
      <c r="G82" s="14"/>
      <c r="H82" s="14"/>
      <c r="I82" s="14"/>
      <c r="J82" s="14"/>
      <c r="K82" s="14"/>
      <c r="L82" s="14"/>
      <c r="M82" s="14"/>
      <c r="N82" s="14"/>
      <c r="O82" s="14"/>
      <c r="P82" s="14"/>
      <c r="Q82" s="14"/>
      <c r="R82" s="14"/>
      <c r="S82" s="217"/>
      <c r="T82" s="2"/>
    </row>
    <row r="83" spans="1:20" ht="15.6" x14ac:dyDescent="0.3">
      <c r="A83" s="53"/>
      <c r="B83" s="61" t="s">
        <v>22</v>
      </c>
      <c r="C83" s="61"/>
      <c r="D83" s="62"/>
      <c r="E83" s="62"/>
      <c r="F83" s="62"/>
      <c r="G83" s="62"/>
      <c r="H83" s="63" t="s">
        <v>77</v>
      </c>
      <c r="I83" s="62"/>
      <c r="J83" s="64">
        <f>+P206</f>
        <v>42794</v>
      </c>
      <c r="K83" s="62"/>
      <c r="L83" s="62"/>
      <c r="M83" s="62"/>
      <c r="N83" s="62"/>
      <c r="O83" s="62"/>
      <c r="P83" s="62" t="s">
        <v>87</v>
      </c>
      <c r="Q83" s="62"/>
      <c r="R83" s="62" t="s">
        <v>93</v>
      </c>
      <c r="S83" s="219"/>
      <c r="T83" s="2"/>
    </row>
    <row r="84" spans="1:20" ht="15.6" x14ac:dyDescent="0.3">
      <c r="A84" s="77"/>
      <c r="B84" s="79" t="s">
        <v>23</v>
      </c>
      <c r="C84" s="25"/>
      <c r="D84" s="25"/>
      <c r="E84" s="25"/>
      <c r="F84" s="25"/>
      <c r="G84" s="25"/>
      <c r="H84" s="25"/>
      <c r="I84" s="25"/>
      <c r="J84" s="25"/>
      <c r="K84" s="25"/>
      <c r="L84" s="25"/>
      <c r="M84" s="25"/>
      <c r="N84" s="25"/>
      <c r="O84" s="25"/>
      <c r="P84" s="78">
        <v>0</v>
      </c>
      <c r="Q84" s="79"/>
      <c r="R84" s="82">
        <v>0</v>
      </c>
      <c r="S84" s="222"/>
      <c r="T84" s="2"/>
    </row>
    <row r="85" spans="1:20" ht="15.6" x14ac:dyDescent="0.3">
      <c r="A85" s="122"/>
      <c r="B85" s="113" t="s">
        <v>218</v>
      </c>
      <c r="C85" s="135"/>
      <c r="D85" s="157"/>
      <c r="E85" s="157"/>
      <c r="F85" s="157"/>
      <c r="G85" s="158"/>
      <c r="H85" s="157"/>
      <c r="I85" s="135"/>
      <c r="J85" s="159"/>
      <c r="K85" s="135"/>
      <c r="L85" s="135"/>
      <c r="M85" s="135"/>
      <c r="N85" s="135"/>
      <c r="O85" s="135"/>
      <c r="P85" s="155">
        <f>-N78</f>
        <v>1166</v>
      </c>
      <c r="Q85" s="113"/>
      <c r="R85" s="156"/>
      <c r="S85" s="139"/>
      <c r="T85" s="2"/>
    </row>
    <row r="86" spans="1:20" ht="15.6" x14ac:dyDescent="0.3">
      <c r="A86" s="122"/>
      <c r="B86" s="113" t="s">
        <v>219</v>
      </c>
      <c r="C86" s="135"/>
      <c r="D86" s="157"/>
      <c r="E86" s="157"/>
      <c r="F86" s="157"/>
      <c r="G86" s="158"/>
      <c r="H86" s="157"/>
      <c r="I86" s="135"/>
      <c r="J86" s="159"/>
      <c r="K86" s="135"/>
      <c r="L86" s="135"/>
      <c r="M86" s="135"/>
      <c r="N86" s="135"/>
      <c r="O86" s="135"/>
      <c r="P86" s="155">
        <v>0</v>
      </c>
      <c r="Q86" s="113"/>
      <c r="R86" s="156"/>
      <c r="S86" s="139"/>
      <c r="T86" s="2"/>
    </row>
    <row r="87" spans="1:20" ht="15.6" x14ac:dyDescent="0.3">
      <c r="A87" s="122"/>
      <c r="B87" s="113" t="s">
        <v>24</v>
      </c>
      <c r="C87" s="135"/>
      <c r="D87" s="157"/>
      <c r="E87" s="157"/>
      <c r="F87" s="157"/>
      <c r="G87" s="158"/>
      <c r="H87" s="157"/>
      <c r="I87" s="135"/>
      <c r="J87" s="159"/>
      <c r="K87" s="135"/>
      <c r="L87" s="135"/>
      <c r="M87" s="135"/>
      <c r="N87" s="135"/>
      <c r="O87" s="135"/>
      <c r="P87" s="155">
        <f>+J64+L64</f>
        <v>32289</v>
      </c>
      <c r="Q87" s="113"/>
      <c r="R87" s="156"/>
      <c r="S87" s="139"/>
      <c r="T87" s="2"/>
    </row>
    <row r="88" spans="1:20" ht="15.6" x14ac:dyDescent="0.3">
      <c r="A88" s="122"/>
      <c r="B88" s="113" t="s">
        <v>135</v>
      </c>
      <c r="C88" s="135"/>
      <c r="D88" s="157"/>
      <c r="E88" s="157"/>
      <c r="F88" s="157"/>
      <c r="G88" s="158"/>
      <c r="H88" s="157"/>
      <c r="I88" s="135"/>
      <c r="J88" s="159"/>
      <c r="K88" s="135"/>
      <c r="L88" s="135"/>
      <c r="M88" s="135"/>
      <c r="N88" s="135"/>
      <c r="O88" s="135"/>
      <c r="P88" s="155"/>
      <c r="Q88" s="113"/>
      <c r="R88" s="156">
        <f>3259-497</f>
        <v>2762</v>
      </c>
      <c r="S88" s="139"/>
      <c r="T88" s="2"/>
    </row>
    <row r="89" spans="1:20" ht="15.6" x14ac:dyDescent="0.3">
      <c r="A89" s="122"/>
      <c r="B89" s="113" t="s">
        <v>133</v>
      </c>
      <c r="C89" s="135"/>
      <c r="D89" s="157"/>
      <c r="E89" s="157"/>
      <c r="F89" s="157"/>
      <c r="G89" s="158"/>
      <c r="H89" s="157"/>
      <c r="I89" s="135"/>
      <c r="J89" s="159"/>
      <c r="K89" s="135"/>
      <c r="L89" s="135"/>
      <c r="M89" s="135"/>
      <c r="N89" s="135"/>
      <c r="O89" s="135"/>
      <c r="P89" s="155"/>
      <c r="Q89" s="113"/>
      <c r="R89" s="156">
        <v>116</v>
      </c>
      <c r="S89" s="139"/>
      <c r="T89" s="2"/>
    </row>
    <row r="90" spans="1:20" ht="15.6" x14ac:dyDescent="0.3">
      <c r="A90" s="122"/>
      <c r="B90" s="113" t="s">
        <v>134</v>
      </c>
      <c r="C90" s="135"/>
      <c r="D90" s="157"/>
      <c r="E90" s="157"/>
      <c r="F90" s="157"/>
      <c r="G90" s="158"/>
      <c r="H90" s="157"/>
      <c r="I90" s="135"/>
      <c r="J90" s="159"/>
      <c r="K90" s="135"/>
      <c r="L90" s="135"/>
      <c r="M90" s="135"/>
      <c r="N90" s="135"/>
      <c r="O90" s="135"/>
      <c r="P90" s="155"/>
      <c r="Q90" s="113"/>
      <c r="R90" s="156">
        <v>12</v>
      </c>
      <c r="S90" s="139"/>
      <c r="T90" s="2"/>
    </row>
    <row r="91" spans="1:20" ht="15.6" x14ac:dyDescent="0.3">
      <c r="A91" s="122"/>
      <c r="B91" s="113" t="s">
        <v>143</v>
      </c>
      <c r="C91" s="135"/>
      <c r="D91" s="157"/>
      <c r="E91" s="157"/>
      <c r="F91" s="157"/>
      <c r="G91" s="158"/>
      <c r="H91" s="157"/>
      <c r="I91" s="135"/>
      <c r="J91" s="159"/>
      <c r="K91" s="135"/>
      <c r="L91" s="135"/>
      <c r="M91" s="135"/>
      <c r="N91" s="135"/>
      <c r="O91" s="135"/>
      <c r="P91" s="155"/>
      <c r="Q91" s="113"/>
      <c r="R91" s="156">
        <v>0</v>
      </c>
      <c r="S91" s="139"/>
      <c r="T91" s="2"/>
    </row>
    <row r="92" spans="1:20" ht="15.6" x14ac:dyDescent="0.3">
      <c r="A92" s="122"/>
      <c r="B92" s="113" t="s">
        <v>145</v>
      </c>
      <c r="C92" s="135"/>
      <c r="D92" s="157"/>
      <c r="E92" s="157"/>
      <c r="F92" s="157"/>
      <c r="G92" s="158"/>
      <c r="H92" s="157"/>
      <c r="I92" s="135"/>
      <c r="J92" s="159"/>
      <c r="K92" s="135"/>
      <c r="L92" s="135"/>
      <c r="M92" s="135"/>
      <c r="N92" s="135"/>
      <c r="O92" s="135"/>
      <c r="P92" s="155"/>
      <c r="Q92" s="113"/>
      <c r="R92" s="156">
        <v>52</v>
      </c>
      <c r="S92" s="139"/>
      <c r="T92" s="2"/>
    </row>
    <row r="93" spans="1:20" ht="15.6" x14ac:dyDescent="0.3">
      <c r="A93" s="122"/>
      <c r="B93" s="113" t="s">
        <v>164</v>
      </c>
      <c r="C93" s="135"/>
      <c r="D93" s="157"/>
      <c r="E93" s="157"/>
      <c r="F93" s="157"/>
      <c r="G93" s="158"/>
      <c r="H93" s="157"/>
      <c r="I93" s="135"/>
      <c r="J93" s="159"/>
      <c r="K93" s="135"/>
      <c r="L93" s="135"/>
      <c r="M93" s="135"/>
      <c r="N93" s="135"/>
      <c r="O93" s="135"/>
      <c r="P93" s="155"/>
      <c r="Q93" s="113"/>
      <c r="R93" s="156">
        <v>0</v>
      </c>
      <c r="S93" s="139"/>
      <c r="T93" s="2"/>
    </row>
    <row r="94" spans="1:20" ht="15.6" x14ac:dyDescent="0.3">
      <c r="A94" s="122"/>
      <c r="B94" s="113" t="s">
        <v>165</v>
      </c>
      <c r="C94" s="135"/>
      <c r="D94" s="157"/>
      <c r="E94" s="157"/>
      <c r="F94" s="157"/>
      <c r="G94" s="158"/>
      <c r="H94" s="157"/>
      <c r="I94" s="135"/>
      <c r="J94" s="159"/>
      <c r="K94" s="135"/>
      <c r="L94" s="135"/>
      <c r="M94" s="135"/>
      <c r="N94" s="135"/>
      <c r="O94" s="135"/>
      <c r="P94" s="155"/>
      <c r="Q94" s="113"/>
      <c r="R94" s="156">
        <v>0</v>
      </c>
      <c r="S94" s="139"/>
      <c r="T94" s="2"/>
    </row>
    <row r="95" spans="1:20" ht="15.6" x14ac:dyDescent="0.3">
      <c r="A95" s="122"/>
      <c r="B95" s="113" t="s">
        <v>166</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c r="B96" s="113" t="s">
        <v>264</v>
      </c>
      <c r="C96" s="135"/>
      <c r="D96" s="135"/>
      <c r="E96" s="135"/>
      <c r="F96" s="135"/>
      <c r="G96" s="135"/>
      <c r="H96" s="135"/>
      <c r="I96" s="135"/>
      <c r="J96" s="135"/>
      <c r="K96" s="135"/>
      <c r="L96" s="135"/>
      <c r="M96" s="135"/>
      <c r="N96" s="135"/>
      <c r="O96" s="135"/>
      <c r="P96" s="155"/>
      <c r="Q96" s="113"/>
      <c r="R96" s="156">
        <v>84</v>
      </c>
      <c r="S96" s="139"/>
      <c r="T96" s="2"/>
    </row>
    <row r="97" spans="1:21" ht="15.6" x14ac:dyDescent="0.3">
      <c r="A97" s="122"/>
      <c r="B97" s="113" t="s">
        <v>25</v>
      </c>
      <c r="C97" s="135"/>
      <c r="D97" s="135"/>
      <c r="E97" s="135"/>
      <c r="F97" s="135"/>
      <c r="G97" s="135"/>
      <c r="H97" s="135"/>
      <c r="I97" s="135"/>
      <c r="J97" s="135"/>
      <c r="K97" s="135"/>
      <c r="L97" s="135"/>
      <c r="M97" s="135"/>
      <c r="N97" s="135"/>
      <c r="O97" s="135"/>
      <c r="P97" s="155">
        <f>SUM(P84:P96)</f>
        <v>33455</v>
      </c>
      <c r="Q97" s="113"/>
      <c r="R97" s="155">
        <f>SUM(R84:R96)</f>
        <v>3026</v>
      </c>
      <c r="S97" s="139"/>
      <c r="T97" s="2"/>
    </row>
    <row r="98" spans="1:21" ht="15.6" x14ac:dyDescent="0.3">
      <c r="A98" s="122"/>
      <c r="B98" s="113" t="s">
        <v>26</v>
      </c>
      <c r="C98" s="135"/>
      <c r="D98" s="135"/>
      <c r="E98" s="135"/>
      <c r="F98" s="135"/>
      <c r="G98" s="135"/>
      <c r="H98" s="135"/>
      <c r="I98" s="135"/>
      <c r="J98" s="135"/>
      <c r="K98" s="135"/>
      <c r="L98" s="135"/>
      <c r="M98" s="135"/>
      <c r="N98" s="135"/>
      <c r="O98" s="135"/>
      <c r="P98" s="155">
        <f>-R98</f>
        <v>0</v>
      </c>
      <c r="Q98" s="113"/>
      <c r="R98" s="156">
        <v>0</v>
      </c>
      <c r="S98" s="139"/>
      <c r="T98" s="2"/>
    </row>
    <row r="99" spans="1:21" ht="15.6" x14ac:dyDescent="0.3">
      <c r="A99" s="122"/>
      <c r="B99" s="113" t="s">
        <v>150</v>
      </c>
      <c r="C99" s="135"/>
      <c r="D99" s="135"/>
      <c r="E99" s="135"/>
      <c r="F99" s="135"/>
      <c r="G99" s="135"/>
      <c r="H99" s="135"/>
      <c r="I99" s="135"/>
      <c r="J99" s="135"/>
      <c r="K99" s="135"/>
      <c r="L99" s="135"/>
      <c r="M99" s="135"/>
      <c r="N99" s="135"/>
      <c r="O99" s="135"/>
      <c r="P99" s="155"/>
      <c r="Q99" s="113"/>
      <c r="R99" s="156">
        <v>0</v>
      </c>
      <c r="S99" s="139"/>
      <c r="T99" s="2"/>
    </row>
    <row r="100" spans="1:21" ht="15.6" x14ac:dyDescent="0.3">
      <c r="A100" s="122"/>
      <c r="B100" s="113" t="s">
        <v>27</v>
      </c>
      <c r="C100" s="135"/>
      <c r="D100" s="135"/>
      <c r="E100" s="135"/>
      <c r="F100" s="135"/>
      <c r="G100" s="135"/>
      <c r="H100" s="135"/>
      <c r="I100" s="135"/>
      <c r="J100" s="135"/>
      <c r="K100" s="135"/>
      <c r="L100" s="135"/>
      <c r="M100" s="135"/>
      <c r="N100" s="135"/>
      <c r="O100" s="135"/>
      <c r="P100" s="155">
        <f>P97+P98</f>
        <v>33455</v>
      </c>
      <c r="Q100" s="113"/>
      <c r="R100" s="155">
        <f>R97+R98+R99</f>
        <v>3026</v>
      </c>
      <c r="S100" s="139"/>
      <c r="T100" s="2"/>
    </row>
    <row r="101" spans="1:21" ht="15.6" x14ac:dyDescent="0.3">
      <c r="A101" s="112"/>
      <c r="B101" s="160" t="s">
        <v>28</v>
      </c>
      <c r="C101" s="135"/>
      <c r="D101" s="135"/>
      <c r="E101" s="135"/>
      <c r="F101" s="135"/>
      <c r="G101" s="135"/>
      <c r="H101" s="135"/>
      <c r="I101" s="135"/>
      <c r="J101" s="135"/>
      <c r="K101" s="135"/>
      <c r="L101" s="135"/>
      <c r="M101" s="135"/>
      <c r="N101" s="135"/>
      <c r="O101" s="135"/>
      <c r="P101" s="155"/>
      <c r="Q101" s="113"/>
      <c r="R101" s="156"/>
      <c r="S101" s="139"/>
      <c r="T101" s="2"/>
    </row>
    <row r="102" spans="1:21" ht="15.6" x14ac:dyDescent="0.3">
      <c r="A102" s="122">
        <v>1</v>
      </c>
      <c r="B102" s="113" t="s">
        <v>175</v>
      </c>
      <c r="C102" s="135"/>
      <c r="D102" s="135"/>
      <c r="E102" s="135"/>
      <c r="F102" s="135"/>
      <c r="G102" s="135"/>
      <c r="H102" s="135"/>
      <c r="I102" s="135"/>
      <c r="J102" s="135"/>
      <c r="K102" s="135"/>
      <c r="L102" s="135"/>
      <c r="M102" s="135"/>
      <c r="N102" s="135"/>
      <c r="O102" s="135"/>
      <c r="P102" s="155"/>
      <c r="Q102" s="113"/>
      <c r="R102" s="156">
        <v>0</v>
      </c>
      <c r="S102" s="139"/>
      <c r="T102" s="2"/>
    </row>
    <row r="103" spans="1:21" ht="15.6" x14ac:dyDescent="0.3">
      <c r="A103" s="122">
        <v>2</v>
      </c>
      <c r="B103" s="113" t="s">
        <v>195</v>
      </c>
      <c r="C103" s="113"/>
      <c r="D103" s="135"/>
      <c r="E103" s="135"/>
      <c r="F103" s="135"/>
      <c r="G103" s="135"/>
      <c r="H103" s="135"/>
      <c r="I103" s="135"/>
      <c r="J103" s="135"/>
      <c r="K103" s="135"/>
      <c r="L103" s="135"/>
      <c r="M103" s="135"/>
      <c r="N103" s="135"/>
      <c r="O103" s="135"/>
      <c r="P103" s="113"/>
      <c r="Q103" s="113"/>
      <c r="R103" s="156">
        <v>-3</v>
      </c>
      <c r="S103" s="139"/>
      <c r="T103" s="2"/>
    </row>
    <row r="104" spans="1:21" ht="15.6" x14ac:dyDescent="0.3">
      <c r="A104" s="122">
        <v>3</v>
      </c>
      <c r="B104" s="113" t="s">
        <v>287</v>
      </c>
      <c r="C104" s="113"/>
      <c r="D104" s="135"/>
      <c r="E104" s="135"/>
      <c r="F104" s="135"/>
      <c r="G104" s="135"/>
      <c r="H104" s="135"/>
      <c r="I104" s="135"/>
      <c r="J104" s="135"/>
      <c r="K104" s="135"/>
      <c r="L104" s="135"/>
      <c r="M104" s="135"/>
      <c r="N104" s="135"/>
      <c r="O104" s="135"/>
      <c r="P104" s="113"/>
      <c r="Q104" s="113"/>
      <c r="R104" s="156">
        <f>-99-16-3</f>
        <v>-118</v>
      </c>
      <c r="S104" s="139"/>
      <c r="T104" s="2"/>
    </row>
    <row r="105" spans="1:21" ht="15.6" x14ac:dyDescent="0.3">
      <c r="A105" s="122">
        <v>4</v>
      </c>
      <c r="B105" s="113" t="s">
        <v>96</v>
      </c>
      <c r="C105" s="113"/>
      <c r="D105" s="135"/>
      <c r="E105" s="135"/>
      <c r="F105" s="135"/>
      <c r="G105" s="135"/>
      <c r="H105" s="135"/>
      <c r="I105" s="135"/>
      <c r="J105" s="135"/>
      <c r="K105" s="135"/>
      <c r="L105" s="135"/>
      <c r="M105" s="135"/>
      <c r="N105" s="135"/>
      <c r="O105" s="135"/>
      <c r="P105" s="113"/>
      <c r="Q105" s="113"/>
      <c r="R105" s="156">
        <v>-212</v>
      </c>
      <c r="S105" s="139"/>
      <c r="T105" s="2"/>
    </row>
    <row r="106" spans="1:21" ht="15.6" x14ac:dyDescent="0.3">
      <c r="A106" s="122" t="s">
        <v>274</v>
      </c>
      <c r="B106" s="113" t="s">
        <v>272</v>
      </c>
      <c r="C106" s="113"/>
      <c r="D106" s="135"/>
      <c r="E106" s="135"/>
      <c r="F106" s="135"/>
      <c r="G106" s="135"/>
      <c r="H106" s="135"/>
      <c r="I106" s="135"/>
      <c r="J106" s="135"/>
      <c r="K106" s="135"/>
      <c r="L106" s="135"/>
      <c r="M106" s="135"/>
      <c r="N106" s="135"/>
      <c r="O106" s="135"/>
      <c r="P106" s="113"/>
      <c r="Q106" s="113"/>
      <c r="R106" s="156">
        <v>-359</v>
      </c>
      <c r="S106" s="139"/>
      <c r="T106" s="2"/>
      <c r="U106" s="4"/>
    </row>
    <row r="107" spans="1:21" ht="15.6" x14ac:dyDescent="0.3">
      <c r="A107" s="122" t="s">
        <v>275</v>
      </c>
      <c r="B107" s="113" t="s">
        <v>266</v>
      </c>
      <c r="C107" s="113"/>
      <c r="D107" s="135"/>
      <c r="E107" s="135"/>
      <c r="F107" s="135"/>
      <c r="G107" s="135"/>
      <c r="H107" s="135"/>
      <c r="I107" s="135"/>
      <c r="J107" s="135"/>
      <c r="K107" s="135"/>
      <c r="L107" s="135"/>
      <c r="M107" s="135"/>
      <c r="N107" s="135"/>
      <c r="O107" s="135"/>
      <c r="P107" s="113"/>
      <c r="Q107" s="113"/>
      <c r="R107" s="156">
        <v>-388</v>
      </c>
      <c r="S107" s="139"/>
      <c r="T107" s="2"/>
      <c r="U107" s="4"/>
    </row>
    <row r="108" spans="1:21" ht="15.6" x14ac:dyDescent="0.3">
      <c r="A108" s="122">
        <v>6</v>
      </c>
      <c r="B108" s="113" t="s">
        <v>189</v>
      </c>
      <c r="C108" s="113"/>
      <c r="D108" s="135"/>
      <c r="E108" s="135"/>
      <c r="F108" s="135"/>
      <c r="G108" s="135"/>
      <c r="H108" s="135"/>
      <c r="I108" s="135"/>
      <c r="J108" s="135"/>
      <c r="K108" s="135"/>
      <c r="L108" s="135"/>
      <c r="M108" s="135"/>
      <c r="N108" s="135"/>
      <c r="O108" s="135"/>
      <c r="P108" s="113"/>
      <c r="Q108" s="113"/>
      <c r="R108" s="156">
        <v>-51</v>
      </c>
      <c r="S108" s="139"/>
      <c r="T108" s="2"/>
      <c r="U108" s="4"/>
    </row>
    <row r="109" spans="1:21" ht="15.6" x14ac:dyDescent="0.3">
      <c r="A109" s="122">
        <v>7</v>
      </c>
      <c r="B109" s="113" t="s">
        <v>190</v>
      </c>
      <c r="C109" s="113"/>
      <c r="D109" s="135"/>
      <c r="E109" s="135"/>
      <c r="F109" s="135"/>
      <c r="G109" s="135"/>
      <c r="H109" s="135"/>
      <c r="I109" s="135"/>
      <c r="J109" s="135"/>
      <c r="K109" s="135"/>
      <c r="L109" s="135"/>
      <c r="M109" s="135"/>
      <c r="N109" s="135"/>
      <c r="O109" s="135"/>
      <c r="P109" s="113"/>
      <c r="Q109" s="113"/>
      <c r="R109" s="156">
        <v>-60</v>
      </c>
      <c r="S109" s="139"/>
      <c r="T109" s="2"/>
      <c r="U109" s="4"/>
    </row>
    <row r="110" spans="1:21" ht="15.6" x14ac:dyDescent="0.3">
      <c r="A110" s="122">
        <v>8</v>
      </c>
      <c r="B110" s="113" t="s">
        <v>156</v>
      </c>
      <c r="C110" s="113"/>
      <c r="D110" s="135"/>
      <c r="E110" s="135"/>
      <c r="F110" s="135"/>
      <c r="G110" s="135"/>
      <c r="H110" s="135"/>
      <c r="I110" s="135"/>
      <c r="J110" s="135"/>
      <c r="K110" s="135"/>
      <c r="L110" s="135"/>
      <c r="M110" s="135"/>
      <c r="N110" s="135"/>
      <c r="O110" s="135"/>
      <c r="P110" s="113"/>
      <c r="Q110" s="113"/>
      <c r="R110" s="156">
        <v>0</v>
      </c>
      <c r="S110" s="139"/>
      <c r="T110" s="2"/>
      <c r="U110" s="4"/>
    </row>
    <row r="111" spans="1:21" ht="15.6" x14ac:dyDescent="0.3">
      <c r="A111" s="122">
        <v>9</v>
      </c>
      <c r="B111" s="113" t="s">
        <v>37</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22">
        <v>10</v>
      </c>
      <c r="B112" s="113" t="s">
        <v>101</v>
      </c>
      <c r="C112" s="113"/>
      <c r="D112" s="135"/>
      <c r="E112" s="135"/>
      <c r="F112" s="135"/>
      <c r="G112" s="135"/>
      <c r="H112" s="135"/>
      <c r="I112" s="135"/>
      <c r="J112" s="135"/>
      <c r="K112" s="135"/>
      <c r="L112" s="135"/>
      <c r="M112" s="135"/>
      <c r="N112" s="135"/>
      <c r="O112" s="135"/>
      <c r="P112" s="113"/>
      <c r="Q112" s="113"/>
      <c r="R112" s="156">
        <v>0</v>
      </c>
      <c r="S112" s="139"/>
      <c r="T112" s="2"/>
    </row>
    <row r="113" spans="1:20" ht="15.6" x14ac:dyDescent="0.3">
      <c r="A113" s="122">
        <v>11</v>
      </c>
      <c r="B113" s="113" t="s">
        <v>29</v>
      </c>
      <c r="C113" s="113"/>
      <c r="D113" s="135"/>
      <c r="E113" s="135"/>
      <c r="F113" s="135"/>
      <c r="G113" s="135"/>
      <c r="H113" s="135"/>
      <c r="I113" s="135"/>
      <c r="J113" s="135"/>
      <c r="K113" s="135"/>
      <c r="L113" s="135"/>
      <c r="M113" s="135"/>
      <c r="N113" s="135"/>
      <c r="O113" s="135"/>
      <c r="P113" s="113"/>
      <c r="Q113" s="113"/>
      <c r="R113" s="156">
        <v>-20</v>
      </c>
      <c r="S113" s="139"/>
      <c r="T113" s="2"/>
    </row>
    <row r="114" spans="1:20" ht="15.6" x14ac:dyDescent="0.3">
      <c r="A114" s="122">
        <v>12</v>
      </c>
      <c r="B114" s="113" t="s">
        <v>138</v>
      </c>
      <c r="C114" s="113"/>
      <c r="D114" s="135"/>
      <c r="E114" s="135"/>
      <c r="F114" s="135"/>
      <c r="G114" s="135"/>
      <c r="H114" s="135"/>
      <c r="I114" s="135"/>
      <c r="J114" s="135"/>
      <c r="K114" s="135"/>
      <c r="L114" s="135"/>
      <c r="M114" s="135"/>
      <c r="N114" s="135"/>
      <c r="O114" s="135"/>
      <c r="P114" s="113"/>
      <c r="Q114" s="113"/>
      <c r="R114" s="156">
        <v>0</v>
      </c>
      <c r="S114" s="139"/>
      <c r="T114" s="2"/>
    </row>
    <row r="115" spans="1:20" ht="15.6" x14ac:dyDescent="0.3">
      <c r="A115" s="122">
        <v>13</v>
      </c>
      <c r="B115" s="113" t="s">
        <v>267</v>
      </c>
      <c r="C115" s="113"/>
      <c r="D115" s="135"/>
      <c r="E115" s="135"/>
      <c r="F115" s="135"/>
      <c r="G115" s="135"/>
      <c r="H115" s="135"/>
      <c r="I115" s="135"/>
      <c r="J115" s="135"/>
      <c r="K115" s="135"/>
      <c r="L115" s="135"/>
      <c r="M115" s="135"/>
      <c r="N115" s="135"/>
      <c r="O115" s="135"/>
      <c r="P115" s="113"/>
      <c r="Q115" s="113"/>
      <c r="R115" s="156">
        <v>-44</v>
      </c>
      <c r="S115" s="139"/>
      <c r="T115" s="2"/>
    </row>
    <row r="116" spans="1:20" ht="15.6" x14ac:dyDescent="0.3">
      <c r="A116" s="122">
        <v>14</v>
      </c>
      <c r="B116" s="113" t="s">
        <v>157</v>
      </c>
      <c r="C116" s="113"/>
      <c r="D116" s="135"/>
      <c r="E116" s="135"/>
      <c r="F116" s="135"/>
      <c r="G116" s="135"/>
      <c r="H116" s="135"/>
      <c r="I116" s="135"/>
      <c r="J116" s="135"/>
      <c r="K116" s="135"/>
      <c r="L116" s="135"/>
      <c r="M116" s="135"/>
      <c r="N116" s="135"/>
      <c r="O116" s="135"/>
      <c r="P116" s="113"/>
      <c r="Q116" s="113"/>
      <c r="R116" s="156">
        <v>0</v>
      </c>
      <c r="S116" s="139"/>
      <c r="T116" s="2"/>
    </row>
    <row r="117" spans="1:20" ht="15.6" x14ac:dyDescent="0.3">
      <c r="A117" s="122">
        <v>15</v>
      </c>
      <c r="B117" s="113" t="s">
        <v>207</v>
      </c>
      <c r="C117" s="113"/>
      <c r="D117" s="135"/>
      <c r="E117" s="135"/>
      <c r="F117" s="135"/>
      <c r="G117" s="135"/>
      <c r="H117" s="135"/>
      <c r="I117" s="135"/>
      <c r="J117" s="135"/>
      <c r="K117" s="135"/>
      <c r="L117" s="135"/>
      <c r="M117" s="135"/>
      <c r="N117" s="135"/>
      <c r="O117" s="135"/>
      <c r="P117" s="113"/>
      <c r="Q117" s="113"/>
      <c r="R117" s="156">
        <v>-98</v>
      </c>
      <c r="S117" s="139"/>
      <c r="T117" s="2"/>
    </row>
    <row r="118" spans="1:20" ht="15.6" x14ac:dyDescent="0.3">
      <c r="A118" s="122">
        <v>16</v>
      </c>
      <c r="B118" s="113" t="s">
        <v>167</v>
      </c>
      <c r="C118" s="113"/>
      <c r="D118" s="135"/>
      <c r="E118" s="135"/>
      <c r="F118" s="135"/>
      <c r="G118" s="135"/>
      <c r="H118" s="135"/>
      <c r="I118" s="135"/>
      <c r="J118" s="135"/>
      <c r="K118" s="135"/>
      <c r="L118" s="135"/>
      <c r="M118" s="135"/>
      <c r="N118" s="135"/>
      <c r="O118" s="135"/>
      <c r="P118" s="113"/>
      <c r="Q118" s="113"/>
      <c r="R118" s="156">
        <f>-20-177</f>
        <v>-197</v>
      </c>
      <c r="S118" s="139"/>
      <c r="T118" s="2"/>
    </row>
    <row r="119" spans="1:20" ht="15.6" x14ac:dyDescent="0.3">
      <c r="A119" s="122">
        <v>17</v>
      </c>
      <c r="B119" s="113" t="s">
        <v>268</v>
      </c>
      <c r="C119" s="113"/>
      <c r="D119" s="135"/>
      <c r="E119" s="135"/>
      <c r="F119" s="135"/>
      <c r="G119" s="135"/>
      <c r="H119" s="135"/>
      <c r="I119" s="135"/>
      <c r="J119" s="135"/>
      <c r="K119" s="135"/>
      <c r="L119" s="135"/>
      <c r="M119" s="135"/>
      <c r="N119" s="135"/>
      <c r="O119" s="135"/>
      <c r="P119" s="113"/>
      <c r="Q119" s="113"/>
      <c r="R119" s="156">
        <f>-R100-SUM(R102:R118)</f>
        <v>-1476</v>
      </c>
      <c r="S119" s="139"/>
      <c r="T119" s="2"/>
    </row>
    <row r="120" spans="1:20" ht="15.6" x14ac:dyDescent="0.3">
      <c r="A120" s="112"/>
      <c r="B120" s="160" t="s">
        <v>30</v>
      </c>
      <c r="C120" s="135"/>
      <c r="D120" s="135"/>
      <c r="E120" s="135"/>
      <c r="F120" s="135"/>
      <c r="G120" s="135"/>
      <c r="H120" s="135"/>
      <c r="I120" s="135"/>
      <c r="J120" s="135"/>
      <c r="K120" s="135"/>
      <c r="L120" s="135"/>
      <c r="M120" s="135"/>
      <c r="N120" s="135"/>
      <c r="O120" s="135"/>
      <c r="P120" s="113"/>
      <c r="Q120" s="113"/>
      <c r="R120" s="161"/>
      <c r="S120" s="139"/>
      <c r="T120" s="2"/>
    </row>
    <row r="121" spans="1:20" ht="15.6" x14ac:dyDescent="0.3">
      <c r="A121" s="112"/>
      <c r="B121" s="113" t="s">
        <v>208</v>
      </c>
      <c r="C121" s="135"/>
      <c r="D121" s="135"/>
      <c r="E121" s="135"/>
      <c r="F121" s="135"/>
      <c r="G121" s="135"/>
      <c r="H121" s="135"/>
      <c r="I121" s="135"/>
      <c r="J121" s="135"/>
      <c r="K121" s="135"/>
      <c r="L121" s="135"/>
      <c r="M121" s="135"/>
      <c r="N121" s="135"/>
      <c r="O121" s="135"/>
      <c r="P121" s="155">
        <f>-P188</f>
        <v>0</v>
      </c>
      <c r="Q121" s="155"/>
      <c r="R121" s="156"/>
      <c r="S121" s="139"/>
      <c r="T121" s="2"/>
    </row>
    <row r="122" spans="1:20" ht="15.6" x14ac:dyDescent="0.3">
      <c r="A122" s="112"/>
      <c r="B122" s="113" t="s">
        <v>209</v>
      </c>
      <c r="C122" s="135"/>
      <c r="D122" s="135"/>
      <c r="E122" s="135"/>
      <c r="F122" s="135"/>
      <c r="G122" s="135"/>
      <c r="H122" s="135"/>
      <c r="I122" s="135"/>
      <c r="J122" s="135"/>
      <c r="K122" s="135"/>
      <c r="L122" s="135"/>
      <c r="M122" s="135"/>
      <c r="N122" s="135"/>
      <c r="O122" s="135"/>
      <c r="P122" s="155">
        <v>0</v>
      </c>
      <c r="Q122" s="155"/>
      <c r="R122" s="156"/>
      <c r="S122" s="139"/>
      <c r="T122" s="2"/>
    </row>
    <row r="123" spans="1:20" ht="15.6" x14ac:dyDescent="0.3">
      <c r="A123" s="112"/>
      <c r="B123" s="113" t="s">
        <v>270</v>
      </c>
      <c r="C123" s="135"/>
      <c r="D123" s="135"/>
      <c r="E123" s="135"/>
      <c r="F123" s="135"/>
      <c r="G123" s="135"/>
      <c r="H123" s="135"/>
      <c r="I123" s="135"/>
      <c r="J123" s="135"/>
      <c r="K123" s="135"/>
      <c r="L123" s="135"/>
      <c r="M123" s="135"/>
      <c r="N123" s="135"/>
      <c r="O123" s="135"/>
      <c r="P123" s="155">
        <v>-14554</v>
      </c>
      <c r="Q123" s="155"/>
      <c r="R123" s="156"/>
      <c r="S123" s="139"/>
      <c r="T123" s="2"/>
    </row>
    <row r="124" spans="1:20" ht="15.6" x14ac:dyDescent="0.3">
      <c r="A124" s="112"/>
      <c r="B124" s="113" t="s">
        <v>269</v>
      </c>
      <c r="C124" s="135"/>
      <c r="D124" s="135"/>
      <c r="E124" s="135"/>
      <c r="F124" s="135"/>
      <c r="G124" s="135"/>
      <c r="H124" s="135"/>
      <c r="I124" s="135"/>
      <c r="J124" s="135"/>
      <c r="K124" s="135"/>
      <c r="L124" s="135"/>
      <c r="M124" s="135"/>
      <c r="N124" s="135"/>
      <c r="O124" s="135"/>
      <c r="P124" s="155">
        <v>-18901</v>
      </c>
      <c r="Q124" s="155"/>
      <c r="R124" s="156"/>
      <c r="S124" s="139"/>
      <c r="T124" s="2"/>
    </row>
    <row r="125" spans="1:20" ht="15.6" x14ac:dyDescent="0.3">
      <c r="A125" s="112"/>
      <c r="B125" s="113" t="s">
        <v>181</v>
      </c>
      <c r="C125" s="135"/>
      <c r="D125" s="135"/>
      <c r="E125" s="135"/>
      <c r="F125" s="135"/>
      <c r="G125" s="135"/>
      <c r="H125" s="135"/>
      <c r="I125" s="135"/>
      <c r="J125" s="135"/>
      <c r="K125" s="135"/>
      <c r="L125" s="135"/>
      <c r="M125" s="135"/>
      <c r="N125" s="135"/>
      <c r="O125" s="135"/>
      <c r="P125" s="155">
        <v>0</v>
      </c>
      <c r="Q125" s="155"/>
      <c r="R125" s="156"/>
      <c r="S125" s="139"/>
      <c r="T125" s="2"/>
    </row>
    <row r="126" spans="1:20" ht="15.6" x14ac:dyDescent="0.3">
      <c r="A126" s="112"/>
      <c r="B126" s="113" t="s">
        <v>182</v>
      </c>
      <c r="C126" s="135"/>
      <c r="D126" s="135"/>
      <c r="E126" s="135"/>
      <c r="F126" s="135"/>
      <c r="G126" s="135"/>
      <c r="H126" s="135"/>
      <c r="I126" s="135"/>
      <c r="J126" s="135"/>
      <c r="K126" s="135"/>
      <c r="L126" s="135"/>
      <c r="M126" s="135"/>
      <c r="N126" s="135"/>
      <c r="O126" s="135"/>
      <c r="P126" s="155">
        <v>0</v>
      </c>
      <c r="Q126" s="155"/>
      <c r="R126" s="156"/>
      <c r="S126" s="139"/>
      <c r="T126" s="2"/>
    </row>
    <row r="127" spans="1:20" ht="15.6" x14ac:dyDescent="0.3">
      <c r="A127" s="112"/>
      <c r="B127" s="113" t="s">
        <v>271</v>
      </c>
      <c r="C127" s="135"/>
      <c r="D127" s="135"/>
      <c r="E127" s="135"/>
      <c r="F127" s="135"/>
      <c r="G127" s="135"/>
      <c r="H127" s="135"/>
      <c r="I127" s="135"/>
      <c r="J127" s="135"/>
      <c r="K127" s="135"/>
      <c r="L127" s="135"/>
      <c r="M127" s="135"/>
      <c r="N127" s="135"/>
      <c r="O127" s="135"/>
      <c r="P127" s="155">
        <v>0</v>
      </c>
      <c r="Q127" s="155"/>
      <c r="R127" s="156"/>
      <c r="S127" s="139"/>
      <c r="T127" s="2"/>
    </row>
    <row r="128" spans="1:20" ht="15.6" x14ac:dyDescent="0.3">
      <c r="A128" s="112"/>
      <c r="B128" s="113" t="s">
        <v>31</v>
      </c>
      <c r="C128" s="135"/>
      <c r="D128" s="135"/>
      <c r="E128" s="135"/>
      <c r="F128" s="135"/>
      <c r="G128" s="135"/>
      <c r="H128" s="135"/>
      <c r="I128" s="135"/>
      <c r="J128" s="135"/>
      <c r="K128" s="135"/>
      <c r="L128" s="135"/>
      <c r="M128" s="135"/>
      <c r="N128" s="135"/>
      <c r="O128" s="135"/>
      <c r="P128" s="155">
        <f>SUM(P121:P127)</f>
        <v>-33455</v>
      </c>
      <c r="Q128" s="155"/>
      <c r="R128" s="155">
        <f>SUM(R101:R127)</f>
        <v>-3026</v>
      </c>
      <c r="S128" s="139"/>
      <c r="T128" s="2"/>
    </row>
    <row r="129" spans="1:20" ht="15.6" x14ac:dyDescent="0.3">
      <c r="A129" s="112"/>
      <c r="B129" s="113" t="s">
        <v>32</v>
      </c>
      <c r="C129" s="135"/>
      <c r="D129" s="135"/>
      <c r="E129" s="135"/>
      <c r="F129" s="135"/>
      <c r="G129" s="135"/>
      <c r="H129" s="135"/>
      <c r="I129" s="135"/>
      <c r="J129" s="135"/>
      <c r="K129" s="135"/>
      <c r="L129" s="135"/>
      <c r="M129" s="135"/>
      <c r="N129" s="135"/>
      <c r="O129" s="135"/>
      <c r="P129" s="155">
        <f>P100+P128+P111</f>
        <v>0</v>
      </c>
      <c r="Q129" s="155"/>
      <c r="R129" s="155">
        <f>R100+R128</f>
        <v>0</v>
      </c>
      <c r="S129" s="139"/>
      <c r="T129" s="2"/>
    </row>
    <row r="130" spans="1:20" ht="15.6" x14ac:dyDescent="0.3">
      <c r="A130" s="12"/>
      <c r="B130" s="43"/>
      <c r="C130" s="43"/>
      <c r="D130" s="43"/>
      <c r="E130" s="43"/>
      <c r="F130" s="43"/>
      <c r="G130" s="43"/>
      <c r="H130" s="43"/>
      <c r="I130" s="43"/>
      <c r="J130" s="43"/>
      <c r="K130" s="43"/>
      <c r="L130" s="43"/>
      <c r="M130" s="43"/>
      <c r="N130" s="43"/>
      <c r="O130" s="43"/>
      <c r="P130" s="153"/>
      <c r="Q130" s="153"/>
      <c r="R130" s="153"/>
      <c r="S130" s="217"/>
      <c r="T130" s="2"/>
    </row>
    <row r="131" spans="1:20" ht="15.6" x14ac:dyDescent="0.3">
      <c r="A131" s="12"/>
      <c r="B131" s="14"/>
      <c r="C131" s="14"/>
      <c r="D131" s="14"/>
      <c r="E131" s="14"/>
      <c r="F131" s="14"/>
      <c r="G131" s="14"/>
      <c r="H131" s="14"/>
      <c r="I131" s="14"/>
      <c r="J131" s="14"/>
      <c r="K131" s="14"/>
      <c r="L131" s="14"/>
      <c r="M131" s="14"/>
      <c r="N131" s="14"/>
      <c r="O131" s="14"/>
      <c r="P131" s="14"/>
      <c r="Q131" s="14"/>
      <c r="R131" s="33"/>
      <c r="S131" s="217"/>
      <c r="T131" s="2"/>
    </row>
    <row r="132" spans="1:20" ht="18" thickBot="1" x14ac:dyDescent="0.35">
      <c r="A132" s="28"/>
      <c r="B132" s="97" t="str">
        <f>B60</f>
        <v>PM22 INVESTOR REPORT QUARTER ENDING FEBRUARY 2017</v>
      </c>
      <c r="C132" s="29"/>
      <c r="D132" s="29"/>
      <c r="E132" s="29"/>
      <c r="F132" s="29"/>
      <c r="G132" s="29"/>
      <c r="H132" s="29"/>
      <c r="I132" s="29"/>
      <c r="J132" s="29"/>
      <c r="K132" s="29"/>
      <c r="L132" s="29"/>
      <c r="M132" s="29"/>
      <c r="N132" s="29"/>
      <c r="O132" s="29"/>
      <c r="P132" s="29"/>
      <c r="Q132" s="29"/>
      <c r="R132" s="40"/>
      <c r="S132" s="31"/>
      <c r="T132" s="2"/>
    </row>
    <row r="133" spans="1:20" ht="15.6" x14ac:dyDescent="0.3">
      <c r="A133" s="65"/>
      <c r="B133" s="66" t="s">
        <v>33</v>
      </c>
      <c r="C133" s="67"/>
      <c r="D133" s="67"/>
      <c r="E133" s="67"/>
      <c r="F133" s="67"/>
      <c r="G133" s="67"/>
      <c r="H133" s="67"/>
      <c r="I133" s="67"/>
      <c r="J133" s="67"/>
      <c r="K133" s="67"/>
      <c r="L133" s="67"/>
      <c r="M133" s="67"/>
      <c r="N133" s="67"/>
      <c r="O133" s="67"/>
      <c r="P133" s="67"/>
      <c r="Q133" s="67"/>
      <c r="R133" s="68"/>
      <c r="S133" s="223"/>
      <c r="T133" s="2"/>
    </row>
    <row r="134" spans="1:20" ht="15.6" x14ac:dyDescent="0.3">
      <c r="A134" s="12"/>
      <c r="B134" s="22"/>
      <c r="C134" s="14"/>
      <c r="D134" s="14"/>
      <c r="E134" s="14"/>
      <c r="F134" s="14"/>
      <c r="G134" s="14"/>
      <c r="H134" s="14"/>
      <c r="I134" s="14"/>
      <c r="J134" s="14"/>
      <c r="K134" s="14"/>
      <c r="L134" s="14"/>
      <c r="M134" s="14"/>
      <c r="N134" s="14"/>
      <c r="O134" s="14"/>
      <c r="P134" s="14"/>
      <c r="Q134" s="14"/>
      <c r="R134" s="33"/>
      <c r="S134" s="217"/>
      <c r="T134" s="2"/>
    </row>
    <row r="135" spans="1:20" ht="15.6" x14ac:dyDescent="0.3">
      <c r="A135" s="12"/>
      <c r="B135" s="41" t="s">
        <v>34</v>
      </c>
      <c r="C135" s="14"/>
      <c r="D135" s="14"/>
      <c r="E135" s="14"/>
      <c r="F135" s="14"/>
      <c r="G135" s="14"/>
      <c r="H135" s="14"/>
      <c r="I135" s="14"/>
      <c r="J135" s="14"/>
      <c r="K135" s="14"/>
      <c r="L135" s="14"/>
      <c r="M135" s="14"/>
      <c r="N135" s="14"/>
      <c r="O135" s="14"/>
      <c r="P135" s="14"/>
      <c r="Q135" s="14"/>
      <c r="R135" s="33"/>
      <c r="S135" s="217"/>
      <c r="T135" s="2"/>
    </row>
    <row r="136" spans="1:20" ht="15.6" x14ac:dyDescent="0.3">
      <c r="A136" s="112"/>
      <c r="B136" s="113" t="s">
        <v>35</v>
      </c>
      <c r="C136" s="113"/>
      <c r="D136" s="113"/>
      <c r="E136" s="113"/>
      <c r="F136" s="113"/>
      <c r="G136" s="113"/>
      <c r="H136" s="113"/>
      <c r="I136" s="113"/>
      <c r="J136" s="113"/>
      <c r="K136" s="113"/>
      <c r="L136" s="113"/>
      <c r="M136" s="113"/>
      <c r="N136" s="113"/>
      <c r="O136" s="113"/>
      <c r="P136" s="113"/>
      <c r="Q136" s="113"/>
      <c r="R136" s="156">
        <v>7502</v>
      </c>
      <c r="S136" s="116"/>
      <c r="T136" s="2"/>
    </row>
    <row r="137" spans="1:20" ht="15.6" x14ac:dyDescent="0.3">
      <c r="A137" s="112"/>
      <c r="B137" s="113" t="s">
        <v>36</v>
      </c>
      <c r="C137" s="113"/>
      <c r="D137" s="113"/>
      <c r="E137" s="113"/>
      <c r="F137" s="113"/>
      <c r="G137" s="113"/>
      <c r="H137" s="113"/>
      <c r="I137" s="113"/>
      <c r="J137" s="113"/>
      <c r="K137" s="113"/>
      <c r="L137" s="113"/>
      <c r="M137" s="113"/>
      <c r="N137" s="113"/>
      <c r="O137" s="113"/>
      <c r="P137" s="113"/>
      <c r="Q137" s="113"/>
      <c r="R137" s="156">
        <v>0</v>
      </c>
      <c r="S137" s="116"/>
      <c r="T137" s="2"/>
    </row>
    <row r="138" spans="1:20" ht="15.6" x14ac:dyDescent="0.3">
      <c r="A138" s="112"/>
      <c r="B138" s="113" t="s">
        <v>169</v>
      </c>
      <c r="C138" s="113"/>
      <c r="D138" s="113"/>
      <c r="E138" s="113"/>
      <c r="F138" s="113"/>
      <c r="G138" s="113"/>
      <c r="H138" s="113"/>
      <c r="I138" s="113"/>
      <c r="J138" s="113"/>
      <c r="K138" s="113"/>
      <c r="L138" s="113"/>
      <c r="M138" s="113"/>
      <c r="N138" s="113"/>
      <c r="O138" s="113"/>
      <c r="P138" s="113"/>
      <c r="Q138" s="113"/>
      <c r="R138" s="156">
        <f>R136-R139</f>
        <v>1810.2530926399995</v>
      </c>
      <c r="S138" s="116"/>
      <c r="T138" s="2"/>
    </row>
    <row r="139" spans="1:20" ht="15.6" x14ac:dyDescent="0.3">
      <c r="A139" s="112"/>
      <c r="B139" s="113" t="s">
        <v>210</v>
      </c>
      <c r="C139" s="113"/>
      <c r="D139" s="113"/>
      <c r="E139" s="113"/>
      <c r="F139" s="113"/>
      <c r="G139" s="113"/>
      <c r="H139" s="113"/>
      <c r="I139" s="113"/>
      <c r="J139" s="113"/>
      <c r="K139" s="113"/>
      <c r="L139" s="113"/>
      <c r="M139" s="113"/>
      <c r="N139" s="113"/>
      <c r="O139" s="113"/>
      <c r="P139" s="113"/>
      <c r="Q139" s="113"/>
      <c r="R139" s="156">
        <f>SUM(D33:J33)*0.025</f>
        <v>5691.7469073600005</v>
      </c>
      <c r="S139" s="116"/>
      <c r="T139" s="2"/>
    </row>
    <row r="140" spans="1:20" ht="15.6" x14ac:dyDescent="0.3">
      <c r="A140" s="112"/>
      <c r="B140" s="113" t="s">
        <v>108</v>
      </c>
      <c r="C140" s="113"/>
      <c r="D140" s="113"/>
      <c r="E140" s="113"/>
      <c r="F140" s="113"/>
      <c r="G140" s="113"/>
      <c r="H140" s="113"/>
      <c r="I140" s="113"/>
      <c r="J140" s="113"/>
      <c r="K140" s="113"/>
      <c r="L140" s="113"/>
      <c r="M140" s="113"/>
      <c r="N140" s="113"/>
      <c r="O140" s="113"/>
      <c r="P140" s="113"/>
      <c r="Q140" s="113"/>
      <c r="R140" s="156"/>
      <c r="S140" s="116"/>
      <c r="T140" s="2"/>
    </row>
    <row r="141" spans="1:20" ht="15.6" x14ac:dyDescent="0.3">
      <c r="A141" s="112"/>
      <c r="B141" s="113" t="s">
        <v>155</v>
      </c>
      <c r="C141" s="113"/>
      <c r="D141" s="113"/>
      <c r="E141" s="113"/>
      <c r="F141" s="113"/>
      <c r="G141" s="113"/>
      <c r="H141" s="113"/>
      <c r="I141" s="113"/>
      <c r="J141" s="113"/>
      <c r="K141" s="113"/>
      <c r="L141" s="113"/>
      <c r="M141" s="113"/>
      <c r="N141" s="113"/>
      <c r="O141" s="113"/>
      <c r="P141" s="113"/>
      <c r="Q141" s="113"/>
      <c r="R141" s="156">
        <v>0</v>
      </c>
      <c r="S141" s="116"/>
      <c r="T141" s="2"/>
    </row>
    <row r="142" spans="1:20" ht="15.6" x14ac:dyDescent="0.3">
      <c r="A142" s="112"/>
      <c r="B142" s="113" t="s">
        <v>189</v>
      </c>
      <c r="C142" s="113"/>
      <c r="D142" s="113"/>
      <c r="E142" s="113"/>
      <c r="F142" s="113"/>
      <c r="G142" s="113"/>
      <c r="H142" s="113"/>
      <c r="I142" s="113"/>
      <c r="J142" s="113"/>
      <c r="K142" s="113"/>
      <c r="L142" s="113"/>
      <c r="M142" s="113"/>
      <c r="N142" s="113"/>
      <c r="O142" s="113"/>
      <c r="P142" s="113"/>
      <c r="Q142" s="113"/>
      <c r="R142" s="156">
        <v>0</v>
      </c>
      <c r="S142" s="116"/>
      <c r="T142" s="2"/>
    </row>
    <row r="143" spans="1:20" ht="15.6" x14ac:dyDescent="0.3">
      <c r="A143" s="112"/>
      <c r="B143" s="113" t="s">
        <v>190</v>
      </c>
      <c r="C143" s="113"/>
      <c r="D143" s="113"/>
      <c r="E143" s="113"/>
      <c r="F143" s="113"/>
      <c r="G143" s="113"/>
      <c r="H143" s="113"/>
      <c r="I143" s="113"/>
      <c r="J143" s="113"/>
      <c r="K143" s="113"/>
      <c r="L143" s="113"/>
      <c r="M143" s="113"/>
      <c r="N143" s="113"/>
      <c r="O143" s="113"/>
      <c r="P143" s="113"/>
      <c r="Q143" s="113"/>
      <c r="R143" s="156">
        <v>0</v>
      </c>
      <c r="S143" s="116"/>
      <c r="T143" s="2"/>
    </row>
    <row r="144" spans="1:20" ht="15.6" x14ac:dyDescent="0.3">
      <c r="A144" s="112"/>
      <c r="B144" s="113" t="s">
        <v>37</v>
      </c>
      <c r="C144" s="113"/>
      <c r="D144" s="113"/>
      <c r="E144" s="113"/>
      <c r="F144" s="113"/>
      <c r="G144" s="113"/>
      <c r="H144" s="113"/>
      <c r="I144" s="113"/>
      <c r="J144" s="113"/>
      <c r="K144" s="113"/>
      <c r="L144" s="113"/>
      <c r="M144" s="113"/>
      <c r="N144" s="113"/>
      <c r="O144" s="113"/>
      <c r="P144" s="113"/>
      <c r="Q144" s="113"/>
      <c r="R144" s="156">
        <v>0</v>
      </c>
      <c r="S144" s="116"/>
      <c r="T144" s="2"/>
    </row>
    <row r="145" spans="1:21" ht="15.6" x14ac:dyDescent="0.3">
      <c r="A145" s="112"/>
      <c r="B145" s="113" t="s">
        <v>102</v>
      </c>
      <c r="C145" s="113"/>
      <c r="D145" s="113"/>
      <c r="E145" s="113"/>
      <c r="F145" s="113"/>
      <c r="G145" s="113"/>
      <c r="H145" s="113"/>
      <c r="I145" s="113"/>
      <c r="J145" s="113"/>
      <c r="K145" s="113"/>
      <c r="L145" s="113"/>
      <c r="M145" s="113"/>
      <c r="N145" s="113"/>
      <c r="O145" s="113"/>
      <c r="P145" s="113"/>
      <c r="Q145" s="113"/>
      <c r="R145" s="156">
        <v>0</v>
      </c>
      <c r="S145" s="116"/>
      <c r="T145" s="2"/>
    </row>
    <row r="146" spans="1:21" ht="15.6" x14ac:dyDescent="0.3">
      <c r="A146" s="112"/>
      <c r="B146" s="113" t="s">
        <v>256</v>
      </c>
      <c r="C146" s="113"/>
      <c r="D146" s="113"/>
      <c r="E146" s="113"/>
      <c r="F146" s="113"/>
      <c r="G146" s="113"/>
      <c r="H146" s="113"/>
      <c r="I146" s="113"/>
      <c r="J146" s="113"/>
      <c r="K146" s="113"/>
      <c r="L146" s="113"/>
      <c r="M146" s="113"/>
      <c r="N146" s="113"/>
      <c r="O146" s="113"/>
      <c r="P146" s="113"/>
      <c r="Q146" s="113"/>
      <c r="R146" s="156">
        <v>0</v>
      </c>
      <c r="S146" s="116"/>
      <c r="T146" s="2"/>
      <c r="U146" s="4"/>
    </row>
    <row r="147" spans="1:21" ht="15.6" x14ac:dyDescent="0.3">
      <c r="A147" s="112"/>
      <c r="B147" s="113" t="s">
        <v>38</v>
      </c>
      <c r="C147" s="113"/>
      <c r="D147" s="113"/>
      <c r="E147" s="113"/>
      <c r="F147" s="113"/>
      <c r="G147" s="113"/>
      <c r="H147" s="113"/>
      <c r="I147" s="113"/>
      <c r="J147" s="113"/>
      <c r="K147" s="113"/>
      <c r="L147" s="113"/>
      <c r="M147" s="113"/>
      <c r="N147" s="113"/>
      <c r="O147" s="113"/>
      <c r="P147" s="113"/>
      <c r="Q147" s="113"/>
      <c r="R147" s="156">
        <f>SUM(R137:R146)</f>
        <v>7502</v>
      </c>
      <c r="S147" s="116"/>
      <c r="T147" s="2"/>
    </row>
    <row r="148" spans="1:21" ht="15.6" x14ac:dyDescent="0.3">
      <c r="A148" s="12"/>
      <c r="B148" s="43"/>
      <c r="C148" s="43"/>
      <c r="D148" s="43"/>
      <c r="E148" s="43"/>
      <c r="F148" s="43"/>
      <c r="G148" s="43"/>
      <c r="H148" s="43"/>
      <c r="I148" s="43"/>
      <c r="J148" s="43"/>
      <c r="K148" s="43"/>
      <c r="L148" s="43"/>
      <c r="M148" s="43"/>
      <c r="N148" s="43"/>
      <c r="O148" s="43"/>
      <c r="P148" s="43"/>
      <c r="Q148" s="43"/>
      <c r="R148" s="162"/>
      <c r="S148" s="217"/>
      <c r="T148" s="2"/>
    </row>
    <row r="149" spans="1:21" ht="15.6" x14ac:dyDescent="0.3">
      <c r="A149" s="12"/>
      <c r="B149" s="41" t="s">
        <v>203</v>
      </c>
      <c r="C149" s="14"/>
      <c r="D149" s="14"/>
      <c r="E149" s="14"/>
      <c r="F149" s="14"/>
      <c r="G149" s="14"/>
      <c r="H149" s="14"/>
      <c r="I149" s="14"/>
      <c r="J149" s="14"/>
      <c r="K149" s="14"/>
      <c r="L149" s="14"/>
      <c r="M149" s="14"/>
      <c r="N149" s="14"/>
      <c r="O149" s="14"/>
      <c r="P149" s="14"/>
      <c r="Q149" s="14"/>
      <c r="R149" s="33"/>
      <c r="S149" s="217"/>
      <c r="T149" s="2"/>
    </row>
    <row r="150" spans="1:21" ht="15.6" x14ac:dyDescent="0.3">
      <c r="A150" s="112"/>
      <c r="B150" s="113" t="s">
        <v>278</v>
      </c>
      <c r="C150" s="113"/>
      <c r="D150" s="113"/>
      <c r="E150" s="113"/>
      <c r="F150" s="113"/>
      <c r="G150" s="113"/>
      <c r="H150" s="113"/>
      <c r="I150" s="113"/>
      <c r="J150" s="113"/>
      <c r="K150" s="113"/>
      <c r="L150" s="113"/>
      <c r="M150" s="113"/>
      <c r="N150" s="113"/>
      <c r="O150" s="113"/>
      <c r="P150" s="113"/>
      <c r="Q150" s="113"/>
      <c r="R150" s="156">
        <v>0</v>
      </c>
      <c r="S150" s="139"/>
      <c r="T150" s="2"/>
    </row>
    <row r="151" spans="1:21" ht="15.6" x14ac:dyDescent="0.3">
      <c r="A151" s="112"/>
      <c r="B151" s="113" t="s">
        <v>191</v>
      </c>
      <c r="C151" s="115"/>
      <c r="D151" s="115"/>
      <c r="E151" s="115"/>
      <c r="F151" s="115"/>
      <c r="G151" s="115"/>
      <c r="H151" s="115"/>
      <c r="I151" s="115"/>
      <c r="J151" s="115"/>
      <c r="K151" s="115"/>
      <c r="L151" s="115"/>
      <c r="M151" s="115"/>
      <c r="N151" s="115"/>
      <c r="O151" s="115"/>
      <c r="P151" s="115"/>
      <c r="Q151" s="115"/>
      <c r="R151" s="156">
        <f>+J77</f>
        <v>0</v>
      </c>
      <c r="S151" s="139"/>
      <c r="T151" s="2"/>
    </row>
    <row r="152" spans="1:21" ht="15.6" x14ac:dyDescent="0.3">
      <c r="A152" s="112"/>
      <c r="B152" s="113" t="s">
        <v>205</v>
      </c>
      <c r="C152" s="113"/>
      <c r="D152" s="113"/>
      <c r="E152" s="113"/>
      <c r="F152" s="113"/>
      <c r="G152" s="113"/>
      <c r="H152" s="113"/>
      <c r="I152" s="113"/>
      <c r="J152" s="113"/>
      <c r="K152" s="113"/>
      <c r="L152" s="113"/>
      <c r="M152" s="113"/>
      <c r="N152" s="113"/>
      <c r="O152" s="113"/>
      <c r="P152" s="113"/>
      <c r="Q152" s="113"/>
      <c r="R152" s="156">
        <f>R150+R151</f>
        <v>0</v>
      </c>
      <c r="S152" s="139"/>
      <c r="T152" s="2"/>
    </row>
    <row r="153" spans="1:21" ht="15.6" x14ac:dyDescent="0.3">
      <c r="A153" s="12"/>
      <c r="B153" s="163"/>
      <c r="C153" s="163"/>
      <c r="D153" s="163"/>
      <c r="E153" s="163"/>
      <c r="F153" s="163"/>
      <c r="G153" s="163"/>
      <c r="H153" s="163"/>
      <c r="I153" s="163"/>
      <c r="J153" s="163"/>
      <c r="K153" s="163"/>
      <c r="L153" s="163"/>
      <c r="M153" s="163"/>
      <c r="N153" s="163"/>
      <c r="O153" s="163"/>
      <c r="P153" s="163"/>
      <c r="Q153" s="163"/>
      <c r="R153" s="195"/>
      <c r="S153" s="217"/>
      <c r="T153" s="2"/>
    </row>
    <row r="154" spans="1:21" ht="15.6" x14ac:dyDescent="0.3">
      <c r="A154" s="12"/>
      <c r="B154" s="41" t="s">
        <v>211</v>
      </c>
      <c r="C154" s="163"/>
      <c r="D154" s="163"/>
      <c r="E154" s="163"/>
      <c r="F154" s="163"/>
      <c r="G154" s="163"/>
      <c r="H154" s="163"/>
      <c r="I154" s="163"/>
      <c r="J154" s="163"/>
      <c r="K154" s="163"/>
      <c r="L154" s="163"/>
      <c r="M154" s="163"/>
      <c r="N154" s="163"/>
      <c r="O154" s="163"/>
      <c r="P154" s="163"/>
      <c r="Q154" s="163"/>
      <c r="R154" s="195"/>
      <c r="S154" s="217"/>
      <c r="T154" s="2"/>
    </row>
    <row r="155" spans="1:21" ht="15.6" x14ac:dyDescent="0.3">
      <c r="A155" s="231"/>
      <c r="B155" s="232" t="s">
        <v>277</v>
      </c>
      <c r="C155" s="232"/>
      <c r="D155" s="232"/>
      <c r="E155" s="232"/>
      <c r="F155" s="232"/>
      <c r="G155" s="232"/>
      <c r="H155" s="232"/>
      <c r="I155" s="232"/>
      <c r="J155" s="232"/>
      <c r="K155" s="232"/>
      <c r="L155" s="232"/>
      <c r="M155" s="232"/>
      <c r="N155" s="232"/>
      <c r="O155" s="232"/>
      <c r="P155" s="232"/>
      <c r="Q155" s="232"/>
      <c r="R155" s="233">
        <f>+'Nov 16'!R158</f>
        <v>1166</v>
      </c>
      <c r="S155" s="234"/>
      <c r="T155" s="2"/>
    </row>
    <row r="156" spans="1:21" ht="15.6" x14ac:dyDescent="0.3">
      <c r="A156" s="231"/>
      <c r="B156" s="232" t="s">
        <v>213</v>
      </c>
      <c r="C156" s="232"/>
      <c r="D156" s="232"/>
      <c r="E156" s="232"/>
      <c r="F156" s="232"/>
      <c r="G156" s="232"/>
      <c r="H156" s="232"/>
      <c r="I156" s="232"/>
      <c r="J156" s="232"/>
      <c r="K156" s="232"/>
      <c r="L156" s="232"/>
      <c r="M156" s="232"/>
      <c r="N156" s="232"/>
      <c r="O156" s="232"/>
      <c r="P156" s="232"/>
      <c r="Q156" s="232"/>
      <c r="R156" s="233">
        <f>P86</f>
        <v>0</v>
      </c>
      <c r="S156" s="234"/>
      <c r="T156" s="2"/>
    </row>
    <row r="157" spans="1:21" ht="15.6" x14ac:dyDescent="0.3">
      <c r="A157" s="231"/>
      <c r="B157" s="232" t="s">
        <v>214</v>
      </c>
      <c r="C157" s="232"/>
      <c r="D157" s="232"/>
      <c r="E157" s="232"/>
      <c r="F157" s="232"/>
      <c r="G157" s="232"/>
      <c r="H157" s="232"/>
      <c r="I157" s="232"/>
      <c r="J157" s="232"/>
      <c r="K157" s="232"/>
      <c r="L157" s="232"/>
      <c r="M157" s="232"/>
      <c r="N157" s="232"/>
      <c r="O157" s="232"/>
      <c r="P157" s="232"/>
      <c r="Q157" s="232"/>
      <c r="R157" s="233">
        <v>-1166</v>
      </c>
      <c r="S157" s="234"/>
      <c r="T157" s="2"/>
    </row>
    <row r="158" spans="1:21" ht="15.6" x14ac:dyDescent="0.3">
      <c r="A158" s="231"/>
      <c r="B158" s="232" t="s">
        <v>215</v>
      </c>
      <c r="C158" s="232"/>
      <c r="D158" s="232"/>
      <c r="E158" s="232"/>
      <c r="F158" s="232"/>
      <c r="G158" s="232"/>
      <c r="H158" s="232"/>
      <c r="I158" s="232"/>
      <c r="J158" s="232"/>
      <c r="K158" s="232"/>
      <c r="L158" s="232"/>
      <c r="M158" s="232"/>
      <c r="N158" s="232"/>
      <c r="O158" s="232"/>
      <c r="P158" s="232"/>
      <c r="Q158" s="232"/>
      <c r="R158" s="233">
        <f>R155+R156+R157</f>
        <v>0</v>
      </c>
      <c r="S158" s="234"/>
      <c r="T158" s="2"/>
    </row>
    <row r="159" spans="1:21" ht="15.6" x14ac:dyDescent="0.3">
      <c r="A159" s="12"/>
      <c r="B159" s="43"/>
      <c r="C159" s="43"/>
      <c r="D159" s="43"/>
      <c r="E159" s="43"/>
      <c r="F159" s="43"/>
      <c r="G159" s="43"/>
      <c r="H159" s="43"/>
      <c r="I159" s="43"/>
      <c r="J159" s="43"/>
      <c r="K159" s="43"/>
      <c r="L159" s="43"/>
      <c r="M159" s="43"/>
      <c r="N159" s="43"/>
      <c r="O159" s="43"/>
      <c r="P159" s="43"/>
      <c r="Q159" s="43"/>
      <c r="R159" s="162"/>
      <c r="S159" s="217"/>
      <c r="T159" s="2"/>
    </row>
    <row r="160" spans="1:21" ht="15.6" x14ac:dyDescent="0.3">
      <c r="A160" s="12"/>
      <c r="B160" s="41" t="s">
        <v>39</v>
      </c>
      <c r="C160" s="14"/>
      <c r="D160" s="14"/>
      <c r="E160" s="14"/>
      <c r="F160" s="14"/>
      <c r="G160" s="14"/>
      <c r="H160" s="14"/>
      <c r="I160" s="14"/>
      <c r="J160" s="14"/>
      <c r="K160" s="14"/>
      <c r="L160" s="14"/>
      <c r="M160" s="14"/>
      <c r="N160" s="14"/>
      <c r="O160" s="14"/>
      <c r="P160" s="14"/>
      <c r="Q160" s="14"/>
      <c r="R160" s="42"/>
      <c r="S160" s="217"/>
      <c r="T160" s="2"/>
    </row>
    <row r="161" spans="1:252" ht="15.6" x14ac:dyDescent="0.3">
      <c r="A161" s="112"/>
      <c r="B161" s="113" t="s">
        <v>40</v>
      </c>
      <c r="C161" s="113"/>
      <c r="D161" s="113"/>
      <c r="E161" s="113"/>
      <c r="F161" s="113"/>
      <c r="G161" s="113"/>
      <c r="H161" s="113"/>
      <c r="I161" s="113"/>
      <c r="J161" s="113"/>
      <c r="K161" s="113"/>
      <c r="L161" s="113"/>
      <c r="M161" s="113"/>
      <c r="N161" s="113"/>
      <c r="O161" s="113"/>
      <c r="P161" s="113"/>
      <c r="Q161" s="113"/>
      <c r="R161" s="156">
        <v>0</v>
      </c>
      <c r="S161" s="116"/>
      <c r="T161" s="2"/>
    </row>
    <row r="162" spans="1:252" ht="15.6" x14ac:dyDescent="0.3">
      <c r="A162" s="112"/>
      <c r="B162" s="113" t="s">
        <v>41</v>
      </c>
      <c r="C162" s="113"/>
      <c r="D162" s="113"/>
      <c r="E162" s="113"/>
      <c r="F162" s="113"/>
      <c r="G162" s="113"/>
      <c r="H162" s="113"/>
      <c r="I162" s="113"/>
      <c r="J162" s="113"/>
      <c r="K162" s="113"/>
      <c r="L162" s="113"/>
      <c r="M162" s="113"/>
      <c r="N162" s="113"/>
      <c r="O162" s="113"/>
      <c r="P162" s="113"/>
      <c r="Q162" s="113"/>
      <c r="R162" s="156">
        <v>0</v>
      </c>
      <c r="S162" s="116"/>
      <c r="T162" s="2"/>
    </row>
    <row r="163" spans="1:252" ht="15.6" x14ac:dyDescent="0.3">
      <c r="A163" s="112"/>
      <c r="B163" s="113" t="s">
        <v>42</v>
      </c>
      <c r="C163" s="113"/>
      <c r="D163" s="113"/>
      <c r="E163" s="113"/>
      <c r="F163" s="113"/>
      <c r="G163" s="113"/>
      <c r="H163" s="113"/>
      <c r="I163" s="113"/>
      <c r="J163" s="113"/>
      <c r="K163" s="113"/>
      <c r="L163" s="113"/>
      <c r="M163" s="113"/>
      <c r="N163" s="113"/>
      <c r="O163" s="113"/>
      <c r="P163" s="113"/>
      <c r="Q163" s="113"/>
      <c r="R163" s="156">
        <f>R162+R161</f>
        <v>0</v>
      </c>
      <c r="S163" s="116"/>
      <c r="T163" s="2"/>
    </row>
    <row r="164" spans="1:252" ht="15.6" x14ac:dyDescent="0.3">
      <c r="A164" s="112"/>
      <c r="B164" s="113" t="s">
        <v>174</v>
      </c>
      <c r="C164" s="113"/>
      <c r="D164" s="113"/>
      <c r="E164" s="113"/>
      <c r="F164" s="113"/>
      <c r="G164" s="113"/>
      <c r="H164" s="113"/>
      <c r="I164" s="113"/>
      <c r="J164" s="113"/>
      <c r="K164" s="113"/>
      <c r="L164" s="113"/>
      <c r="M164" s="113"/>
      <c r="N164" s="113"/>
      <c r="O164" s="113"/>
      <c r="P164" s="113"/>
      <c r="Q164" s="113"/>
      <c r="R164" s="156">
        <f>R111</f>
        <v>0</v>
      </c>
      <c r="S164" s="116"/>
      <c r="T164" s="2"/>
    </row>
    <row r="165" spans="1:252" ht="15.6" x14ac:dyDescent="0.3">
      <c r="A165" s="112"/>
      <c r="B165" s="113" t="s">
        <v>43</v>
      </c>
      <c r="C165" s="113"/>
      <c r="D165" s="113"/>
      <c r="E165" s="113"/>
      <c r="F165" s="113"/>
      <c r="G165" s="113"/>
      <c r="H165" s="113"/>
      <c r="I165" s="113"/>
      <c r="J165" s="113"/>
      <c r="K165" s="113"/>
      <c r="L165" s="113"/>
      <c r="M165" s="113"/>
      <c r="N165" s="113"/>
      <c r="O165" s="113"/>
      <c r="P165" s="113"/>
      <c r="Q165" s="113"/>
      <c r="R165" s="156">
        <f>R163+R164</f>
        <v>0</v>
      </c>
      <c r="S165" s="116"/>
      <c r="T165" s="2"/>
    </row>
    <row r="166" spans="1:252" ht="15.6" x14ac:dyDescent="0.3">
      <c r="A166" s="112"/>
      <c r="B166" s="113" t="s">
        <v>150</v>
      </c>
      <c r="C166" s="113"/>
      <c r="D166" s="113"/>
      <c r="E166" s="113"/>
      <c r="F166" s="113"/>
      <c r="G166" s="113"/>
      <c r="H166" s="113"/>
      <c r="I166" s="113"/>
      <c r="J166" s="113"/>
      <c r="K166" s="113"/>
      <c r="L166" s="113"/>
      <c r="M166" s="113"/>
      <c r="N166" s="113"/>
      <c r="O166" s="113"/>
      <c r="P166" s="113"/>
      <c r="Q166" s="113"/>
      <c r="R166" s="156">
        <f>-R99</f>
        <v>0</v>
      </c>
      <c r="S166" s="116"/>
      <c r="T166" s="2"/>
    </row>
    <row r="167" spans="1:252" ht="16.2" thickBot="1" x14ac:dyDescent="0.35">
      <c r="A167" s="12"/>
      <c r="B167" s="43"/>
      <c r="C167" s="43"/>
      <c r="D167" s="43"/>
      <c r="E167" s="43"/>
      <c r="F167" s="43"/>
      <c r="G167" s="43"/>
      <c r="H167" s="43"/>
      <c r="I167" s="43"/>
      <c r="J167" s="43"/>
      <c r="K167" s="43"/>
      <c r="L167" s="43"/>
      <c r="M167" s="43"/>
      <c r="N167" s="43"/>
      <c r="O167" s="43"/>
      <c r="P167" s="43"/>
      <c r="Q167" s="43"/>
      <c r="R167" s="162"/>
      <c r="S167" s="217"/>
      <c r="T167" s="2"/>
    </row>
    <row r="168" spans="1:252" ht="15.6" x14ac:dyDescent="0.3">
      <c r="A168" s="10"/>
      <c r="B168" s="11"/>
      <c r="C168" s="11"/>
      <c r="D168" s="11"/>
      <c r="E168" s="11"/>
      <c r="F168" s="11"/>
      <c r="G168" s="11"/>
      <c r="H168" s="11"/>
      <c r="I168" s="11"/>
      <c r="J168" s="11"/>
      <c r="K168" s="11"/>
      <c r="L168" s="11"/>
      <c r="M168" s="11"/>
      <c r="N168" s="11"/>
      <c r="O168" s="11"/>
      <c r="P168" s="11"/>
      <c r="Q168" s="11"/>
      <c r="R168" s="32"/>
      <c r="S168" s="216"/>
      <c r="T168" s="2"/>
    </row>
    <row r="169" spans="1:252" s="6" customFormat="1" ht="15.6" x14ac:dyDescent="0.3">
      <c r="A169" s="12"/>
      <c r="B169" s="41" t="s">
        <v>204</v>
      </c>
      <c r="C169" s="43"/>
      <c r="D169" s="43"/>
      <c r="E169" s="43"/>
      <c r="F169" s="43"/>
      <c r="G169" s="43"/>
      <c r="H169" s="43"/>
      <c r="I169" s="43"/>
      <c r="J169" s="43"/>
      <c r="K169" s="43"/>
      <c r="L169" s="43"/>
      <c r="M169" s="43"/>
      <c r="N169" s="43"/>
      <c r="O169" s="43"/>
      <c r="P169" s="43"/>
      <c r="Q169" s="43"/>
      <c r="R169" s="44"/>
      <c r="S169" s="217"/>
      <c r="T169" s="2"/>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row>
    <row r="170" spans="1:252" s="7" customFormat="1" ht="15.6" x14ac:dyDescent="0.3">
      <c r="A170" s="112"/>
      <c r="B170" s="113" t="s">
        <v>141</v>
      </c>
      <c r="C170" s="113"/>
      <c r="D170" s="113"/>
      <c r="E170" s="113"/>
      <c r="F170" s="113"/>
      <c r="G170" s="113"/>
      <c r="H170" s="113"/>
      <c r="I170" s="113"/>
      <c r="J170" s="113"/>
      <c r="K170" s="113"/>
      <c r="L170" s="113"/>
      <c r="M170" s="113"/>
      <c r="N170" s="113"/>
      <c r="O170" s="113"/>
      <c r="P170" s="113"/>
      <c r="Q170" s="113"/>
      <c r="R170" s="156">
        <f>+'Nov 16'!R173</f>
        <v>447</v>
      </c>
      <c r="S170" s="116"/>
      <c r="T170" s="2"/>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row>
    <row r="171" spans="1:252" s="7" customFormat="1" ht="15.6" x14ac:dyDescent="0.3">
      <c r="A171" s="112"/>
      <c r="B171" s="113" t="s">
        <v>288</v>
      </c>
      <c r="C171" s="113"/>
      <c r="D171" s="113"/>
      <c r="E171" s="113"/>
      <c r="F171" s="113"/>
      <c r="G171" s="113"/>
      <c r="H171" s="113"/>
      <c r="I171" s="113"/>
      <c r="J171" s="113"/>
      <c r="K171" s="113"/>
      <c r="L171" s="113"/>
      <c r="M171" s="113"/>
      <c r="N171" s="113"/>
      <c r="O171" s="113"/>
      <c r="P171" s="113"/>
      <c r="Q171" s="113"/>
      <c r="R171" s="156">
        <v>1243</v>
      </c>
      <c r="S171" s="116"/>
      <c r="T171" s="2"/>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1:252" s="7" customFormat="1" ht="15.6" x14ac:dyDescent="0.3">
      <c r="A172" s="112"/>
      <c r="B172" s="113" t="s">
        <v>144</v>
      </c>
      <c r="C172" s="113"/>
      <c r="D172" s="113"/>
      <c r="E172" s="113"/>
      <c r="F172" s="113"/>
      <c r="G172" s="113"/>
      <c r="H172" s="113"/>
      <c r="I172" s="113"/>
      <c r="J172" s="113"/>
      <c r="K172" s="113"/>
      <c r="L172" s="113"/>
      <c r="M172" s="113"/>
      <c r="N172" s="113"/>
      <c r="O172" s="113"/>
      <c r="P172" s="113"/>
      <c r="Q172" s="113"/>
      <c r="R172" s="156">
        <f>+R92</f>
        <v>52</v>
      </c>
      <c r="S172" s="116"/>
      <c r="T172" s="2"/>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1:252" s="7" customFormat="1" ht="15.6" x14ac:dyDescent="0.3">
      <c r="A173" s="112"/>
      <c r="B173" s="113" t="s">
        <v>142</v>
      </c>
      <c r="C173" s="113"/>
      <c r="D173" s="113"/>
      <c r="E173" s="113"/>
      <c r="F173" s="113"/>
      <c r="G173" s="113"/>
      <c r="H173" s="113"/>
      <c r="I173" s="113"/>
      <c r="J173" s="113"/>
      <c r="K173" s="113"/>
      <c r="L173" s="113"/>
      <c r="M173" s="113"/>
      <c r="N173" s="113"/>
      <c r="O173" s="113"/>
      <c r="P173" s="113"/>
      <c r="Q173" s="113"/>
      <c r="R173" s="156">
        <f>R170+R171-R172</f>
        <v>1638</v>
      </c>
      <c r="S173" s="116"/>
      <c r="T173" s="2"/>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1:252" s="8" customFormat="1" ht="16.2" thickBot="1" x14ac:dyDescent="0.35">
      <c r="A174" s="28"/>
      <c r="B174" s="43"/>
      <c r="C174" s="43"/>
      <c r="D174" s="43"/>
      <c r="E174" s="43"/>
      <c r="F174" s="43"/>
      <c r="G174" s="43"/>
      <c r="H174" s="43"/>
      <c r="I174" s="43"/>
      <c r="J174" s="43"/>
      <c r="K174" s="43"/>
      <c r="L174" s="43"/>
      <c r="M174" s="43"/>
      <c r="N174" s="43"/>
      <c r="O174" s="43"/>
      <c r="P174" s="43"/>
      <c r="Q174" s="43"/>
      <c r="R174" s="162"/>
      <c r="S174" s="217"/>
      <c r="T174" s="2"/>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1:252" s="9" customFormat="1" ht="15.6" x14ac:dyDescent="0.3">
      <c r="A175" s="10"/>
      <c r="B175" s="11"/>
      <c r="C175" s="11"/>
      <c r="D175" s="11"/>
      <c r="E175" s="11"/>
      <c r="F175" s="11"/>
      <c r="G175" s="11"/>
      <c r="H175" s="11"/>
      <c r="I175" s="11"/>
      <c r="J175" s="11"/>
      <c r="K175" s="11"/>
      <c r="L175" s="11"/>
      <c r="M175" s="11"/>
      <c r="N175" s="11"/>
      <c r="O175" s="11"/>
      <c r="P175" s="11"/>
      <c r="Q175" s="11"/>
      <c r="R175" s="32"/>
      <c r="S175" s="216"/>
      <c r="T175" s="2"/>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row>
    <row r="176" spans="1:252" ht="15.6" x14ac:dyDescent="0.3">
      <c r="A176" s="12"/>
      <c r="B176" s="41" t="s">
        <v>44</v>
      </c>
      <c r="C176" s="14"/>
      <c r="D176" s="14"/>
      <c r="E176" s="14"/>
      <c r="F176" s="14"/>
      <c r="G176" s="14"/>
      <c r="H176" s="14"/>
      <c r="I176" s="14"/>
      <c r="J176" s="14"/>
      <c r="K176" s="14"/>
      <c r="L176" s="14"/>
      <c r="M176" s="14"/>
      <c r="N176" s="14"/>
      <c r="O176" s="14"/>
      <c r="P176" s="14"/>
      <c r="Q176" s="14"/>
      <c r="R176" s="33"/>
      <c r="S176" s="217"/>
      <c r="T176" s="2"/>
    </row>
    <row r="177" spans="1:20" ht="15.6" x14ac:dyDescent="0.3">
      <c r="A177" s="12"/>
      <c r="B177" s="22"/>
      <c r="C177" s="14"/>
      <c r="D177" s="14"/>
      <c r="E177" s="14"/>
      <c r="F177" s="14"/>
      <c r="G177" s="14"/>
      <c r="H177" s="14"/>
      <c r="I177" s="14"/>
      <c r="J177" s="14"/>
      <c r="K177" s="14"/>
      <c r="L177" s="14"/>
      <c r="M177" s="14"/>
      <c r="N177" s="14"/>
      <c r="O177" s="14"/>
      <c r="P177" s="14"/>
      <c r="Q177" s="14"/>
      <c r="R177" s="33"/>
      <c r="S177" s="217"/>
      <c r="T177" s="2"/>
    </row>
    <row r="178" spans="1:20" ht="15.6" x14ac:dyDescent="0.3">
      <c r="A178" s="112"/>
      <c r="B178" s="113" t="s">
        <v>172</v>
      </c>
      <c r="C178" s="113"/>
      <c r="D178" s="113"/>
      <c r="E178" s="113"/>
      <c r="F178" s="113"/>
      <c r="G178" s="113"/>
      <c r="H178" s="113"/>
      <c r="I178" s="113"/>
      <c r="J178" s="113"/>
      <c r="K178" s="113"/>
      <c r="L178" s="113"/>
      <c r="M178" s="113"/>
      <c r="N178" s="113"/>
      <c r="O178" s="113"/>
      <c r="P178" s="113"/>
      <c r="Q178" s="113"/>
      <c r="R178" s="156">
        <f>+R67</f>
        <v>235170</v>
      </c>
      <c r="S178" s="116"/>
      <c r="T178" s="2"/>
    </row>
    <row r="179" spans="1:20" ht="15.6" x14ac:dyDescent="0.3">
      <c r="A179" s="112"/>
      <c r="B179" s="113" t="s">
        <v>173</v>
      </c>
      <c r="C179" s="113"/>
      <c r="D179" s="113"/>
      <c r="E179" s="113"/>
      <c r="F179" s="113"/>
      <c r="G179" s="113"/>
      <c r="H179" s="113"/>
      <c r="I179" s="113"/>
      <c r="J179" s="113"/>
      <c r="K179" s="113"/>
      <c r="L179" s="113"/>
      <c r="M179" s="113"/>
      <c r="N179" s="113"/>
      <c r="O179" s="113"/>
      <c r="P179" s="113"/>
      <c r="Q179" s="113"/>
      <c r="R179" s="156">
        <f>+R77</f>
        <v>0</v>
      </c>
      <c r="S179" s="116"/>
      <c r="T179" s="2"/>
    </row>
    <row r="180" spans="1:20" ht="15.6" x14ac:dyDescent="0.3">
      <c r="A180" s="112"/>
      <c r="B180" s="113" t="s">
        <v>216</v>
      </c>
      <c r="C180" s="113"/>
      <c r="D180" s="113"/>
      <c r="E180" s="113"/>
      <c r="F180" s="113"/>
      <c r="G180" s="113"/>
      <c r="H180" s="113"/>
      <c r="I180" s="113"/>
      <c r="J180" s="113"/>
      <c r="K180" s="113"/>
      <c r="L180" s="113"/>
      <c r="M180" s="113"/>
      <c r="N180" s="113"/>
      <c r="O180" s="113"/>
      <c r="P180" s="113"/>
      <c r="Q180" s="113"/>
      <c r="R180" s="156">
        <f>+R78</f>
        <v>0</v>
      </c>
      <c r="S180" s="116"/>
      <c r="T180" s="2"/>
    </row>
    <row r="181" spans="1:20" ht="15.6" x14ac:dyDescent="0.3">
      <c r="A181" s="112"/>
      <c r="B181" s="113" t="s">
        <v>126</v>
      </c>
      <c r="C181" s="113"/>
      <c r="D181" s="113"/>
      <c r="E181" s="113"/>
      <c r="F181" s="113"/>
      <c r="G181" s="113"/>
      <c r="H181" s="113"/>
      <c r="I181" s="113"/>
      <c r="J181" s="113"/>
      <c r="K181" s="113"/>
      <c r="L181" s="113"/>
      <c r="M181" s="113"/>
      <c r="N181" s="113"/>
      <c r="O181" s="113"/>
      <c r="P181" s="113"/>
      <c r="Q181" s="113"/>
      <c r="R181" s="156">
        <f>+R178+R179+R180</f>
        <v>235170</v>
      </c>
      <c r="S181" s="116"/>
      <c r="T181" s="2"/>
    </row>
    <row r="182" spans="1:20" ht="15.6" x14ac:dyDescent="0.3">
      <c r="A182" s="112"/>
      <c r="B182" s="113" t="s">
        <v>45</v>
      </c>
      <c r="C182" s="113"/>
      <c r="D182" s="113"/>
      <c r="E182" s="113"/>
      <c r="F182" s="113"/>
      <c r="G182" s="113"/>
      <c r="H182" s="113"/>
      <c r="I182" s="113"/>
      <c r="J182" s="113"/>
      <c r="K182" s="113"/>
      <c r="L182" s="113"/>
      <c r="M182" s="113"/>
      <c r="N182" s="113"/>
      <c r="O182" s="113"/>
      <c r="P182" s="113"/>
      <c r="Q182" s="113"/>
      <c r="R182" s="156">
        <f>R80</f>
        <v>235170</v>
      </c>
      <c r="S182" s="116"/>
      <c r="T182" s="2"/>
    </row>
    <row r="183" spans="1:20" ht="16.2" thickBot="1" x14ac:dyDescent="0.35">
      <c r="A183" s="12"/>
      <c r="B183" s="43"/>
      <c r="C183" s="43"/>
      <c r="D183" s="43"/>
      <c r="E183" s="43"/>
      <c r="F183" s="43"/>
      <c r="G183" s="43"/>
      <c r="H183" s="43"/>
      <c r="I183" s="43"/>
      <c r="J183" s="43"/>
      <c r="K183" s="43"/>
      <c r="L183" s="43"/>
      <c r="M183" s="43"/>
      <c r="N183" s="43"/>
      <c r="O183" s="43"/>
      <c r="P183" s="43"/>
      <c r="Q183" s="43"/>
      <c r="R183" s="162"/>
      <c r="S183" s="217"/>
      <c r="T183" s="2"/>
    </row>
    <row r="184" spans="1:20" ht="15.6" x14ac:dyDescent="0.3">
      <c r="A184" s="10"/>
      <c r="B184" s="11"/>
      <c r="C184" s="11"/>
      <c r="D184" s="11"/>
      <c r="E184" s="11"/>
      <c r="F184" s="11"/>
      <c r="G184" s="11"/>
      <c r="H184" s="11"/>
      <c r="I184" s="11"/>
      <c r="J184" s="11"/>
      <c r="K184" s="11"/>
      <c r="L184" s="11"/>
      <c r="M184" s="11"/>
      <c r="N184" s="11"/>
      <c r="O184" s="11"/>
      <c r="P184" s="11"/>
      <c r="Q184" s="11"/>
      <c r="R184" s="32"/>
      <c r="S184" s="216"/>
      <c r="T184" s="2"/>
    </row>
    <row r="185" spans="1:20" ht="15.6" x14ac:dyDescent="0.3">
      <c r="A185" s="12"/>
      <c r="B185" s="41" t="s">
        <v>46</v>
      </c>
      <c r="C185" s="37"/>
      <c r="D185" s="45"/>
      <c r="E185" s="45"/>
      <c r="F185" s="45"/>
      <c r="G185" s="45"/>
      <c r="H185" s="45"/>
      <c r="I185" s="45"/>
      <c r="J185" s="45"/>
      <c r="K185" s="45"/>
      <c r="L185" s="45"/>
      <c r="M185" s="45"/>
      <c r="N185" s="45"/>
      <c r="O185" s="45" t="s">
        <v>82</v>
      </c>
      <c r="P185" s="45" t="s">
        <v>170</v>
      </c>
      <c r="Q185" s="16"/>
      <c r="R185" s="46" t="s">
        <v>94</v>
      </c>
      <c r="S185" s="224"/>
      <c r="T185" s="2"/>
    </row>
    <row r="186" spans="1:20" ht="15.6" x14ac:dyDescent="0.3">
      <c r="A186" s="112"/>
      <c r="B186" s="113" t="s">
        <v>47</v>
      </c>
      <c r="C186" s="113"/>
      <c r="D186" s="113"/>
      <c r="E186" s="113"/>
      <c r="F186" s="113"/>
      <c r="G186" s="113"/>
      <c r="H186" s="113"/>
      <c r="I186" s="113"/>
      <c r="J186" s="113"/>
      <c r="K186" s="113"/>
      <c r="L186" s="113"/>
      <c r="M186" s="113"/>
      <c r="N186" s="113"/>
      <c r="O186" s="156">
        <f>+R31*0.08</f>
        <v>24000.720000000001</v>
      </c>
      <c r="P186" s="145"/>
      <c r="Q186" s="113"/>
      <c r="R186" s="156"/>
      <c r="S186" s="116"/>
      <c r="T186" s="2"/>
    </row>
    <row r="187" spans="1:20" ht="15.6" x14ac:dyDescent="0.3">
      <c r="A187" s="112"/>
      <c r="B187" s="113" t="s">
        <v>48</v>
      </c>
      <c r="C187" s="113"/>
      <c r="D187" s="113"/>
      <c r="E187" s="113"/>
      <c r="F187" s="113"/>
      <c r="G187" s="113"/>
      <c r="H187" s="113"/>
      <c r="I187" s="113"/>
      <c r="J187" s="113"/>
      <c r="K187" s="113"/>
      <c r="L187" s="113"/>
      <c r="M187" s="113"/>
      <c r="N187" s="113"/>
      <c r="O187" s="156">
        <f>+'Nov 16'!O189</f>
        <v>499</v>
      </c>
      <c r="P187" s="156">
        <f>+'Nov 16'!P189</f>
        <v>688</v>
      </c>
      <c r="Q187" s="113"/>
      <c r="R187" s="156">
        <f>O187+P187</f>
        <v>1187</v>
      </c>
      <c r="S187" s="116"/>
      <c r="T187" s="2"/>
    </row>
    <row r="188" spans="1:20" ht="15.6" x14ac:dyDescent="0.3">
      <c r="A188" s="112"/>
      <c r="B188" s="113" t="s">
        <v>49</v>
      </c>
      <c r="C188" s="113"/>
      <c r="D188" s="113"/>
      <c r="E188" s="113"/>
      <c r="F188" s="113"/>
      <c r="G188" s="113"/>
      <c r="H188" s="113"/>
      <c r="I188" s="113"/>
      <c r="J188" s="113"/>
      <c r="K188" s="113"/>
      <c r="L188" s="113"/>
      <c r="M188" s="113"/>
      <c r="N188" s="113"/>
      <c r="O188" s="155">
        <v>0</v>
      </c>
      <c r="P188" s="155">
        <v>0</v>
      </c>
      <c r="Q188" s="113"/>
      <c r="R188" s="156">
        <f>O188+P188</f>
        <v>0</v>
      </c>
      <c r="S188" s="116"/>
      <c r="T188" s="2"/>
    </row>
    <row r="189" spans="1:20" ht="15.6" x14ac:dyDescent="0.3">
      <c r="A189" s="112"/>
      <c r="B189" s="113" t="s">
        <v>50</v>
      </c>
      <c r="C189" s="113"/>
      <c r="D189" s="113"/>
      <c r="E189" s="113"/>
      <c r="F189" s="113"/>
      <c r="G189" s="113"/>
      <c r="H189" s="113"/>
      <c r="I189" s="113"/>
      <c r="J189" s="113"/>
      <c r="K189" s="113"/>
      <c r="L189" s="113"/>
      <c r="M189" s="113"/>
      <c r="N189" s="113"/>
      <c r="O189" s="156">
        <f>O187+O188</f>
        <v>499</v>
      </c>
      <c r="P189" s="156">
        <f>P188+P187</f>
        <v>688</v>
      </c>
      <c r="Q189" s="113"/>
      <c r="R189" s="156">
        <f>O189+P189</f>
        <v>1187</v>
      </c>
      <c r="S189" s="116"/>
      <c r="T189" s="2"/>
    </row>
    <row r="190" spans="1:20" ht="15.6" x14ac:dyDescent="0.3">
      <c r="A190" s="112"/>
      <c r="B190" s="113" t="s">
        <v>51</v>
      </c>
      <c r="C190" s="113"/>
      <c r="D190" s="113"/>
      <c r="E190" s="113"/>
      <c r="F190" s="113"/>
      <c r="G190" s="113"/>
      <c r="H190" s="113"/>
      <c r="I190" s="113"/>
      <c r="J190" s="113"/>
      <c r="K190" s="113"/>
      <c r="L190" s="113"/>
      <c r="M190" s="113"/>
      <c r="N190" s="113"/>
      <c r="O190" s="156">
        <f>O186-O189-P189</f>
        <v>22813.72</v>
      </c>
      <c r="P190" s="145"/>
      <c r="Q190" s="113"/>
      <c r="R190" s="156"/>
      <c r="S190" s="116"/>
      <c r="T190" s="2"/>
    </row>
    <row r="191" spans="1:20" ht="16.2" thickBot="1" x14ac:dyDescent="0.35">
      <c r="A191" s="12"/>
      <c r="B191" s="43"/>
      <c r="C191" s="43"/>
      <c r="D191" s="43"/>
      <c r="E191" s="43"/>
      <c r="F191" s="43"/>
      <c r="G191" s="43"/>
      <c r="H191" s="43"/>
      <c r="I191" s="43"/>
      <c r="J191" s="43"/>
      <c r="K191" s="43"/>
      <c r="L191" s="43"/>
      <c r="M191" s="43"/>
      <c r="N191" s="43"/>
      <c r="O191" s="43"/>
      <c r="P191" s="43"/>
      <c r="Q191" s="43"/>
      <c r="R191" s="162"/>
      <c r="S191" s="217"/>
      <c r="T191" s="2"/>
    </row>
    <row r="192" spans="1:20" ht="15.6" x14ac:dyDescent="0.3">
      <c r="A192" s="10"/>
      <c r="B192" s="11"/>
      <c r="C192" s="11"/>
      <c r="D192" s="11"/>
      <c r="E192" s="11"/>
      <c r="F192" s="11"/>
      <c r="G192" s="11"/>
      <c r="H192" s="11"/>
      <c r="I192" s="11"/>
      <c r="J192" s="11"/>
      <c r="K192" s="11"/>
      <c r="L192" s="11"/>
      <c r="M192" s="11"/>
      <c r="N192" s="11"/>
      <c r="O192" s="11"/>
      <c r="P192" s="11"/>
      <c r="Q192" s="11"/>
      <c r="R192" s="32"/>
      <c r="S192" s="216"/>
      <c r="T192" s="2"/>
    </row>
    <row r="193" spans="1:20" ht="15.6" x14ac:dyDescent="0.3">
      <c r="A193" s="12"/>
      <c r="B193" s="41" t="s">
        <v>52</v>
      </c>
      <c r="C193" s="14"/>
      <c r="D193" s="14"/>
      <c r="E193" s="14"/>
      <c r="F193" s="14"/>
      <c r="G193" s="14"/>
      <c r="H193" s="14"/>
      <c r="I193" s="14"/>
      <c r="J193" s="14"/>
      <c r="K193" s="14"/>
      <c r="L193" s="14"/>
      <c r="M193" s="14"/>
      <c r="N193" s="14"/>
      <c r="O193" s="14"/>
      <c r="P193" s="14"/>
      <c r="Q193" s="14"/>
      <c r="R193" s="47"/>
      <c r="S193" s="217"/>
      <c r="T193" s="2"/>
    </row>
    <row r="194" spans="1:20" ht="15.6" x14ac:dyDescent="0.3">
      <c r="A194" s="112"/>
      <c r="B194" s="113" t="s">
        <v>53</v>
      </c>
      <c r="C194" s="113"/>
      <c r="D194" s="113"/>
      <c r="E194" s="113"/>
      <c r="F194" s="113"/>
      <c r="G194" s="113"/>
      <c r="H194" s="113"/>
      <c r="I194" s="113"/>
      <c r="J194" s="113"/>
      <c r="K194" s="113"/>
      <c r="L194" s="113"/>
      <c r="M194" s="113"/>
      <c r="N194" s="113"/>
      <c r="O194" s="113"/>
      <c r="P194" s="113"/>
      <c r="Q194" s="113"/>
      <c r="R194" s="161">
        <f>(R100+R102+R103+R104+R105)/-(R106+R107)</f>
        <v>3.6050870147255689</v>
      </c>
      <c r="S194" s="116" t="s">
        <v>95</v>
      </c>
      <c r="T194" s="2"/>
    </row>
    <row r="195" spans="1:20" ht="15.6" x14ac:dyDescent="0.3">
      <c r="A195" s="112"/>
      <c r="B195" s="113" t="s">
        <v>54</v>
      </c>
      <c r="C195" s="113"/>
      <c r="D195" s="113"/>
      <c r="E195" s="113"/>
      <c r="F195" s="113"/>
      <c r="G195" s="113"/>
      <c r="H195" s="113"/>
      <c r="I195" s="113"/>
      <c r="J195" s="113"/>
      <c r="K195" s="113"/>
      <c r="L195" s="113"/>
      <c r="M195" s="113"/>
      <c r="N195" s="113"/>
      <c r="O195" s="113"/>
      <c r="P195" s="113"/>
      <c r="Q195" s="113"/>
      <c r="R195" s="241">
        <v>3.28</v>
      </c>
      <c r="S195" s="116" t="s">
        <v>95</v>
      </c>
      <c r="T195" s="2"/>
    </row>
    <row r="196" spans="1:20" ht="15.6" x14ac:dyDescent="0.3">
      <c r="A196" s="112"/>
      <c r="B196" s="113" t="s">
        <v>183</v>
      </c>
      <c r="C196" s="113"/>
      <c r="D196" s="113"/>
      <c r="E196" s="113"/>
      <c r="F196" s="113"/>
      <c r="G196" s="113"/>
      <c r="H196" s="113"/>
      <c r="I196" s="113"/>
      <c r="J196" s="113"/>
      <c r="K196" s="113"/>
      <c r="L196" s="113"/>
      <c r="M196" s="113"/>
      <c r="N196" s="113"/>
      <c r="O196" s="113"/>
      <c r="P196" s="113"/>
      <c r="Q196" s="113"/>
      <c r="R196" s="242">
        <f>(R100+R102+R103+R104+R105+R106+R107)/-(R108)</f>
        <v>38.156862745098039</v>
      </c>
      <c r="S196" s="116" t="s">
        <v>95</v>
      </c>
      <c r="T196" s="2"/>
    </row>
    <row r="197" spans="1:20" ht="15.6" x14ac:dyDescent="0.3">
      <c r="A197" s="112"/>
      <c r="B197" s="113" t="s">
        <v>184</v>
      </c>
      <c r="C197" s="113"/>
      <c r="D197" s="113"/>
      <c r="E197" s="113"/>
      <c r="F197" s="113"/>
      <c r="G197" s="113"/>
      <c r="H197" s="113"/>
      <c r="I197" s="113"/>
      <c r="J197" s="113"/>
      <c r="K197" s="113"/>
      <c r="L197" s="113"/>
      <c r="M197" s="113"/>
      <c r="N197" s="113"/>
      <c r="O197" s="113"/>
      <c r="P197" s="113"/>
      <c r="Q197" s="113"/>
      <c r="R197" s="241">
        <v>37.130000000000003</v>
      </c>
      <c r="S197" s="116" t="s">
        <v>95</v>
      </c>
      <c r="T197" s="2"/>
    </row>
    <row r="198" spans="1:20" ht="15.6" x14ac:dyDescent="0.3">
      <c r="A198" s="112"/>
      <c r="B198" s="113" t="s">
        <v>185</v>
      </c>
      <c r="C198" s="113"/>
      <c r="D198" s="113"/>
      <c r="E198" s="113"/>
      <c r="F198" s="113"/>
      <c r="G198" s="113"/>
      <c r="H198" s="113"/>
      <c r="I198" s="113"/>
      <c r="J198" s="113"/>
      <c r="K198" s="113"/>
      <c r="L198" s="113"/>
      <c r="M198" s="113"/>
      <c r="N198" s="113"/>
      <c r="O198" s="113"/>
      <c r="P198" s="113"/>
      <c r="Q198" s="113"/>
      <c r="R198" s="242">
        <f>(R100+R102+R103+R104+R105+R106+R107+R108)/-(R109)</f>
        <v>31.583333333333332</v>
      </c>
      <c r="S198" s="116" t="s">
        <v>95</v>
      </c>
      <c r="T198" s="2"/>
    </row>
    <row r="199" spans="1:20" ht="15.6" x14ac:dyDescent="0.3">
      <c r="A199" s="112"/>
      <c r="B199" s="113" t="s">
        <v>186</v>
      </c>
      <c r="C199" s="113"/>
      <c r="D199" s="113"/>
      <c r="E199" s="113"/>
      <c r="F199" s="113"/>
      <c r="G199" s="113"/>
      <c r="H199" s="113"/>
      <c r="I199" s="113"/>
      <c r="J199" s="113"/>
      <c r="K199" s="113"/>
      <c r="L199" s="113"/>
      <c r="M199" s="113"/>
      <c r="N199" s="113"/>
      <c r="O199" s="113"/>
      <c r="P199" s="113"/>
      <c r="Q199" s="113"/>
      <c r="R199" s="241">
        <v>31.16</v>
      </c>
      <c r="S199" s="116" t="s">
        <v>95</v>
      </c>
      <c r="T199" s="2"/>
    </row>
    <row r="200" spans="1:20" ht="15.6" x14ac:dyDescent="0.3">
      <c r="A200" s="112"/>
      <c r="B200" s="113" t="s">
        <v>257</v>
      </c>
      <c r="C200" s="113"/>
      <c r="D200" s="113"/>
      <c r="E200" s="113"/>
      <c r="F200" s="113"/>
      <c r="G200" s="113"/>
      <c r="H200" s="113"/>
      <c r="I200" s="113"/>
      <c r="J200" s="113"/>
      <c r="K200" s="113"/>
      <c r="L200" s="113"/>
      <c r="M200" s="113"/>
      <c r="N200" s="113"/>
      <c r="O200" s="113"/>
      <c r="P200" s="113"/>
      <c r="Q200" s="113"/>
      <c r="R200" s="242">
        <f>(R100+R102+R103+R104+R105+R106+R107+R108+R109+R110+R111+R112+R113+R114)/-(R115)</f>
        <v>41.25</v>
      </c>
      <c r="S200" s="116" t="s">
        <v>95</v>
      </c>
      <c r="T200" s="2"/>
    </row>
    <row r="201" spans="1:20" ht="15.6" x14ac:dyDescent="0.3">
      <c r="A201" s="112"/>
      <c r="B201" s="113" t="s">
        <v>258</v>
      </c>
      <c r="C201" s="113"/>
      <c r="D201" s="113"/>
      <c r="E201" s="113"/>
      <c r="F201" s="113"/>
      <c r="G201" s="113"/>
      <c r="H201" s="113"/>
      <c r="I201" s="113"/>
      <c r="J201" s="113"/>
      <c r="K201" s="113"/>
      <c r="L201" s="113"/>
      <c r="M201" s="113"/>
      <c r="N201" s="113"/>
      <c r="O201" s="113"/>
      <c r="P201" s="113"/>
      <c r="Q201" s="113"/>
      <c r="R201" s="241">
        <v>41.05</v>
      </c>
      <c r="S201" s="116" t="s">
        <v>95</v>
      </c>
      <c r="T201" s="2"/>
    </row>
    <row r="202" spans="1:20" ht="15.6" x14ac:dyDescent="0.3">
      <c r="A202" s="112"/>
      <c r="B202" s="113"/>
      <c r="C202" s="113"/>
      <c r="D202" s="113"/>
      <c r="E202" s="113"/>
      <c r="F202" s="113"/>
      <c r="G202" s="113"/>
      <c r="H202" s="113"/>
      <c r="I202" s="113"/>
      <c r="J202" s="113"/>
      <c r="K202" s="113"/>
      <c r="L202" s="113"/>
      <c r="M202" s="113"/>
      <c r="N202" s="113"/>
      <c r="O202" s="113"/>
      <c r="P202" s="113"/>
      <c r="Q202" s="113"/>
      <c r="R202" s="113"/>
      <c r="S202" s="116"/>
      <c r="T202" s="2"/>
    </row>
    <row r="203" spans="1:20" ht="15.6" x14ac:dyDescent="0.3">
      <c r="A203" s="12"/>
      <c r="B203" s="163"/>
      <c r="C203" s="163"/>
      <c r="D203" s="163"/>
      <c r="E203" s="163"/>
      <c r="F203" s="163"/>
      <c r="G203" s="163"/>
      <c r="H203" s="163"/>
      <c r="I203" s="163"/>
      <c r="J203" s="163"/>
      <c r="K203" s="163"/>
      <c r="L203" s="163"/>
      <c r="M203" s="163"/>
      <c r="N203" s="163"/>
      <c r="O203" s="163"/>
      <c r="P203" s="163"/>
      <c r="Q203" s="163"/>
      <c r="R203" s="163"/>
      <c r="S203" s="218"/>
      <c r="T203" s="2"/>
    </row>
    <row r="204" spans="1:20" ht="15.6" x14ac:dyDescent="0.3">
      <c r="A204" s="12"/>
      <c r="B204" s="84"/>
      <c r="C204" s="84"/>
      <c r="D204" s="84"/>
      <c r="E204" s="84"/>
      <c r="F204" s="84"/>
      <c r="G204" s="84"/>
      <c r="H204" s="84"/>
      <c r="I204" s="84"/>
      <c r="J204" s="84"/>
      <c r="K204" s="84"/>
      <c r="L204" s="84"/>
      <c r="M204" s="84"/>
      <c r="N204" s="84"/>
      <c r="O204" s="84"/>
      <c r="P204" s="84"/>
      <c r="Q204" s="84"/>
      <c r="R204" s="84"/>
      <c r="S204" s="218"/>
      <c r="T204" s="2"/>
    </row>
    <row r="205" spans="1:20" ht="18" thickBot="1" x14ac:dyDescent="0.35">
      <c r="A205" s="28"/>
      <c r="B205" s="97" t="str">
        <f>B132</f>
        <v>PM22 INVESTOR REPORT QUARTER ENDING FEBRUARY 2017</v>
      </c>
      <c r="C205" s="98"/>
      <c r="D205" s="98"/>
      <c r="E205" s="98"/>
      <c r="F205" s="98"/>
      <c r="G205" s="98"/>
      <c r="H205" s="98"/>
      <c r="I205" s="98"/>
      <c r="J205" s="98"/>
      <c r="K205" s="98"/>
      <c r="L205" s="98"/>
      <c r="M205" s="98"/>
      <c r="N205" s="98"/>
      <c r="O205" s="98"/>
      <c r="P205" s="98"/>
      <c r="Q205" s="98"/>
      <c r="R205" s="98"/>
      <c r="S205" s="99"/>
      <c r="T205" s="2"/>
    </row>
    <row r="206" spans="1:20" ht="15.6" x14ac:dyDescent="0.3">
      <c r="A206" s="65"/>
      <c r="B206" s="66" t="s">
        <v>55</v>
      </c>
      <c r="C206" s="69"/>
      <c r="D206" s="70"/>
      <c r="E206" s="70"/>
      <c r="F206" s="70"/>
      <c r="G206" s="70"/>
      <c r="H206" s="70"/>
      <c r="I206" s="70"/>
      <c r="J206" s="70"/>
      <c r="K206" s="70"/>
      <c r="L206" s="70"/>
      <c r="M206" s="70"/>
      <c r="N206" s="70"/>
      <c r="O206" s="70"/>
      <c r="P206" s="70">
        <v>42794</v>
      </c>
      <c r="Q206" s="67"/>
      <c r="R206" s="67"/>
      <c r="S206" s="223"/>
      <c r="T206" s="2"/>
    </row>
    <row r="207" spans="1:20" ht="15.6" x14ac:dyDescent="0.3">
      <c r="A207" s="48"/>
      <c r="B207" s="49"/>
      <c r="C207" s="50"/>
      <c r="D207" s="51"/>
      <c r="E207" s="51"/>
      <c r="F207" s="51"/>
      <c r="G207" s="51"/>
      <c r="H207" s="51"/>
      <c r="I207" s="51"/>
      <c r="J207" s="51"/>
      <c r="K207" s="51"/>
      <c r="L207" s="51"/>
      <c r="M207" s="51"/>
      <c r="N207" s="51"/>
      <c r="O207" s="51"/>
      <c r="P207" s="51"/>
      <c r="Q207" s="14"/>
      <c r="R207" s="14"/>
      <c r="S207" s="217"/>
      <c r="T207" s="2"/>
    </row>
    <row r="208" spans="1:20" ht="15.6" x14ac:dyDescent="0.3">
      <c r="A208" s="166"/>
      <c r="B208" s="113" t="s">
        <v>56</v>
      </c>
      <c r="C208" s="167"/>
      <c r="D208" s="148"/>
      <c r="E208" s="148"/>
      <c r="F208" s="148"/>
      <c r="G208" s="148"/>
      <c r="H208" s="148"/>
      <c r="I208" s="148"/>
      <c r="J208" s="148"/>
      <c r="K208" s="148"/>
      <c r="L208" s="148"/>
      <c r="M208" s="148"/>
      <c r="N208" s="148"/>
      <c r="O208" s="148"/>
      <c r="P208" s="142">
        <v>4.079E-2</v>
      </c>
      <c r="Q208" s="113"/>
      <c r="R208" s="113"/>
      <c r="S208" s="116"/>
      <c r="T208" s="2"/>
    </row>
    <row r="209" spans="1:20" ht="15.6" x14ac:dyDescent="0.3">
      <c r="A209" s="166"/>
      <c r="B209" s="113" t="s">
        <v>158</v>
      </c>
      <c r="C209" s="167"/>
      <c r="D209" s="148"/>
      <c r="E209" s="148"/>
      <c r="F209" s="148"/>
      <c r="G209" s="148"/>
      <c r="H209" s="148"/>
      <c r="I209" s="148"/>
      <c r="J209" s="148"/>
      <c r="K209" s="148"/>
      <c r="L209" s="148"/>
      <c r="M209" s="148"/>
      <c r="N209" s="148"/>
      <c r="O209" s="148"/>
      <c r="P209" s="142">
        <v>1.5340718167454973E-2</v>
      </c>
      <c r="Q209" s="113"/>
      <c r="R209" s="113"/>
      <c r="S209" s="116"/>
      <c r="T209" s="2"/>
    </row>
    <row r="210" spans="1:20" ht="15.6" x14ac:dyDescent="0.3">
      <c r="A210" s="166"/>
      <c r="B210" s="113" t="s">
        <v>57</v>
      </c>
      <c r="C210" s="167"/>
      <c r="D210" s="148"/>
      <c r="E210" s="148"/>
      <c r="F210" s="148"/>
      <c r="G210" s="148"/>
      <c r="H210" s="148"/>
      <c r="I210" s="148"/>
      <c r="J210" s="148"/>
      <c r="K210" s="148"/>
      <c r="L210" s="148"/>
      <c r="M210" s="148"/>
      <c r="N210" s="148"/>
      <c r="O210" s="148"/>
      <c r="P210" s="210">
        <f>P208-P209</f>
        <v>2.5449281832545027E-2</v>
      </c>
      <c r="Q210" s="113"/>
      <c r="R210" s="113"/>
      <c r="S210" s="116"/>
      <c r="T210" s="2"/>
    </row>
    <row r="211" spans="1:20" ht="15.6" x14ac:dyDescent="0.3">
      <c r="A211" s="166"/>
      <c r="B211" s="113" t="s">
        <v>161</v>
      </c>
      <c r="C211" s="167"/>
      <c r="D211" s="148"/>
      <c r="E211" s="148"/>
      <c r="F211" s="148"/>
      <c r="G211" s="148"/>
      <c r="H211" s="148"/>
      <c r="I211" s="148"/>
      <c r="J211" s="148"/>
      <c r="K211" s="148"/>
      <c r="L211" s="148"/>
      <c r="M211" s="148"/>
      <c r="N211" s="148"/>
      <c r="O211" s="148"/>
      <c r="P211" s="210">
        <v>4.3731300000000001E-2</v>
      </c>
      <c r="Q211" s="113"/>
      <c r="R211" s="113"/>
      <c r="S211" s="116"/>
      <c r="T211" s="2"/>
    </row>
    <row r="212" spans="1:20" ht="15.6" x14ac:dyDescent="0.3">
      <c r="A212" s="166"/>
      <c r="B212" s="113" t="s">
        <v>58</v>
      </c>
      <c r="C212" s="167"/>
      <c r="D212" s="148"/>
      <c r="E212" s="148"/>
      <c r="F212" s="148"/>
      <c r="G212" s="148"/>
      <c r="H212" s="148"/>
      <c r="I212" s="148"/>
      <c r="J212" s="148"/>
      <c r="K212" s="148"/>
      <c r="L212" s="148"/>
      <c r="M212" s="148"/>
      <c r="N212" s="148"/>
      <c r="O212" s="148"/>
      <c r="P212" s="208">
        <v>4.4049999999999999E-2</v>
      </c>
      <c r="Q212" s="113"/>
      <c r="R212" s="113"/>
      <c r="S212" s="116"/>
      <c r="T212" s="2"/>
    </row>
    <row r="213" spans="1:20" ht="15.6" x14ac:dyDescent="0.3">
      <c r="A213" s="166"/>
      <c r="B213" s="113" t="s">
        <v>159</v>
      </c>
      <c r="C213" s="167"/>
      <c r="D213" s="148"/>
      <c r="E213" s="148"/>
      <c r="F213" s="148"/>
      <c r="G213" s="148"/>
      <c r="H213" s="148"/>
      <c r="I213" s="148"/>
      <c r="J213" s="148"/>
      <c r="K213" s="148"/>
      <c r="L213" s="148"/>
      <c r="M213" s="148"/>
      <c r="N213" s="148"/>
      <c r="O213" s="148"/>
      <c r="P213" s="142">
        <f>R40</f>
        <v>1.361338320687955E-2</v>
      </c>
      <c r="Q213" s="113"/>
      <c r="R213" s="113"/>
      <c r="S213" s="116"/>
      <c r="T213" s="2"/>
    </row>
    <row r="214" spans="1:20" ht="15.6" x14ac:dyDescent="0.3">
      <c r="A214" s="166"/>
      <c r="B214" s="113" t="s">
        <v>59</v>
      </c>
      <c r="C214" s="167"/>
      <c r="D214" s="148"/>
      <c r="E214" s="148"/>
      <c r="F214" s="148"/>
      <c r="G214" s="148"/>
      <c r="H214" s="148"/>
      <c r="I214" s="148"/>
      <c r="J214" s="148"/>
      <c r="K214" s="148"/>
      <c r="L214" s="148"/>
      <c r="M214" s="148"/>
      <c r="N214" s="148"/>
      <c r="O214" s="148"/>
      <c r="P214" s="142">
        <f>P212-P213</f>
        <v>3.0436616793120451E-2</v>
      </c>
      <c r="Q214" s="113"/>
      <c r="R214" s="113"/>
      <c r="S214" s="116"/>
      <c r="T214" s="2"/>
    </row>
    <row r="215" spans="1:20" ht="15.6" x14ac:dyDescent="0.3">
      <c r="A215" s="166"/>
      <c r="B215" s="113" t="s">
        <v>139</v>
      </c>
      <c r="C215" s="167"/>
      <c r="D215" s="148"/>
      <c r="E215" s="148"/>
      <c r="F215" s="148"/>
      <c r="G215" s="148"/>
      <c r="H215" s="148"/>
      <c r="I215" s="148"/>
      <c r="J215" s="148"/>
      <c r="K215" s="148"/>
      <c r="L215" s="148"/>
      <c r="M215" s="148"/>
      <c r="N215" s="148"/>
      <c r="O215" s="148"/>
      <c r="P215" s="142">
        <f>(+R100+R102)/H80</f>
        <v>1.1264774313634249E-2</v>
      </c>
      <c r="Q215" s="113"/>
      <c r="R215" s="113"/>
      <c r="S215" s="116"/>
      <c r="T215" s="2"/>
    </row>
    <row r="216" spans="1:20" ht="15.6" x14ac:dyDescent="0.3">
      <c r="A216" s="166"/>
      <c r="B216" s="113" t="s">
        <v>132</v>
      </c>
      <c r="C216" s="167"/>
      <c r="D216" s="148"/>
      <c r="E216" s="148"/>
      <c r="F216" s="148"/>
      <c r="G216" s="148"/>
      <c r="H216" s="148"/>
      <c r="I216" s="148"/>
      <c r="J216" s="148"/>
      <c r="K216" s="148"/>
      <c r="L216" s="148"/>
      <c r="M216" s="148"/>
      <c r="N216" s="148"/>
      <c r="O216" s="148"/>
      <c r="P216" s="168">
        <v>52124</v>
      </c>
      <c r="Q216" s="113"/>
      <c r="R216" s="113"/>
      <c r="S216" s="116"/>
      <c r="T216" s="2"/>
    </row>
    <row r="217" spans="1:20" ht="15.6" x14ac:dyDescent="0.3">
      <c r="A217" s="166"/>
      <c r="B217" s="113" t="s">
        <v>187</v>
      </c>
      <c r="C217" s="167"/>
      <c r="D217" s="148"/>
      <c r="E217" s="148"/>
      <c r="F217" s="148"/>
      <c r="G217" s="148"/>
      <c r="H217" s="148"/>
      <c r="I217" s="148"/>
      <c r="J217" s="148"/>
      <c r="K217" s="148"/>
      <c r="L217" s="148"/>
      <c r="M217" s="148"/>
      <c r="N217" s="148"/>
      <c r="O217" s="148"/>
      <c r="P217" s="168">
        <v>15599</v>
      </c>
      <c r="Q217" s="113"/>
      <c r="R217" s="113"/>
      <c r="S217" s="116"/>
      <c r="T217" s="2"/>
    </row>
    <row r="218" spans="1:20" ht="15.6" x14ac:dyDescent="0.3">
      <c r="A218" s="166"/>
      <c r="B218" s="113" t="s">
        <v>188</v>
      </c>
      <c r="C218" s="167"/>
      <c r="D218" s="148"/>
      <c r="E218" s="148"/>
      <c r="F218" s="148"/>
      <c r="G218" s="148"/>
      <c r="H218" s="148"/>
      <c r="I218" s="148"/>
      <c r="J218" s="148"/>
      <c r="K218" s="148"/>
      <c r="L218" s="148"/>
      <c r="M218" s="148"/>
      <c r="N218" s="148"/>
      <c r="O218" s="148"/>
      <c r="P218" s="168">
        <v>15599</v>
      </c>
      <c r="Q218" s="113"/>
      <c r="R218" s="113"/>
      <c r="S218" s="116"/>
      <c r="T218" s="2"/>
    </row>
    <row r="219" spans="1:20" ht="15.6" x14ac:dyDescent="0.3">
      <c r="A219" s="166"/>
      <c r="B219" s="113" t="s">
        <v>259</v>
      </c>
      <c r="C219" s="167"/>
      <c r="D219" s="148"/>
      <c r="E219" s="148"/>
      <c r="F219" s="148"/>
      <c r="G219" s="148"/>
      <c r="H219" s="148"/>
      <c r="I219" s="148"/>
      <c r="J219" s="148"/>
      <c r="K219" s="148"/>
      <c r="L219" s="148"/>
      <c r="M219" s="148"/>
      <c r="N219" s="148"/>
      <c r="O219" s="148"/>
      <c r="P219" s="168">
        <v>15599</v>
      </c>
      <c r="Q219" s="113"/>
      <c r="R219" s="113"/>
      <c r="S219" s="116"/>
      <c r="T219" s="2"/>
    </row>
    <row r="220" spans="1:20" ht="15.6" x14ac:dyDescent="0.3">
      <c r="A220" s="166"/>
      <c r="B220" s="113" t="s">
        <v>60</v>
      </c>
      <c r="C220" s="167"/>
      <c r="D220" s="148"/>
      <c r="E220" s="148"/>
      <c r="F220" s="148"/>
      <c r="G220" s="148"/>
      <c r="H220" s="148"/>
      <c r="I220" s="148"/>
      <c r="J220" s="148"/>
      <c r="K220" s="148"/>
      <c r="L220" s="148"/>
      <c r="M220" s="148"/>
      <c r="N220" s="148"/>
      <c r="O220" s="148"/>
      <c r="P220" s="146">
        <v>20.55</v>
      </c>
      <c r="Q220" s="113" t="s">
        <v>90</v>
      </c>
      <c r="R220" s="113"/>
      <c r="S220" s="116"/>
      <c r="T220" s="2"/>
    </row>
    <row r="221" spans="1:20" ht="15.6" x14ac:dyDescent="0.3">
      <c r="A221" s="166"/>
      <c r="B221" s="113" t="s">
        <v>61</v>
      </c>
      <c r="C221" s="167"/>
      <c r="D221" s="148"/>
      <c r="E221" s="148"/>
      <c r="F221" s="148"/>
      <c r="G221" s="148"/>
      <c r="H221" s="148"/>
      <c r="I221" s="148"/>
      <c r="J221" s="148"/>
      <c r="K221" s="148"/>
      <c r="L221" s="148"/>
      <c r="M221" s="148"/>
      <c r="N221" s="148"/>
      <c r="O221" s="148"/>
      <c r="P221" s="209">
        <v>18.739999999999998</v>
      </c>
      <c r="Q221" s="113" t="s">
        <v>90</v>
      </c>
      <c r="R221" s="113"/>
      <c r="S221" s="116"/>
      <c r="T221" s="2"/>
    </row>
    <row r="222" spans="1:20" ht="15.6" x14ac:dyDescent="0.3">
      <c r="A222" s="166"/>
      <c r="B222" s="113" t="s">
        <v>62</v>
      </c>
      <c r="C222" s="167"/>
      <c r="D222" s="148"/>
      <c r="E222" s="148"/>
      <c r="F222" s="148"/>
      <c r="G222" s="148"/>
      <c r="H222" s="148"/>
      <c r="I222" s="148"/>
      <c r="J222" s="148"/>
      <c r="K222" s="148"/>
      <c r="L222" s="148"/>
      <c r="M222" s="148"/>
      <c r="N222" s="148"/>
      <c r="O222" s="148"/>
      <c r="P222" s="142">
        <f>(+J64+L64)/H64</f>
        <v>0.12072504570794028</v>
      </c>
      <c r="Q222" s="113"/>
      <c r="R222" s="113"/>
      <c r="S222" s="116"/>
      <c r="T222" s="2"/>
    </row>
    <row r="223" spans="1:20" ht="15.6" x14ac:dyDescent="0.3">
      <c r="A223" s="166"/>
      <c r="B223" s="113" t="s">
        <v>63</v>
      </c>
      <c r="C223" s="167"/>
      <c r="D223" s="148"/>
      <c r="E223" s="148"/>
      <c r="F223" s="148"/>
      <c r="G223" s="148"/>
      <c r="H223" s="148"/>
      <c r="I223" s="148"/>
      <c r="J223" s="148"/>
      <c r="K223" s="148"/>
      <c r="L223" s="148"/>
      <c r="M223" s="148"/>
      <c r="N223" s="148"/>
      <c r="O223" s="148"/>
      <c r="P223" s="210">
        <v>0.1139</v>
      </c>
      <c r="Q223" s="113"/>
      <c r="R223" s="113"/>
      <c r="S223" s="116"/>
      <c r="T223" s="2"/>
    </row>
    <row r="224" spans="1:20" ht="15.6" x14ac:dyDescent="0.3">
      <c r="A224" s="48"/>
      <c r="B224" s="164"/>
      <c r="C224" s="164"/>
      <c r="D224" s="43"/>
      <c r="E224" s="43"/>
      <c r="F224" s="43"/>
      <c r="G224" s="43"/>
      <c r="H224" s="43"/>
      <c r="I224" s="43"/>
      <c r="J224" s="43"/>
      <c r="K224" s="43"/>
      <c r="L224" s="43"/>
      <c r="M224" s="43"/>
      <c r="N224" s="43"/>
      <c r="O224" s="43"/>
      <c r="P224" s="162"/>
      <c r="Q224" s="43"/>
      <c r="R224" s="165"/>
      <c r="S224" s="217"/>
      <c r="T224" s="2"/>
    </row>
    <row r="225" spans="1:20" ht="15.6" x14ac:dyDescent="0.3">
      <c r="A225" s="71"/>
      <c r="B225" s="61" t="s">
        <v>64</v>
      </c>
      <c r="C225" s="62"/>
      <c r="D225" s="62"/>
      <c r="E225" s="62"/>
      <c r="F225" s="62"/>
      <c r="G225" s="62"/>
      <c r="H225" s="62"/>
      <c r="I225" s="62"/>
      <c r="J225" s="62"/>
      <c r="K225" s="62"/>
      <c r="L225" s="62"/>
      <c r="M225" s="62"/>
      <c r="N225" s="62"/>
      <c r="O225" s="62" t="s">
        <v>83</v>
      </c>
      <c r="P225" s="72" t="s">
        <v>88</v>
      </c>
      <c r="Q225" s="54"/>
      <c r="R225" s="54"/>
      <c r="S225" s="219"/>
      <c r="T225" s="2"/>
    </row>
    <row r="226" spans="1:20" ht="15.6" x14ac:dyDescent="0.3">
      <c r="A226" s="52"/>
      <c r="B226" s="79" t="s">
        <v>65</v>
      </c>
      <c r="C226" s="78"/>
      <c r="D226" s="95"/>
      <c r="E226" s="95"/>
      <c r="F226" s="95"/>
      <c r="G226" s="95"/>
      <c r="H226" s="95"/>
      <c r="I226" s="95"/>
      <c r="J226" s="95"/>
      <c r="K226" s="95"/>
      <c r="L226" s="95"/>
      <c r="M226" s="95"/>
      <c r="N226" s="95"/>
      <c r="O226" s="95">
        <v>0</v>
      </c>
      <c r="P226" s="96">
        <v>0</v>
      </c>
      <c r="Q226" s="79"/>
      <c r="R226" s="94"/>
      <c r="S226" s="225"/>
      <c r="T226" s="2"/>
    </row>
    <row r="227" spans="1:20" ht="15.6" x14ac:dyDescent="0.3">
      <c r="A227" s="172"/>
      <c r="B227" s="113" t="s">
        <v>113</v>
      </c>
      <c r="C227" s="155"/>
      <c r="D227" s="123"/>
      <c r="E227" s="123"/>
      <c r="F227" s="123"/>
      <c r="G227" s="123"/>
      <c r="H227" s="123"/>
      <c r="I227" s="123"/>
      <c r="J227" s="123"/>
      <c r="K227" s="123"/>
      <c r="L227" s="123"/>
      <c r="M227" s="123"/>
      <c r="N227" s="123"/>
      <c r="O227" s="173">
        <f>+N279</f>
        <v>0</v>
      </c>
      <c r="P227" s="174">
        <f>+P279</f>
        <v>0</v>
      </c>
      <c r="Q227" s="113"/>
      <c r="R227" s="175"/>
      <c r="S227" s="176"/>
      <c r="T227" s="2"/>
    </row>
    <row r="228" spans="1:20" ht="15.6" x14ac:dyDescent="0.3">
      <c r="A228" s="172"/>
      <c r="B228" s="113" t="s">
        <v>66</v>
      </c>
      <c r="C228" s="155"/>
      <c r="D228" s="123"/>
      <c r="E228" s="123"/>
      <c r="F228" s="123"/>
      <c r="G228" s="123"/>
      <c r="H228" s="123"/>
      <c r="I228" s="123"/>
      <c r="J228" s="123"/>
      <c r="K228" s="123"/>
      <c r="L228" s="123"/>
      <c r="M228" s="123"/>
      <c r="N228" s="123"/>
      <c r="O228" s="173">
        <f>+N291</f>
        <v>0</v>
      </c>
      <c r="P228" s="174">
        <f>+P291</f>
        <v>0</v>
      </c>
      <c r="Q228" s="113"/>
      <c r="R228" s="175"/>
      <c r="S228" s="176"/>
      <c r="T228" s="2"/>
    </row>
    <row r="229" spans="1:20" ht="15.6" x14ac:dyDescent="0.3">
      <c r="A229" s="172"/>
      <c r="B229" s="134" t="s">
        <v>284</v>
      </c>
      <c r="C229" s="177"/>
      <c r="D229" s="135"/>
      <c r="E229" s="135"/>
      <c r="F229" s="135"/>
      <c r="G229" s="135"/>
      <c r="H229" s="135"/>
      <c r="I229" s="135"/>
      <c r="J229" s="135"/>
      <c r="K229" s="135"/>
      <c r="L229" s="135"/>
      <c r="M229" s="135"/>
      <c r="N229" s="135"/>
      <c r="O229" s="113"/>
      <c r="P229" s="174">
        <v>0</v>
      </c>
      <c r="Q229" s="135"/>
      <c r="R229" s="178"/>
      <c r="S229" s="176"/>
      <c r="T229" s="2"/>
    </row>
    <row r="230" spans="1:20" ht="15.6" x14ac:dyDescent="0.3">
      <c r="A230" s="172"/>
      <c r="B230" s="134" t="s">
        <v>140</v>
      </c>
      <c r="C230" s="177"/>
      <c r="D230" s="135"/>
      <c r="E230" s="135"/>
      <c r="F230" s="135"/>
      <c r="G230" s="135"/>
      <c r="H230" s="135"/>
      <c r="I230" s="135"/>
      <c r="J230" s="135"/>
      <c r="K230" s="135"/>
      <c r="L230" s="135"/>
      <c r="M230" s="135"/>
      <c r="N230" s="135"/>
      <c r="O230" s="113"/>
      <c r="P230" s="174">
        <f>-J77</f>
        <v>0</v>
      </c>
      <c r="Q230" s="135"/>
      <c r="R230" s="178"/>
      <c r="S230" s="176"/>
      <c r="T230" s="2"/>
    </row>
    <row r="231" spans="1:20" ht="15.6" x14ac:dyDescent="0.3">
      <c r="A231" s="179"/>
      <c r="B231" s="134" t="s">
        <v>67</v>
      </c>
      <c r="C231" s="180"/>
      <c r="D231" s="135"/>
      <c r="E231" s="135"/>
      <c r="F231" s="135"/>
      <c r="G231" s="135"/>
      <c r="H231" s="135"/>
      <c r="I231" s="135"/>
      <c r="J231" s="135"/>
      <c r="K231" s="135"/>
      <c r="L231" s="135"/>
      <c r="M231" s="135"/>
      <c r="N231" s="135"/>
      <c r="O231" s="113"/>
      <c r="P231" s="174"/>
      <c r="Q231" s="135"/>
      <c r="R231" s="178"/>
      <c r="S231" s="181"/>
      <c r="T231" s="2"/>
    </row>
    <row r="232" spans="1:20" ht="15.6" x14ac:dyDescent="0.3">
      <c r="A232" s="179"/>
      <c r="B232" s="118" t="s">
        <v>68</v>
      </c>
      <c r="C232" s="180"/>
      <c r="D232" s="135"/>
      <c r="E232" s="135"/>
      <c r="F232" s="135"/>
      <c r="G232" s="135"/>
      <c r="H232" s="135"/>
      <c r="I232" s="135"/>
      <c r="J232" s="135"/>
      <c r="K232" s="135"/>
      <c r="L232" s="135"/>
      <c r="M232" s="135"/>
      <c r="N232" s="135"/>
      <c r="O232" s="123"/>
      <c r="P232" s="174">
        <f>R162</f>
        <v>0</v>
      </c>
      <c r="Q232" s="135"/>
      <c r="R232" s="178"/>
      <c r="S232" s="181"/>
      <c r="T232" s="2"/>
    </row>
    <row r="233" spans="1:20" ht="15.6" x14ac:dyDescent="0.3">
      <c r="A233" s="172"/>
      <c r="B233" s="113" t="s">
        <v>69</v>
      </c>
      <c r="C233" s="177"/>
      <c r="D233" s="135"/>
      <c r="E233" s="135"/>
      <c r="F233" s="135"/>
      <c r="G233" s="135"/>
      <c r="H233" s="135"/>
      <c r="I233" s="135"/>
      <c r="J233" s="135"/>
      <c r="K233" s="135"/>
      <c r="L233" s="135"/>
      <c r="M233" s="135"/>
      <c r="N233" s="135"/>
      <c r="O233" s="123"/>
      <c r="P233" s="174">
        <f>'Nov 16'!P233+P232</f>
        <v>0</v>
      </c>
      <c r="Q233" s="135"/>
      <c r="R233" s="178"/>
      <c r="S233" s="181"/>
      <c r="T233" s="2"/>
    </row>
    <row r="234" spans="1:20" ht="15.6" x14ac:dyDescent="0.3">
      <c r="A234" s="179"/>
      <c r="B234" s="134" t="s">
        <v>151</v>
      </c>
      <c r="C234" s="180"/>
      <c r="D234" s="135"/>
      <c r="E234" s="135"/>
      <c r="F234" s="135"/>
      <c r="G234" s="135"/>
      <c r="H234" s="135"/>
      <c r="I234" s="135"/>
      <c r="J234" s="135"/>
      <c r="K234" s="135"/>
      <c r="L234" s="135"/>
      <c r="M234" s="135"/>
      <c r="N234" s="135"/>
      <c r="O234" s="123"/>
      <c r="P234" s="174"/>
      <c r="Q234" s="135"/>
      <c r="R234" s="178"/>
      <c r="S234" s="181"/>
      <c r="T234" s="2"/>
    </row>
    <row r="235" spans="1:20" ht="15.6" x14ac:dyDescent="0.3">
      <c r="A235" s="179"/>
      <c r="B235" s="113" t="s">
        <v>160</v>
      </c>
      <c r="C235" s="180"/>
      <c r="D235" s="135"/>
      <c r="E235" s="135"/>
      <c r="F235" s="135"/>
      <c r="G235" s="135"/>
      <c r="H235" s="135"/>
      <c r="I235" s="135"/>
      <c r="J235" s="135"/>
      <c r="K235" s="135"/>
      <c r="L235" s="135"/>
      <c r="M235" s="135"/>
      <c r="N235" s="135"/>
      <c r="O235" s="123">
        <v>0</v>
      </c>
      <c r="P235" s="174">
        <v>0</v>
      </c>
      <c r="Q235" s="135"/>
      <c r="R235" s="178"/>
      <c r="S235" s="181"/>
      <c r="T235" s="2"/>
    </row>
    <row r="236" spans="1:20" ht="15.6" x14ac:dyDescent="0.3">
      <c r="A236" s="172"/>
      <c r="B236" s="113" t="s">
        <v>70</v>
      </c>
      <c r="C236" s="182"/>
      <c r="D236" s="135"/>
      <c r="E236" s="135"/>
      <c r="F236" s="135"/>
      <c r="G236" s="135"/>
      <c r="H236" s="135"/>
      <c r="I236" s="135"/>
      <c r="J236" s="135"/>
      <c r="K236" s="135"/>
      <c r="L236" s="135"/>
      <c r="M236" s="135"/>
      <c r="N236" s="135"/>
      <c r="O236" s="113"/>
      <c r="P236" s="183">
        <v>0</v>
      </c>
      <c r="Q236" s="135"/>
      <c r="R236" s="178"/>
      <c r="S236" s="181"/>
      <c r="T236" s="2"/>
    </row>
    <row r="237" spans="1:20" ht="15.6" x14ac:dyDescent="0.3">
      <c r="A237" s="172"/>
      <c r="B237" s="113" t="s">
        <v>71</v>
      </c>
      <c r="C237" s="182"/>
      <c r="D237" s="135"/>
      <c r="E237" s="135"/>
      <c r="F237" s="135"/>
      <c r="G237" s="135"/>
      <c r="H237" s="135"/>
      <c r="I237" s="135"/>
      <c r="J237" s="135"/>
      <c r="K237" s="135"/>
      <c r="L237" s="135"/>
      <c r="M237" s="135"/>
      <c r="N237" s="135"/>
      <c r="O237" s="113"/>
      <c r="P237" s="183">
        <v>0</v>
      </c>
      <c r="Q237" s="135"/>
      <c r="R237" s="178"/>
      <c r="S237" s="181"/>
      <c r="T237" s="2"/>
    </row>
    <row r="238" spans="1:20" ht="15.6" x14ac:dyDescent="0.3">
      <c r="A238" s="172"/>
      <c r="B238" s="134" t="s">
        <v>136</v>
      </c>
      <c r="C238" s="182"/>
      <c r="D238" s="135"/>
      <c r="E238" s="135"/>
      <c r="F238" s="135"/>
      <c r="G238" s="135"/>
      <c r="H238" s="135"/>
      <c r="I238" s="135"/>
      <c r="J238" s="135"/>
      <c r="K238" s="135"/>
      <c r="L238" s="135"/>
      <c r="M238" s="135"/>
      <c r="N238" s="135"/>
      <c r="O238" s="113"/>
      <c r="P238" s="184"/>
      <c r="Q238" s="135"/>
      <c r="R238" s="178"/>
      <c r="S238" s="181"/>
      <c r="T238" s="2"/>
    </row>
    <row r="239" spans="1:20" ht="15.6" x14ac:dyDescent="0.3">
      <c r="A239" s="172"/>
      <c r="B239" s="113" t="s">
        <v>160</v>
      </c>
      <c r="C239" s="182"/>
      <c r="D239" s="135"/>
      <c r="E239" s="135"/>
      <c r="F239" s="135"/>
      <c r="G239" s="135"/>
      <c r="H239" s="135"/>
      <c r="I239" s="135"/>
      <c r="J239" s="135"/>
      <c r="K239" s="135"/>
      <c r="L239" s="135"/>
      <c r="M239" s="135"/>
      <c r="N239" s="135"/>
      <c r="O239" s="123">
        <v>0</v>
      </c>
      <c r="P239" s="174">
        <v>0</v>
      </c>
      <c r="Q239" s="135"/>
      <c r="R239" s="178"/>
      <c r="S239" s="181"/>
      <c r="T239" s="2"/>
    </row>
    <row r="240" spans="1:20" ht="15.6" x14ac:dyDescent="0.3">
      <c r="A240" s="172"/>
      <c r="B240" s="113" t="s">
        <v>137</v>
      </c>
      <c r="C240" s="182"/>
      <c r="D240" s="135"/>
      <c r="E240" s="135"/>
      <c r="F240" s="135"/>
      <c r="G240" s="135"/>
      <c r="H240" s="135"/>
      <c r="I240" s="135"/>
      <c r="J240" s="135"/>
      <c r="K240" s="135"/>
      <c r="L240" s="135"/>
      <c r="M240" s="135"/>
      <c r="N240" s="135"/>
      <c r="O240" s="113"/>
      <c r="P240" s="183">
        <v>0</v>
      </c>
      <c r="Q240" s="135"/>
      <c r="R240" s="178"/>
      <c r="S240" s="181"/>
      <c r="T240" s="2"/>
    </row>
    <row r="241" spans="1:20" ht="15.6" x14ac:dyDescent="0.3">
      <c r="A241" s="172"/>
      <c r="B241" s="180"/>
      <c r="C241" s="182"/>
      <c r="D241" s="135"/>
      <c r="E241" s="135"/>
      <c r="F241" s="135"/>
      <c r="G241" s="135"/>
      <c r="H241" s="135"/>
      <c r="I241" s="135"/>
      <c r="J241" s="135"/>
      <c r="K241" s="135"/>
      <c r="L241" s="135"/>
      <c r="M241" s="135"/>
      <c r="N241" s="135"/>
      <c r="O241" s="113"/>
      <c r="P241" s="184"/>
      <c r="Q241" s="135"/>
      <c r="R241" s="178"/>
      <c r="S241" s="181"/>
      <c r="T241" s="2"/>
    </row>
    <row r="242" spans="1:20" ht="15.6" x14ac:dyDescent="0.3">
      <c r="A242" s="172"/>
      <c r="B242" s="180"/>
      <c r="C242" s="182"/>
      <c r="D242" s="135"/>
      <c r="E242" s="135"/>
      <c r="F242" s="135"/>
      <c r="G242" s="135"/>
      <c r="H242" s="135"/>
      <c r="I242" s="135"/>
      <c r="J242" s="135"/>
      <c r="K242" s="135"/>
      <c r="L242" s="135"/>
      <c r="M242" s="135"/>
      <c r="N242" s="135"/>
      <c r="O242" s="135"/>
      <c r="P242" s="185"/>
      <c r="Q242" s="135"/>
      <c r="R242" s="178"/>
      <c r="S242" s="181"/>
      <c r="T242" s="2"/>
    </row>
    <row r="243" spans="1:20" ht="17.399999999999999" x14ac:dyDescent="0.3">
      <c r="A243" s="172"/>
      <c r="B243" s="186" t="s">
        <v>129</v>
      </c>
      <c r="C243" s="182"/>
      <c r="D243" s="135"/>
      <c r="E243" s="135"/>
      <c r="F243" s="135"/>
      <c r="G243" s="135"/>
      <c r="H243" s="135"/>
      <c r="I243" s="135"/>
      <c r="J243" s="135"/>
      <c r="K243" s="135"/>
      <c r="L243" s="187"/>
      <c r="M243" s="135"/>
      <c r="N243" s="187" t="s">
        <v>128</v>
      </c>
      <c r="O243" s="187"/>
      <c r="P243" s="185"/>
      <c r="Q243" s="135"/>
      <c r="R243" s="178"/>
      <c r="S243" s="181"/>
      <c r="T243" s="2"/>
    </row>
    <row r="244" spans="1:20" ht="17.399999999999999" x14ac:dyDescent="0.3">
      <c r="A244" s="169"/>
      <c r="B244" s="199"/>
      <c r="C244" s="170"/>
      <c r="D244" s="43"/>
      <c r="E244" s="43"/>
      <c r="F244" s="43"/>
      <c r="G244" s="43"/>
      <c r="H244" s="43"/>
      <c r="I244" s="43"/>
      <c r="J244" s="43"/>
      <c r="K244" s="43"/>
      <c r="L244" s="200"/>
      <c r="M244" s="43"/>
      <c r="N244" s="43"/>
      <c r="O244" s="43"/>
      <c r="P244" s="171"/>
      <c r="Q244" s="43"/>
      <c r="R244" s="165"/>
      <c r="S244" s="226"/>
      <c r="T244" s="2"/>
    </row>
    <row r="245" spans="1:20" ht="15.6" x14ac:dyDescent="0.3">
      <c r="A245" s="53"/>
      <c r="B245" s="61" t="s">
        <v>152</v>
      </c>
      <c r="C245" s="62"/>
      <c r="D245" s="62"/>
      <c r="E245" s="62"/>
      <c r="F245" s="62"/>
      <c r="G245" s="62"/>
      <c r="H245" s="62"/>
      <c r="I245" s="62"/>
      <c r="J245" s="62"/>
      <c r="K245" s="62"/>
      <c r="L245" s="62"/>
      <c r="M245" s="62"/>
      <c r="N245" s="72" t="s">
        <v>83</v>
      </c>
      <c r="O245" s="62" t="s">
        <v>84</v>
      </c>
      <c r="P245" s="72" t="s">
        <v>89</v>
      </c>
      <c r="Q245" s="62" t="s">
        <v>84</v>
      </c>
      <c r="R245" s="54"/>
      <c r="S245" s="227"/>
      <c r="T245" s="2"/>
    </row>
    <row r="246" spans="1:20" ht="15.6" x14ac:dyDescent="0.3">
      <c r="A246" s="24"/>
      <c r="B246" s="78" t="s">
        <v>72</v>
      </c>
      <c r="C246" s="93"/>
      <c r="D246" s="93"/>
      <c r="E246" s="93"/>
      <c r="F246" s="93"/>
      <c r="G246" s="93"/>
      <c r="H246" s="93"/>
      <c r="I246" s="93"/>
      <c r="J246" s="93"/>
      <c r="K246" s="93"/>
      <c r="L246" s="93"/>
      <c r="M246" s="93"/>
      <c r="N246" s="78">
        <f>+N258+N270+N282</f>
        <v>1461</v>
      </c>
      <c r="O246" s="81">
        <f>N246/$N$255</f>
        <v>1</v>
      </c>
      <c r="P246" s="82">
        <f t="shared" ref="P246:P253" si="5">+P258+P270+P282</f>
        <v>235170</v>
      </c>
      <c r="Q246" s="81">
        <f t="shared" ref="Q246:Q253" si="6">P246/$P$255</f>
        <v>1</v>
      </c>
      <c r="R246" s="94"/>
      <c r="S246" s="228"/>
      <c r="T246" s="2"/>
    </row>
    <row r="247" spans="1:20" ht="15.6" x14ac:dyDescent="0.3">
      <c r="A247" s="112"/>
      <c r="B247" s="155" t="s">
        <v>73</v>
      </c>
      <c r="C247" s="191"/>
      <c r="D247" s="191"/>
      <c r="E247" s="191"/>
      <c r="F247" s="191"/>
      <c r="G247" s="191"/>
      <c r="H247" s="191"/>
      <c r="I247" s="191"/>
      <c r="J247" s="191"/>
      <c r="K247" s="191"/>
      <c r="L247" s="191"/>
      <c r="M247" s="191"/>
      <c r="N247" s="155">
        <f t="shared" ref="N247:N253" si="7">+N259+N271+N283</f>
        <v>0</v>
      </c>
      <c r="O247" s="192">
        <f t="shared" ref="O247:O253" si="8">N247/$N$255</f>
        <v>0</v>
      </c>
      <c r="P247" s="156">
        <f t="shared" si="5"/>
        <v>0</v>
      </c>
      <c r="Q247" s="192">
        <f t="shared" si="6"/>
        <v>0</v>
      </c>
      <c r="R247" s="175"/>
      <c r="S247" s="193"/>
      <c r="T247" s="2"/>
    </row>
    <row r="248" spans="1:20" ht="15.6" x14ac:dyDescent="0.3">
      <c r="A248" s="112"/>
      <c r="B248" s="155" t="s">
        <v>74</v>
      </c>
      <c r="C248" s="191"/>
      <c r="D248" s="191"/>
      <c r="E248" s="191"/>
      <c r="F248" s="191"/>
      <c r="G248" s="191"/>
      <c r="H248" s="191"/>
      <c r="I248" s="191"/>
      <c r="J248" s="191"/>
      <c r="K248" s="191"/>
      <c r="L248" s="191"/>
      <c r="M248" s="191"/>
      <c r="N248" s="155">
        <f t="shared" si="7"/>
        <v>0</v>
      </c>
      <c r="O248" s="192">
        <f t="shared" si="8"/>
        <v>0</v>
      </c>
      <c r="P248" s="156">
        <f t="shared" si="5"/>
        <v>0</v>
      </c>
      <c r="Q248" s="192">
        <f t="shared" si="6"/>
        <v>0</v>
      </c>
      <c r="R248" s="175"/>
      <c r="S248" s="193"/>
      <c r="T248" s="2"/>
    </row>
    <row r="249" spans="1:20" ht="15.6" x14ac:dyDescent="0.3">
      <c r="A249" s="112"/>
      <c r="B249" s="155" t="s">
        <v>119</v>
      </c>
      <c r="C249" s="191"/>
      <c r="D249" s="191"/>
      <c r="E249" s="191"/>
      <c r="F249" s="191"/>
      <c r="G249" s="191"/>
      <c r="H249" s="191"/>
      <c r="I249" s="191"/>
      <c r="J249" s="191"/>
      <c r="K249" s="191"/>
      <c r="L249" s="191"/>
      <c r="M249" s="191"/>
      <c r="N249" s="155">
        <f t="shared" si="7"/>
        <v>0</v>
      </c>
      <c r="O249" s="192">
        <f t="shared" si="8"/>
        <v>0</v>
      </c>
      <c r="P249" s="156">
        <f t="shared" si="5"/>
        <v>0</v>
      </c>
      <c r="Q249" s="192">
        <f t="shared" si="6"/>
        <v>0</v>
      </c>
      <c r="R249" s="175"/>
      <c r="S249" s="193"/>
      <c r="T249" s="2"/>
    </row>
    <row r="250" spans="1:20" ht="15.6" x14ac:dyDescent="0.3">
      <c r="A250" s="112"/>
      <c r="B250" s="155" t="s">
        <v>120</v>
      </c>
      <c r="C250" s="191"/>
      <c r="D250" s="191"/>
      <c r="E250" s="191"/>
      <c r="F250" s="191"/>
      <c r="G250" s="191"/>
      <c r="H250" s="191"/>
      <c r="I250" s="191"/>
      <c r="J250" s="191"/>
      <c r="K250" s="191"/>
      <c r="L250" s="191"/>
      <c r="M250" s="191"/>
      <c r="N250" s="155">
        <f t="shared" si="7"/>
        <v>0</v>
      </c>
      <c r="O250" s="192">
        <f t="shared" si="8"/>
        <v>0</v>
      </c>
      <c r="P250" s="156">
        <f t="shared" si="5"/>
        <v>0</v>
      </c>
      <c r="Q250" s="192">
        <f t="shared" si="6"/>
        <v>0</v>
      </c>
      <c r="R250" s="175"/>
      <c r="S250" s="193"/>
      <c r="T250" s="2"/>
    </row>
    <row r="251" spans="1:20" ht="15.6" x14ac:dyDescent="0.3">
      <c r="A251" s="112"/>
      <c r="B251" s="155" t="s">
        <v>121</v>
      </c>
      <c r="C251" s="191"/>
      <c r="D251" s="191"/>
      <c r="E251" s="191"/>
      <c r="F251" s="191"/>
      <c r="G251" s="191"/>
      <c r="H251" s="191"/>
      <c r="I251" s="191"/>
      <c r="J251" s="191"/>
      <c r="K251" s="191"/>
      <c r="L251" s="191"/>
      <c r="M251" s="191"/>
      <c r="N251" s="155">
        <f t="shared" si="7"/>
        <v>0</v>
      </c>
      <c r="O251" s="192">
        <f t="shared" si="8"/>
        <v>0</v>
      </c>
      <c r="P251" s="156">
        <f t="shared" si="5"/>
        <v>0</v>
      </c>
      <c r="Q251" s="192">
        <f t="shared" si="6"/>
        <v>0</v>
      </c>
      <c r="R251" s="175"/>
      <c r="S251" s="193"/>
      <c r="T251" s="2"/>
    </row>
    <row r="252" spans="1:20" ht="15.6" x14ac:dyDescent="0.3">
      <c r="A252" s="112"/>
      <c r="B252" s="155" t="s">
        <v>122</v>
      </c>
      <c r="C252" s="191"/>
      <c r="D252" s="191"/>
      <c r="E252" s="191"/>
      <c r="F252" s="191"/>
      <c r="G252" s="191"/>
      <c r="H252" s="191"/>
      <c r="I252" s="191"/>
      <c r="J252" s="191"/>
      <c r="K252" s="191"/>
      <c r="L252" s="191"/>
      <c r="M252" s="191"/>
      <c r="N252" s="155">
        <f t="shared" si="7"/>
        <v>0</v>
      </c>
      <c r="O252" s="192">
        <f t="shared" si="8"/>
        <v>0</v>
      </c>
      <c r="P252" s="156">
        <f t="shared" si="5"/>
        <v>0</v>
      </c>
      <c r="Q252" s="192">
        <f t="shared" si="6"/>
        <v>0</v>
      </c>
      <c r="R252" s="175"/>
      <c r="S252" s="193"/>
      <c r="T252" s="2"/>
    </row>
    <row r="253" spans="1:20" ht="15.6" x14ac:dyDescent="0.3">
      <c r="A253" s="112"/>
      <c r="B253" s="155" t="s">
        <v>123</v>
      </c>
      <c r="C253" s="191"/>
      <c r="D253" s="191"/>
      <c r="E253" s="191"/>
      <c r="F253" s="191"/>
      <c r="G253" s="191"/>
      <c r="H253" s="191"/>
      <c r="I253" s="191"/>
      <c r="J253" s="191"/>
      <c r="K253" s="191"/>
      <c r="L253" s="191"/>
      <c r="M253" s="191"/>
      <c r="N253" s="155">
        <f t="shared" si="7"/>
        <v>0</v>
      </c>
      <c r="O253" s="192">
        <f t="shared" si="8"/>
        <v>0</v>
      </c>
      <c r="P253" s="156">
        <f t="shared" si="5"/>
        <v>0</v>
      </c>
      <c r="Q253" s="192">
        <f t="shared" si="6"/>
        <v>0</v>
      </c>
      <c r="R253" s="175"/>
      <c r="S253" s="193"/>
      <c r="T253" s="2"/>
    </row>
    <row r="254" spans="1:20" ht="15.6" x14ac:dyDescent="0.3">
      <c r="A254" s="112"/>
      <c r="B254" s="155"/>
      <c r="C254" s="191"/>
      <c r="D254" s="191"/>
      <c r="E254" s="191"/>
      <c r="F254" s="191"/>
      <c r="G254" s="191"/>
      <c r="H254" s="191"/>
      <c r="I254" s="191"/>
      <c r="J254" s="191"/>
      <c r="K254" s="191"/>
      <c r="L254" s="191"/>
      <c r="M254" s="191"/>
      <c r="N254" s="155"/>
      <c r="O254" s="192"/>
      <c r="P254" s="156"/>
      <c r="Q254" s="192"/>
      <c r="R254" s="175"/>
      <c r="S254" s="193"/>
      <c r="T254" s="2"/>
    </row>
    <row r="255" spans="1:20" ht="15.6" x14ac:dyDescent="0.3">
      <c r="A255" s="112"/>
      <c r="B255" s="113" t="s">
        <v>94</v>
      </c>
      <c r="C255" s="113"/>
      <c r="D255" s="194"/>
      <c r="E255" s="194"/>
      <c r="F255" s="194"/>
      <c r="G255" s="194"/>
      <c r="H255" s="194"/>
      <c r="I255" s="194"/>
      <c r="J255" s="194"/>
      <c r="K255" s="194"/>
      <c r="L255" s="194"/>
      <c r="M255" s="194"/>
      <c r="N255" s="155">
        <f>SUM(N246:N254)</f>
        <v>1461</v>
      </c>
      <c r="O255" s="192">
        <f>SUM(O246:O254)</f>
        <v>1</v>
      </c>
      <c r="P255" s="156">
        <f>SUM(P246:P254)</f>
        <v>235170</v>
      </c>
      <c r="Q255" s="192">
        <f>SUM(Q246:Q254)</f>
        <v>1</v>
      </c>
      <c r="R255" s="113"/>
      <c r="S255" s="116"/>
      <c r="T255" s="2"/>
    </row>
    <row r="256" spans="1:20" ht="15.6" x14ac:dyDescent="0.3">
      <c r="A256" s="12"/>
      <c r="B256" s="164"/>
      <c r="C256" s="170"/>
      <c r="D256" s="43"/>
      <c r="E256" s="43"/>
      <c r="F256" s="43"/>
      <c r="G256" s="43"/>
      <c r="H256" s="43"/>
      <c r="I256" s="43"/>
      <c r="J256" s="43"/>
      <c r="K256" s="43"/>
      <c r="L256" s="43"/>
      <c r="M256" s="43"/>
      <c r="N256" s="43"/>
      <c r="O256" s="43"/>
      <c r="P256" s="171"/>
      <c r="Q256" s="43"/>
      <c r="R256" s="43"/>
      <c r="S256" s="217"/>
      <c r="T256" s="2"/>
    </row>
    <row r="257" spans="1:21" ht="15.6" x14ac:dyDescent="0.3">
      <c r="A257" s="53"/>
      <c r="B257" s="61" t="s">
        <v>124</v>
      </c>
      <c r="C257" s="62"/>
      <c r="D257" s="62"/>
      <c r="E257" s="62"/>
      <c r="F257" s="62"/>
      <c r="G257" s="62"/>
      <c r="H257" s="62"/>
      <c r="I257" s="62"/>
      <c r="J257" s="62"/>
      <c r="K257" s="62"/>
      <c r="L257" s="62"/>
      <c r="M257" s="62"/>
      <c r="N257" s="72" t="s">
        <v>83</v>
      </c>
      <c r="O257" s="62" t="s">
        <v>84</v>
      </c>
      <c r="P257" s="72" t="s">
        <v>89</v>
      </c>
      <c r="Q257" s="62" t="s">
        <v>84</v>
      </c>
      <c r="R257" s="54"/>
      <c r="S257" s="227"/>
      <c r="T257" s="2"/>
    </row>
    <row r="258" spans="1:21" ht="15.6" x14ac:dyDescent="0.3">
      <c r="A258" s="24"/>
      <c r="B258" s="78" t="s">
        <v>72</v>
      </c>
      <c r="C258" s="93"/>
      <c r="D258" s="93"/>
      <c r="E258" s="93"/>
      <c r="F258" s="93"/>
      <c r="G258" s="93"/>
      <c r="H258" s="93"/>
      <c r="I258" s="93"/>
      <c r="J258" s="93"/>
      <c r="K258" s="93"/>
      <c r="L258" s="93"/>
      <c r="M258" s="93"/>
      <c r="N258" s="78">
        <v>1461</v>
      </c>
      <c r="O258" s="81">
        <f>N258/$N$267</f>
        <v>1</v>
      </c>
      <c r="P258" s="82">
        <v>235170</v>
      </c>
      <c r="Q258" s="81">
        <f>P258/$P$267</f>
        <v>1</v>
      </c>
      <c r="R258" s="94"/>
      <c r="S258" s="228"/>
      <c r="T258" s="2"/>
    </row>
    <row r="259" spans="1:21" ht="15.6" x14ac:dyDescent="0.3">
      <c r="A259" s="112"/>
      <c r="B259" s="155" t="s">
        <v>73</v>
      </c>
      <c r="C259" s="191"/>
      <c r="D259" s="191"/>
      <c r="E259" s="191"/>
      <c r="F259" s="191"/>
      <c r="G259" s="191"/>
      <c r="H259" s="191"/>
      <c r="I259" s="191"/>
      <c r="J259" s="191"/>
      <c r="K259" s="191"/>
      <c r="L259" s="191"/>
      <c r="M259" s="191"/>
      <c r="N259" s="155">
        <v>0</v>
      </c>
      <c r="O259" s="192">
        <f t="shared" ref="O259:O265" si="9">N259/$N$267</f>
        <v>0</v>
      </c>
      <c r="P259" s="156">
        <v>0</v>
      </c>
      <c r="Q259" s="192">
        <f t="shared" ref="Q259:Q265" si="10">P259/$P$267</f>
        <v>0</v>
      </c>
      <c r="R259" s="175"/>
      <c r="S259" s="193"/>
      <c r="T259" s="2"/>
      <c r="U259" s="4"/>
    </row>
    <row r="260" spans="1:21" ht="15.6" x14ac:dyDescent="0.3">
      <c r="A260" s="112"/>
      <c r="B260" s="155" t="s">
        <v>74</v>
      </c>
      <c r="C260" s="191"/>
      <c r="D260" s="191"/>
      <c r="E260" s="191"/>
      <c r="F260" s="191"/>
      <c r="G260" s="191"/>
      <c r="H260" s="191"/>
      <c r="I260" s="191"/>
      <c r="J260" s="191"/>
      <c r="K260" s="191"/>
      <c r="L260" s="191"/>
      <c r="M260" s="191"/>
      <c r="N260" s="155">
        <v>0</v>
      </c>
      <c r="O260" s="192">
        <f t="shared" si="9"/>
        <v>0</v>
      </c>
      <c r="P260" s="156">
        <v>0</v>
      </c>
      <c r="Q260" s="192">
        <f t="shared" si="10"/>
        <v>0</v>
      </c>
      <c r="R260" s="175"/>
      <c r="S260" s="193"/>
      <c r="T260" s="2"/>
    </row>
    <row r="261" spans="1:21" ht="15.6" x14ac:dyDescent="0.3">
      <c r="A261" s="112"/>
      <c r="B261" s="155" t="s">
        <v>119</v>
      </c>
      <c r="C261" s="191"/>
      <c r="D261" s="191"/>
      <c r="E261" s="191"/>
      <c r="F261" s="191"/>
      <c r="G261" s="191"/>
      <c r="H261" s="191"/>
      <c r="I261" s="191"/>
      <c r="J261" s="191"/>
      <c r="K261" s="191"/>
      <c r="L261" s="191"/>
      <c r="M261" s="191"/>
      <c r="N261" s="155">
        <v>0</v>
      </c>
      <c r="O261" s="192">
        <f t="shared" si="9"/>
        <v>0</v>
      </c>
      <c r="P261" s="156">
        <v>0</v>
      </c>
      <c r="Q261" s="192">
        <f t="shared" si="10"/>
        <v>0</v>
      </c>
      <c r="R261" s="175"/>
      <c r="S261" s="193"/>
      <c r="T261" s="2"/>
      <c r="U261" s="4"/>
    </row>
    <row r="262" spans="1:21" ht="15.6" x14ac:dyDescent="0.3">
      <c r="A262" s="112"/>
      <c r="B262" s="155" t="s">
        <v>120</v>
      </c>
      <c r="C262" s="191"/>
      <c r="D262" s="191"/>
      <c r="E262" s="191"/>
      <c r="F262" s="191"/>
      <c r="G262" s="191"/>
      <c r="H262" s="191"/>
      <c r="I262" s="191"/>
      <c r="J262" s="191"/>
      <c r="K262" s="191"/>
      <c r="L262" s="191"/>
      <c r="M262" s="191"/>
      <c r="N262" s="155">
        <v>0</v>
      </c>
      <c r="O262" s="192">
        <f t="shared" si="9"/>
        <v>0</v>
      </c>
      <c r="P262" s="156">
        <v>0</v>
      </c>
      <c r="Q262" s="192">
        <f t="shared" si="10"/>
        <v>0</v>
      </c>
      <c r="R262" s="175"/>
      <c r="S262" s="193"/>
      <c r="T262" s="2"/>
    </row>
    <row r="263" spans="1:21" ht="15.6" x14ac:dyDescent="0.3">
      <c r="A263" s="112"/>
      <c r="B263" s="155" t="s">
        <v>121</v>
      </c>
      <c r="C263" s="191"/>
      <c r="D263" s="191"/>
      <c r="E263" s="191"/>
      <c r="F263" s="191"/>
      <c r="G263" s="191"/>
      <c r="H263" s="191"/>
      <c r="I263" s="191"/>
      <c r="J263" s="191"/>
      <c r="K263" s="191"/>
      <c r="L263" s="191"/>
      <c r="M263" s="191"/>
      <c r="N263" s="155">
        <v>0</v>
      </c>
      <c r="O263" s="192">
        <f t="shared" si="9"/>
        <v>0</v>
      </c>
      <c r="P263" s="156">
        <v>0</v>
      </c>
      <c r="Q263" s="192">
        <f t="shared" si="10"/>
        <v>0</v>
      </c>
      <c r="R263" s="175"/>
      <c r="S263" s="193"/>
      <c r="T263" s="2"/>
      <c r="U263" s="4"/>
    </row>
    <row r="264" spans="1:21" ht="15.6" x14ac:dyDescent="0.3">
      <c r="A264" s="112"/>
      <c r="B264" s="155" t="s">
        <v>122</v>
      </c>
      <c r="C264" s="191"/>
      <c r="D264" s="191"/>
      <c r="E264" s="191"/>
      <c r="F264" s="191"/>
      <c r="G264" s="191"/>
      <c r="H264" s="191"/>
      <c r="I264" s="191"/>
      <c r="J264" s="191"/>
      <c r="K264" s="191"/>
      <c r="L264" s="191"/>
      <c r="M264" s="191"/>
      <c r="N264" s="155">
        <v>0</v>
      </c>
      <c r="O264" s="192">
        <f t="shared" si="9"/>
        <v>0</v>
      </c>
      <c r="P264" s="156">
        <v>0</v>
      </c>
      <c r="Q264" s="192">
        <f t="shared" si="10"/>
        <v>0</v>
      </c>
      <c r="R264" s="175"/>
      <c r="S264" s="193"/>
      <c r="T264" s="2"/>
    </row>
    <row r="265" spans="1:21" ht="15.6" x14ac:dyDescent="0.3">
      <c r="A265" s="112"/>
      <c r="B265" s="155" t="s">
        <v>123</v>
      </c>
      <c r="C265" s="191"/>
      <c r="D265" s="191"/>
      <c r="E265" s="191"/>
      <c r="F265" s="191"/>
      <c r="G265" s="191"/>
      <c r="H265" s="191"/>
      <c r="I265" s="191"/>
      <c r="J265" s="191"/>
      <c r="K265" s="191"/>
      <c r="L265" s="191"/>
      <c r="M265" s="191"/>
      <c r="N265" s="155">
        <v>0</v>
      </c>
      <c r="O265" s="192">
        <f t="shared" si="9"/>
        <v>0</v>
      </c>
      <c r="P265" s="156">
        <v>0</v>
      </c>
      <c r="Q265" s="192">
        <f t="shared" si="10"/>
        <v>0</v>
      </c>
      <c r="R265" s="175"/>
      <c r="S265" s="193"/>
      <c r="T265" s="2"/>
      <c r="U265" s="4"/>
    </row>
    <row r="266" spans="1:21" ht="15.6" x14ac:dyDescent="0.3">
      <c r="A266" s="112"/>
      <c r="B266" s="155"/>
      <c r="C266" s="191"/>
      <c r="D266" s="191"/>
      <c r="E266" s="191"/>
      <c r="F266" s="191"/>
      <c r="G266" s="191"/>
      <c r="H266" s="191"/>
      <c r="I266" s="191"/>
      <c r="J266" s="191"/>
      <c r="K266" s="191"/>
      <c r="L266" s="191"/>
      <c r="M266" s="191"/>
      <c r="N266" s="155"/>
      <c r="O266" s="192"/>
      <c r="P266" s="156"/>
      <c r="Q266" s="192"/>
      <c r="R266" s="175"/>
      <c r="S266" s="193"/>
      <c r="T266" s="2"/>
    </row>
    <row r="267" spans="1:21" ht="15.6" x14ac:dyDescent="0.3">
      <c r="A267" s="112"/>
      <c r="B267" s="113" t="s">
        <v>94</v>
      </c>
      <c r="C267" s="113"/>
      <c r="D267" s="194"/>
      <c r="E267" s="194"/>
      <c r="F267" s="194"/>
      <c r="G267" s="194"/>
      <c r="H267" s="194"/>
      <c r="I267" s="194"/>
      <c r="J267" s="194"/>
      <c r="K267" s="194"/>
      <c r="L267" s="194"/>
      <c r="M267" s="194"/>
      <c r="N267" s="155">
        <f>SUM(N258:N266)</f>
        <v>1461</v>
      </c>
      <c r="O267" s="192">
        <f>SUM(O258:O266)</f>
        <v>1</v>
      </c>
      <c r="P267" s="156">
        <f>SUM(P258:P266)</f>
        <v>235170</v>
      </c>
      <c r="Q267" s="192">
        <f>SUM(Q258:Q266)</f>
        <v>1</v>
      </c>
      <c r="R267" s="113"/>
      <c r="S267" s="116"/>
      <c r="T267" s="2"/>
    </row>
    <row r="268" spans="1:21" ht="15.6" x14ac:dyDescent="0.3">
      <c r="A268" s="12"/>
      <c r="B268" s="43"/>
      <c r="C268" s="43"/>
      <c r="D268" s="188"/>
      <c r="E268" s="188"/>
      <c r="F268" s="188"/>
      <c r="G268" s="188"/>
      <c r="H268" s="188"/>
      <c r="I268" s="188"/>
      <c r="J268" s="188"/>
      <c r="K268" s="188"/>
      <c r="L268" s="188"/>
      <c r="M268" s="188"/>
      <c r="N268" s="153"/>
      <c r="O268" s="189"/>
      <c r="P268" s="190"/>
      <c r="Q268" s="189"/>
      <c r="R268" s="43"/>
      <c r="S268" s="217"/>
      <c r="T268" s="2"/>
    </row>
    <row r="269" spans="1:21" ht="15.6" x14ac:dyDescent="0.3">
      <c r="A269" s="73"/>
      <c r="B269" s="61" t="s">
        <v>146</v>
      </c>
      <c r="C269" s="62"/>
      <c r="D269" s="62"/>
      <c r="E269" s="62"/>
      <c r="F269" s="62"/>
      <c r="G269" s="62"/>
      <c r="H269" s="62"/>
      <c r="I269" s="62"/>
      <c r="J269" s="62"/>
      <c r="K269" s="62"/>
      <c r="L269" s="62"/>
      <c r="M269" s="62"/>
      <c r="N269" s="72" t="s">
        <v>83</v>
      </c>
      <c r="O269" s="62" t="s">
        <v>84</v>
      </c>
      <c r="P269" s="72" t="s">
        <v>89</v>
      </c>
      <c r="Q269" s="62" t="s">
        <v>84</v>
      </c>
      <c r="R269" s="74"/>
      <c r="S269" s="75"/>
      <c r="T269" s="2"/>
    </row>
    <row r="270" spans="1:21" ht="15.6" x14ac:dyDescent="0.3">
      <c r="A270" s="24"/>
      <c r="B270" s="78" t="s">
        <v>72</v>
      </c>
      <c r="C270" s="93"/>
      <c r="D270" s="93"/>
      <c r="E270" s="93"/>
      <c r="F270" s="93"/>
      <c r="G270" s="93"/>
      <c r="H270" s="93"/>
      <c r="I270" s="93"/>
      <c r="J270" s="93"/>
      <c r="K270" s="93"/>
      <c r="L270" s="93"/>
      <c r="M270" s="93"/>
      <c r="N270" s="78">
        <v>0</v>
      </c>
      <c r="O270" s="81">
        <v>0</v>
      </c>
      <c r="P270" s="82">
        <v>0</v>
      </c>
      <c r="Q270" s="81">
        <v>0</v>
      </c>
      <c r="R270" s="79"/>
      <c r="S270" s="220"/>
      <c r="T270" s="2"/>
    </row>
    <row r="271" spans="1:21" ht="15.6" x14ac:dyDescent="0.3">
      <c r="A271" s="112"/>
      <c r="B271" s="155" t="s">
        <v>73</v>
      </c>
      <c r="C271" s="191"/>
      <c r="D271" s="191"/>
      <c r="E271" s="191"/>
      <c r="F271" s="191"/>
      <c r="G271" s="191"/>
      <c r="H271" s="191"/>
      <c r="I271" s="191"/>
      <c r="J271" s="191"/>
      <c r="K271" s="191"/>
      <c r="L271" s="191"/>
      <c r="M271" s="191"/>
      <c r="N271" s="155">
        <v>0</v>
      </c>
      <c r="O271" s="192">
        <v>0</v>
      </c>
      <c r="P271" s="156">
        <v>0</v>
      </c>
      <c r="Q271" s="192">
        <v>0</v>
      </c>
      <c r="R271" s="113"/>
      <c r="S271" s="116"/>
      <c r="T271" s="2"/>
    </row>
    <row r="272" spans="1:21" ht="15.6" x14ac:dyDescent="0.3">
      <c r="A272" s="112"/>
      <c r="B272" s="155" t="s">
        <v>74</v>
      </c>
      <c r="C272" s="191"/>
      <c r="D272" s="191"/>
      <c r="E272" s="191"/>
      <c r="F272" s="191"/>
      <c r="G272" s="191"/>
      <c r="H272" s="191"/>
      <c r="I272" s="191"/>
      <c r="J272" s="191"/>
      <c r="K272" s="191"/>
      <c r="L272" s="191"/>
      <c r="M272" s="191"/>
      <c r="N272" s="155">
        <v>0</v>
      </c>
      <c r="O272" s="192">
        <v>0</v>
      </c>
      <c r="P272" s="156">
        <v>0</v>
      </c>
      <c r="Q272" s="192">
        <v>0</v>
      </c>
      <c r="R272" s="113"/>
      <c r="S272" s="116"/>
      <c r="T272" s="2"/>
    </row>
    <row r="273" spans="1:20" ht="15.6" x14ac:dyDescent="0.3">
      <c r="A273" s="112"/>
      <c r="B273" s="155" t="s">
        <v>119</v>
      </c>
      <c r="C273" s="191"/>
      <c r="D273" s="191"/>
      <c r="E273" s="191"/>
      <c r="F273" s="191"/>
      <c r="G273" s="191"/>
      <c r="H273" s="191"/>
      <c r="I273" s="191"/>
      <c r="J273" s="191"/>
      <c r="K273" s="191"/>
      <c r="L273" s="191"/>
      <c r="M273" s="191"/>
      <c r="N273" s="155">
        <v>0</v>
      </c>
      <c r="O273" s="192">
        <v>0</v>
      </c>
      <c r="P273" s="156">
        <v>0</v>
      </c>
      <c r="Q273" s="192">
        <v>0</v>
      </c>
      <c r="R273" s="113"/>
      <c r="S273" s="116"/>
      <c r="T273" s="2"/>
    </row>
    <row r="274" spans="1:20" ht="15.6" x14ac:dyDescent="0.3">
      <c r="A274" s="112"/>
      <c r="B274" s="155" t="s">
        <v>120</v>
      </c>
      <c r="C274" s="191"/>
      <c r="D274" s="191"/>
      <c r="E274" s="191"/>
      <c r="F274" s="191"/>
      <c r="G274" s="191"/>
      <c r="H274" s="191"/>
      <c r="I274" s="191"/>
      <c r="J274" s="191"/>
      <c r="K274" s="191"/>
      <c r="L274" s="191"/>
      <c r="M274" s="191"/>
      <c r="N274" s="155">
        <v>0</v>
      </c>
      <c r="O274" s="192">
        <v>0</v>
      </c>
      <c r="P274" s="156">
        <v>0</v>
      </c>
      <c r="Q274" s="192">
        <v>0</v>
      </c>
      <c r="R274" s="113"/>
      <c r="S274" s="116"/>
      <c r="T274" s="2"/>
    </row>
    <row r="275" spans="1:20" ht="15.6" x14ac:dyDescent="0.3">
      <c r="A275" s="112"/>
      <c r="B275" s="155" t="s">
        <v>121</v>
      </c>
      <c r="C275" s="191"/>
      <c r="D275" s="191"/>
      <c r="E275" s="191"/>
      <c r="F275" s="191"/>
      <c r="G275" s="191"/>
      <c r="H275" s="191"/>
      <c r="I275" s="191"/>
      <c r="J275" s="191"/>
      <c r="K275" s="191"/>
      <c r="L275" s="191"/>
      <c r="M275" s="191"/>
      <c r="N275" s="155">
        <v>0</v>
      </c>
      <c r="O275" s="192">
        <v>0</v>
      </c>
      <c r="P275" s="156">
        <v>0</v>
      </c>
      <c r="Q275" s="192">
        <v>0</v>
      </c>
      <c r="R275" s="113"/>
      <c r="S275" s="116"/>
      <c r="T275" s="2"/>
    </row>
    <row r="276" spans="1:20" ht="15.6" x14ac:dyDescent="0.3">
      <c r="A276" s="112"/>
      <c r="B276" s="155" t="s">
        <v>122</v>
      </c>
      <c r="C276" s="191"/>
      <c r="D276" s="191"/>
      <c r="E276" s="191"/>
      <c r="F276" s="191"/>
      <c r="G276" s="191"/>
      <c r="H276" s="191"/>
      <c r="I276" s="191"/>
      <c r="J276" s="191"/>
      <c r="K276" s="191"/>
      <c r="L276" s="191"/>
      <c r="M276" s="191"/>
      <c r="N276" s="155">
        <v>0</v>
      </c>
      <c r="O276" s="192">
        <v>0</v>
      </c>
      <c r="P276" s="156">
        <v>0</v>
      </c>
      <c r="Q276" s="192">
        <v>0</v>
      </c>
      <c r="R276" s="113"/>
      <c r="S276" s="116"/>
      <c r="T276" s="2"/>
    </row>
    <row r="277" spans="1:20" ht="15.6" x14ac:dyDescent="0.3">
      <c r="A277" s="112"/>
      <c r="B277" s="155" t="s">
        <v>123</v>
      </c>
      <c r="C277" s="191"/>
      <c r="D277" s="191"/>
      <c r="E277" s="191"/>
      <c r="F277" s="191"/>
      <c r="G277" s="191"/>
      <c r="H277" s="191"/>
      <c r="I277" s="191"/>
      <c r="J277" s="191"/>
      <c r="K277" s="191"/>
      <c r="L277" s="191"/>
      <c r="M277" s="191"/>
      <c r="N277" s="155">
        <v>0</v>
      </c>
      <c r="O277" s="192">
        <v>0</v>
      </c>
      <c r="P277" s="156">
        <v>0</v>
      </c>
      <c r="Q277" s="192">
        <v>0</v>
      </c>
      <c r="R277" s="113"/>
      <c r="S277" s="116"/>
      <c r="T277" s="2"/>
    </row>
    <row r="278" spans="1:20" ht="15.6" x14ac:dyDescent="0.3">
      <c r="A278" s="112"/>
      <c r="B278" s="155"/>
      <c r="C278" s="191"/>
      <c r="D278" s="191"/>
      <c r="E278" s="191"/>
      <c r="F278" s="191"/>
      <c r="G278" s="191"/>
      <c r="H278" s="191"/>
      <c r="I278" s="191"/>
      <c r="J278" s="191"/>
      <c r="K278" s="191"/>
      <c r="L278" s="191"/>
      <c r="M278" s="191"/>
      <c r="N278" s="155"/>
      <c r="O278" s="192"/>
      <c r="P278" s="156"/>
      <c r="Q278" s="192"/>
      <c r="R278" s="113"/>
      <c r="S278" s="116"/>
      <c r="T278" s="2"/>
    </row>
    <row r="279" spans="1:20" ht="15.6" x14ac:dyDescent="0.3">
      <c r="A279" s="112"/>
      <c r="B279" s="113" t="s">
        <v>94</v>
      </c>
      <c r="C279" s="113"/>
      <c r="D279" s="194"/>
      <c r="E279" s="194"/>
      <c r="F279" s="194"/>
      <c r="G279" s="194"/>
      <c r="H279" s="194"/>
      <c r="I279" s="194"/>
      <c r="J279" s="194"/>
      <c r="K279" s="194"/>
      <c r="L279" s="194"/>
      <c r="M279" s="194"/>
      <c r="N279" s="155">
        <f>SUM(N270:N278)</f>
        <v>0</v>
      </c>
      <c r="O279" s="192">
        <f>SUM(O270:O278)</f>
        <v>0</v>
      </c>
      <c r="P279" s="156">
        <f>SUM(P270:P278)</f>
        <v>0</v>
      </c>
      <c r="Q279" s="192">
        <f>SUM(Q270:Q278)</f>
        <v>0</v>
      </c>
      <c r="R279" s="113"/>
      <c r="S279" s="116"/>
      <c r="T279" s="2"/>
    </row>
    <row r="280" spans="1:20" ht="15.6" x14ac:dyDescent="0.3">
      <c r="A280" s="12"/>
      <c r="B280" s="43"/>
      <c r="C280" s="43"/>
      <c r="D280" s="188"/>
      <c r="E280" s="188"/>
      <c r="F280" s="188"/>
      <c r="G280" s="188"/>
      <c r="H280" s="188"/>
      <c r="I280" s="188"/>
      <c r="J280" s="188"/>
      <c r="K280" s="188"/>
      <c r="L280" s="188"/>
      <c r="M280" s="188"/>
      <c r="N280" s="153"/>
      <c r="O280" s="189"/>
      <c r="P280" s="190"/>
      <c r="Q280" s="189"/>
      <c r="R280" s="43"/>
      <c r="S280" s="217"/>
      <c r="T280" s="2"/>
    </row>
    <row r="281" spans="1:20" ht="15.6" x14ac:dyDescent="0.3">
      <c r="A281" s="73"/>
      <c r="B281" s="61" t="s">
        <v>125</v>
      </c>
      <c r="C281" s="74"/>
      <c r="D281" s="76"/>
      <c r="E281" s="76"/>
      <c r="F281" s="76"/>
      <c r="G281" s="76"/>
      <c r="H281" s="76"/>
      <c r="I281" s="76"/>
      <c r="J281" s="76"/>
      <c r="K281" s="76"/>
      <c r="L281" s="76"/>
      <c r="M281" s="76"/>
      <c r="N281" s="72" t="s">
        <v>83</v>
      </c>
      <c r="O281" s="62" t="s">
        <v>84</v>
      </c>
      <c r="P281" s="72" t="s">
        <v>89</v>
      </c>
      <c r="Q281" s="62" t="s">
        <v>84</v>
      </c>
      <c r="R281" s="74"/>
      <c r="S281" s="75"/>
      <c r="T281" s="2"/>
    </row>
    <row r="282" spans="1:20" ht="15.6" x14ac:dyDescent="0.3">
      <c r="A282" s="77"/>
      <c r="B282" s="78" t="s">
        <v>72</v>
      </c>
      <c r="C282" s="79"/>
      <c r="D282" s="80"/>
      <c r="E282" s="80"/>
      <c r="F282" s="80"/>
      <c r="G282" s="80"/>
      <c r="H282" s="80"/>
      <c r="I282" s="80"/>
      <c r="J282" s="80"/>
      <c r="K282" s="80"/>
      <c r="L282" s="80"/>
      <c r="M282" s="80"/>
      <c r="N282" s="78">
        <v>0</v>
      </c>
      <c r="O282" s="81">
        <v>0</v>
      </c>
      <c r="P282" s="82">
        <v>0</v>
      </c>
      <c r="Q282" s="81">
        <v>0</v>
      </c>
      <c r="R282" s="79"/>
      <c r="S282" s="220"/>
      <c r="T282" s="2"/>
    </row>
    <row r="283" spans="1:20" ht="15.6" x14ac:dyDescent="0.3">
      <c r="A283" s="122"/>
      <c r="B283" s="155" t="s">
        <v>73</v>
      </c>
      <c r="C283" s="113"/>
      <c r="D283" s="194"/>
      <c r="E283" s="194"/>
      <c r="F283" s="194"/>
      <c r="G283" s="194"/>
      <c r="H283" s="194"/>
      <c r="I283" s="194"/>
      <c r="J283" s="194"/>
      <c r="K283" s="194"/>
      <c r="L283" s="194"/>
      <c r="M283" s="194"/>
      <c r="N283" s="155">
        <v>0</v>
      </c>
      <c r="O283" s="192">
        <v>0</v>
      </c>
      <c r="P283" s="156">
        <v>0</v>
      </c>
      <c r="Q283" s="192">
        <v>0</v>
      </c>
      <c r="R283" s="113"/>
      <c r="S283" s="116"/>
      <c r="T283" s="2"/>
    </row>
    <row r="284" spans="1:20" ht="15.6" x14ac:dyDescent="0.3">
      <c r="A284" s="122"/>
      <c r="B284" s="155" t="s">
        <v>74</v>
      </c>
      <c r="C284" s="113"/>
      <c r="D284" s="194"/>
      <c r="E284" s="194"/>
      <c r="F284" s="194"/>
      <c r="G284" s="194"/>
      <c r="H284" s="194"/>
      <c r="I284" s="194"/>
      <c r="J284" s="194"/>
      <c r="K284" s="194"/>
      <c r="L284" s="194"/>
      <c r="M284" s="194"/>
      <c r="N284" s="155">
        <v>0</v>
      </c>
      <c r="O284" s="192">
        <v>0</v>
      </c>
      <c r="P284" s="156">
        <v>0</v>
      </c>
      <c r="Q284" s="192">
        <v>0</v>
      </c>
      <c r="R284" s="113"/>
      <c r="S284" s="116"/>
      <c r="T284" s="2"/>
    </row>
    <row r="285" spans="1:20" ht="15.6" x14ac:dyDescent="0.3">
      <c r="A285" s="122"/>
      <c r="B285" s="155" t="s">
        <v>119</v>
      </c>
      <c r="C285" s="113"/>
      <c r="D285" s="194"/>
      <c r="E285" s="194"/>
      <c r="F285" s="194"/>
      <c r="G285" s="194"/>
      <c r="H285" s="194"/>
      <c r="I285" s="194"/>
      <c r="J285" s="194"/>
      <c r="K285" s="194"/>
      <c r="L285" s="194"/>
      <c r="M285" s="194"/>
      <c r="N285" s="155">
        <v>0</v>
      </c>
      <c r="O285" s="192">
        <v>0</v>
      </c>
      <c r="P285" s="156">
        <v>0</v>
      </c>
      <c r="Q285" s="192">
        <v>0</v>
      </c>
      <c r="R285" s="113"/>
      <c r="S285" s="116"/>
      <c r="T285" s="2"/>
    </row>
    <row r="286" spans="1:20" ht="15.6" x14ac:dyDescent="0.3">
      <c r="A286" s="122"/>
      <c r="B286" s="155" t="s">
        <v>120</v>
      </c>
      <c r="C286" s="113"/>
      <c r="D286" s="194"/>
      <c r="E286" s="194"/>
      <c r="F286" s="194"/>
      <c r="G286" s="194"/>
      <c r="H286" s="194"/>
      <c r="I286" s="194"/>
      <c r="J286" s="194"/>
      <c r="K286" s="194"/>
      <c r="L286" s="194"/>
      <c r="M286" s="194"/>
      <c r="N286" s="155">
        <v>0</v>
      </c>
      <c r="O286" s="192">
        <v>0</v>
      </c>
      <c r="P286" s="156">
        <v>0</v>
      </c>
      <c r="Q286" s="192">
        <v>0</v>
      </c>
      <c r="R286" s="113"/>
      <c r="S286" s="116"/>
      <c r="T286" s="2"/>
    </row>
    <row r="287" spans="1:20" ht="15.6" x14ac:dyDescent="0.3">
      <c r="A287" s="122"/>
      <c r="B287" s="155" t="s">
        <v>121</v>
      </c>
      <c r="C287" s="113"/>
      <c r="D287" s="194"/>
      <c r="E287" s="194"/>
      <c r="F287" s="194"/>
      <c r="G287" s="194"/>
      <c r="H287" s="194"/>
      <c r="I287" s="194"/>
      <c r="J287" s="194"/>
      <c r="K287" s="194"/>
      <c r="L287" s="194"/>
      <c r="M287" s="194"/>
      <c r="N287" s="155">
        <v>0</v>
      </c>
      <c r="O287" s="192">
        <v>0</v>
      </c>
      <c r="P287" s="156">
        <v>0</v>
      </c>
      <c r="Q287" s="192">
        <v>0</v>
      </c>
      <c r="R287" s="113"/>
      <c r="S287" s="116"/>
      <c r="T287" s="2"/>
    </row>
    <row r="288" spans="1:20" ht="15.6" x14ac:dyDescent="0.3">
      <c r="A288" s="122"/>
      <c r="B288" s="155" t="s">
        <v>122</v>
      </c>
      <c r="C288" s="113"/>
      <c r="D288" s="194"/>
      <c r="E288" s="194"/>
      <c r="F288" s="194"/>
      <c r="G288" s="194"/>
      <c r="H288" s="194"/>
      <c r="I288" s="194"/>
      <c r="J288" s="194"/>
      <c r="K288" s="194"/>
      <c r="L288" s="194"/>
      <c r="M288" s="194"/>
      <c r="N288" s="155">
        <v>0</v>
      </c>
      <c r="O288" s="192">
        <v>0</v>
      </c>
      <c r="P288" s="156">
        <v>0</v>
      </c>
      <c r="Q288" s="192">
        <v>0</v>
      </c>
      <c r="R288" s="113"/>
      <c r="S288" s="116"/>
      <c r="T288" s="2"/>
    </row>
    <row r="289" spans="1:20" ht="15.6" x14ac:dyDescent="0.3">
      <c r="A289" s="122"/>
      <c r="B289" s="155" t="s">
        <v>123</v>
      </c>
      <c r="C289" s="113"/>
      <c r="D289" s="194"/>
      <c r="E289" s="194"/>
      <c r="F289" s="194"/>
      <c r="G289" s="194"/>
      <c r="H289" s="194"/>
      <c r="I289" s="194"/>
      <c r="J289" s="194"/>
      <c r="K289" s="194"/>
      <c r="L289" s="194"/>
      <c r="M289" s="194"/>
      <c r="N289" s="155">
        <v>0</v>
      </c>
      <c r="O289" s="192">
        <v>0</v>
      </c>
      <c r="P289" s="156">
        <v>0</v>
      </c>
      <c r="Q289" s="192">
        <v>0</v>
      </c>
      <c r="R289" s="113"/>
      <c r="S289" s="116"/>
      <c r="T289" s="2"/>
    </row>
    <row r="290" spans="1:20" ht="15.6" x14ac:dyDescent="0.3">
      <c r="A290" s="122"/>
      <c r="B290" s="155"/>
      <c r="C290" s="113"/>
      <c r="D290" s="194"/>
      <c r="E290" s="194"/>
      <c r="F290" s="194"/>
      <c r="G290" s="194"/>
      <c r="H290" s="194"/>
      <c r="I290" s="194"/>
      <c r="J290" s="194"/>
      <c r="K290" s="194"/>
      <c r="L290" s="194"/>
      <c r="M290" s="194"/>
      <c r="N290" s="155"/>
      <c r="O290" s="192"/>
      <c r="P290" s="156"/>
      <c r="Q290" s="192"/>
      <c r="R290" s="113"/>
      <c r="S290" s="116"/>
      <c r="T290" s="2"/>
    </row>
    <row r="291" spans="1:20" ht="15.6" x14ac:dyDescent="0.3">
      <c r="A291" s="122"/>
      <c r="B291" s="113" t="s">
        <v>94</v>
      </c>
      <c r="C291" s="113"/>
      <c r="D291" s="194"/>
      <c r="E291" s="194"/>
      <c r="F291" s="194"/>
      <c r="G291" s="194"/>
      <c r="H291" s="194"/>
      <c r="I291" s="194"/>
      <c r="J291" s="194"/>
      <c r="K291" s="194"/>
      <c r="L291" s="194"/>
      <c r="M291" s="194"/>
      <c r="N291" s="155">
        <f>SUM(N282:N289)</f>
        <v>0</v>
      </c>
      <c r="O291" s="192">
        <f>SUM(O282:O289)</f>
        <v>0</v>
      </c>
      <c r="P291" s="156">
        <f>SUM(P282:P289)</f>
        <v>0</v>
      </c>
      <c r="Q291" s="192">
        <f>SUM(Q282:Q289)</f>
        <v>0</v>
      </c>
      <c r="R291" s="113"/>
      <c r="S291" s="116"/>
      <c r="T291" s="2"/>
    </row>
    <row r="292" spans="1:20" ht="15.6" x14ac:dyDescent="0.3">
      <c r="A292" s="122"/>
      <c r="B292" s="113"/>
      <c r="C292" s="113"/>
      <c r="D292" s="194"/>
      <c r="E292" s="194"/>
      <c r="F292" s="194"/>
      <c r="G292" s="194"/>
      <c r="H292" s="194"/>
      <c r="I292" s="194"/>
      <c r="J292" s="194"/>
      <c r="K292" s="194"/>
      <c r="L292" s="194"/>
      <c r="M292" s="194"/>
      <c r="N292" s="155"/>
      <c r="O292" s="192"/>
      <c r="P292" s="156"/>
      <c r="Q292" s="192"/>
      <c r="R292" s="113"/>
      <c r="S292" s="116"/>
      <c r="T292" s="2"/>
    </row>
    <row r="293" spans="1:20" ht="15.6" x14ac:dyDescent="0.3">
      <c r="A293" s="122"/>
      <c r="B293" s="124" t="s">
        <v>177</v>
      </c>
      <c r="C293" s="113"/>
      <c r="D293" s="194"/>
      <c r="E293" s="194"/>
      <c r="F293" s="194"/>
      <c r="G293" s="194"/>
      <c r="H293" s="194"/>
      <c r="I293" s="194"/>
      <c r="J293" s="194"/>
      <c r="K293" s="194"/>
      <c r="L293" s="194"/>
      <c r="M293" s="194"/>
      <c r="N293" s="196">
        <f>N291+N279+N267</f>
        <v>1461</v>
      </c>
      <c r="O293" s="192"/>
      <c r="P293" s="197">
        <f>+P291+P279+P267</f>
        <v>235170</v>
      </c>
      <c r="Q293" s="192"/>
      <c r="R293" s="113"/>
      <c r="S293" s="116"/>
      <c r="T293" s="2"/>
    </row>
    <row r="294" spans="1:20" ht="15.6" x14ac:dyDescent="0.3">
      <c r="A294" s="122"/>
      <c r="B294" s="124" t="s">
        <v>217</v>
      </c>
      <c r="C294" s="124"/>
      <c r="D294" s="205"/>
      <c r="E294" s="205"/>
      <c r="F294" s="205"/>
      <c r="G294" s="205"/>
      <c r="H294" s="205"/>
      <c r="I294" s="205"/>
      <c r="J294" s="205"/>
      <c r="K294" s="205"/>
      <c r="L294" s="205"/>
      <c r="M294" s="205"/>
      <c r="N294" s="196"/>
      <c r="O294" s="206"/>
      <c r="P294" s="207">
        <f>+R180</f>
        <v>0</v>
      </c>
      <c r="Q294" s="192"/>
      <c r="R294" s="113"/>
      <c r="S294" s="116"/>
      <c r="T294" s="2"/>
    </row>
    <row r="295" spans="1:20" ht="15.6" x14ac:dyDescent="0.3">
      <c r="A295" s="122"/>
      <c r="B295" s="124" t="s">
        <v>126</v>
      </c>
      <c r="C295" s="124"/>
      <c r="D295" s="205"/>
      <c r="E295" s="205"/>
      <c r="F295" s="205"/>
      <c r="G295" s="205"/>
      <c r="H295" s="205"/>
      <c r="I295" s="205"/>
      <c r="J295" s="205"/>
      <c r="K295" s="205"/>
      <c r="L295" s="205"/>
      <c r="M295" s="205"/>
      <c r="N295" s="196"/>
      <c r="O295" s="206"/>
      <c r="P295" s="207">
        <f>+P293+P294</f>
        <v>235170</v>
      </c>
      <c r="Q295" s="192"/>
      <c r="R295" s="113"/>
      <c r="S295" s="116"/>
      <c r="T295" s="2"/>
    </row>
    <row r="296" spans="1:20" ht="15.6" x14ac:dyDescent="0.3">
      <c r="A296" s="122"/>
      <c r="B296" s="124" t="s">
        <v>176</v>
      </c>
      <c r="C296" s="113"/>
      <c r="D296" s="194"/>
      <c r="E296" s="194"/>
      <c r="F296" s="194"/>
      <c r="G296" s="194"/>
      <c r="H296" s="194"/>
      <c r="I296" s="194"/>
      <c r="J296" s="194"/>
      <c r="K296" s="194"/>
      <c r="L296" s="194"/>
      <c r="M296" s="194"/>
      <c r="N296" s="196"/>
      <c r="O296" s="192"/>
      <c r="P296" s="197">
        <f>+R80</f>
        <v>235170</v>
      </c>
      <c r="Q296" s="192"/>
      <c r="R296" s="113"/>
      <c r="S296" s="116"/>
      <c r="T296" s="2"/>
    </row>
    <row r="297" spans="1:20" ht="15.6" x14ac:dyDescent="0.3">
      <c r="A297" s="122"/>
      <c r="B297" s="124"/>
      <c r="C297" s="113"/>
      <c r="D297" s="194"/>
      <c r="E297" s="194"/>
      <c r="F297" s="194"/>
      <c r="G297" s="194"/>
      <c r="H297" s="194"/>
      <c r="I297" s="194"/>
      <c r="J297" s="194"/>
      <c r="K297" s="194"/>
      <c r="L297" s="194"/>
      <c r="M297" s="194"/>
      <c r="N297" s="196"/>
      <c r="O297" s="192"/>
      <c r="P297" s="197"/>
      <c r="Q297" s="192"/>
      <c r="R297" s="113"/>
      <c r="S297" s="116"/>
      <c r="T297" s="2"/>
    </row>
    <row r="298" spans="1:20" ht="15.6" x14ac:dyDescent="0.3">
      <c r="A298" s="122"/>
      <c r="B298" s="124" t="s">
        <v>202</v>
      </c>
      <c r="C298" s="113"/>
      <c r="D298" s="194"/>
      <c r="E298" s="194"/>
      <c r="F298" s="194"/>
      <c r="G298" s="194"/>
      <c r="H298" s="194"/>
      <c r="I298" s="194"/>
      <c r="J298" s="194"/>
      <c r="K298" s="194"/>
      <c r="L298" s="194"/>
      <c r="M298" s="194"/>
      <c r="N298" s="196"/>
      <c r="O298" s="192"/>
      <c r="P298" s="214">
        <f>(L33+R147)/R33</f>
        <v>6.3792183915679659E-2</v>
      </c>
      <c r="Q298" s="192"/>
      <c r="R298" s="113"/>
      <c r="S298" s="116"/>
      <c r="T298" s="2"/>
    </row>
    <row r="299" spans="1:20" ht="15.6" x14ac:dyDescent="0.3">
      <c r="A299" s="83"/>
      <c r="B299" s="84"/>
      <c r="C299" s="84"/>
      <c r="D299" s="85"/>
      <c r="E299" s="85"/>
      <c r="F299" s="85"/>
      <c r="G299" s="85"/>
      <c r="H299" s="85"/>
      <c r="I299" s="85"/>
      <c r="J299" s="85"/>
      <c r="K299" s="85"/>
      <c r="L299" s="85"/>
      <c r="M299" s="85"/>
      <c r="N299" s="85"/>
      <c r="O299" s="85"/>
      <c r="P299" s="86"/>
      <c r="Q299" s="85"/>
      <c r="R299" s="84"/>
      <c r="S299" s="218"/>
      <c r="T299" s="2"/>
    </row>
    <row r="300" spans="1:20" ht="15.6" x14ac:dyDescent="0.3">
      <c r="A300" s="87"/>
      <c r="B300" s="88" t="s">
        <v>75</v>
      </c>
      <c r="C300" s="84"/>
      <c r="D300" s="89" t="s">
        <v>79</v>
      </c>
      <c r="E300" s="88"/>
      <c r="F300" s="88" t="s">
        <v>80</v>
      </c>
      <c r="G300" s="84"/>
      <c r="H300" s="88"/>
      <c r="I300" s="90"/>
      <c r="J300" s="90"/>
      <c r="K300" s="90"/>
      <c r="L300" s="90"/>
      <c r="M300" s="90"/>
      <c r="N300" s="90"/>
      <c r="O300" s="90"/>
      <c r="P300" s="90"/>
      <c r="Q300" s="90"/>
      <c r="R300" s="90"/>
      <c r="S300" s="229"/>
      <c r="T300" s="2"/>
    </row>
    <row r="301" spans="1:20" ht="15.6" x14ac:dyDescent="0.3">
      <c r="A301" s="87"/>
      <c r="B301" s="90"/>
      <c r="C301" s="84"/>
      <c r="D301" s="84"/>
      <c r="E301" s="84"/>
      <c r="F301" s="84"/>
      <c r="G301" s="84"/>
      <c r="H301" s="84"/>
      <c r="I301" s="90"/>
      <c r="J301" s="90"/>
      <c r="K301" s="90"/>
      <c r="L301" s="90"/>
      <c r="M301" s="90"/>
      <c r="N301" s="90"/>
      <c r="O301" s="90"/>
      <c r="P301" s="90"/>
      <c r="Q301" s="90"/>
      <c r="R301" s="90"/>
      <c r="S301" s="229"/>
      <c r="T301" s="2"/>
    </row>
    <row r="302" spans="1:20" ht="15.6" x14ac:dyDescent="0.3">
      <c r="A302" s="87"/>
      <c r="B302" s="213" t="s">
        <v>193</v>
      </c>
      <c r="C302" s="88"/>
      <c r="D302" s="91" t="s">
        <v>147</v>
      </c>
      <c r="E302" s="88"/>
      <c r="F302" s="88" t="s">
        <v>148</v>
      </c>
      <c r="G302" s="88"/>
      <c r="H302" s="88"/>
      <c r="I302" s="90"/>
      <c r="J302" s="90"/>
      <c r="K302" s="90"/>
      <c r="L302" s="90"/>
      <c r="M302" s="90"/>
      <c r="N302" s="90"/>
      <c r="O302" s="90"/>
      <c r="P302" s="90"/>
      <c r="Q302" s="90"/>
      <c r="R302" s="90"/>
      <c r="S302" s="229"/>
      <c r="T302" s="2"/>
    </row>
    <row r="303" spans="1:20" ht="15.6" x14ac:dyDescent="0.3">
      <c r="A303" s="87"/>
      <c r="B303" s="213" t="s">
        <v>194</v>
      </c>
      <c r="C303" s="88"/>
      <c r="D303" s="91" t="s">
        <v>114</v>
      </c>
      <c r="E303" s="88"/>
      <c r="F303" s="88" t="s">
        <v>117</v>
      </c>
      <c r="G303" s="88"/>
      <c r="H303" s="88"/>
      <c r="I303" s="90"/>
      <c r="J303" s="90"/>
      <c r="K303" s="90"/>
      <c r="L303" s="90"/>
      <c r="M303" s="90"/>
      <c r="N303" s="90"/>
      <c r="O303" s="90"/>
      <c r="P303" s="90"/>
      <c r="Q303" s="90"/>
      <c r="R303" s="90"/>
      <c r="S303" s="229"/>
      <c r="T303" s="2"/>
    </row>
    <row r="304" spans="1:20" ht="15.6" x14ac:dyDescent="0.3">
      <c r="A304" s="87"/>
      <c r="B304" s="88"/>
      <c r="C304" s="88"/>
      <c r="D304" s="90"/>
      <c r="E304" s="90"/>
      <c r="F304" s="90"/>
      <c r="G304" s="90"/>
      <c r="H304" s="90"/>
      <c r="I304" s="90"/>
      <c r="J304" s="90"/>
      <c r="K304" s="90"/>
      <c r="L304" s="90"/>
      <c r="M304" s="90"/>
      <c r="N304" s="90"/>
      <c r="O304" s="90"/>
      <c r="P304" s="90"/>
      <c r="Q304" s="90"/>
      <c r="R304" s="90"/>
      <c r="S304" s="229"/>
      <c r="T304" s="2"/>
    </row>
    <row r="305" spans="1:20" ht="15.6" x14ac:dyDescent="0.3">
      <c r="A305" s="87"/>
      <c r="B305" s="88"/>
      <c r="C305" s="88"/>
      <c r="D305" s="90"/>
      <c r="E305" s="90"/>
      <c r="F305" s="90"/>
      <c r="G305" s="90"/>
      <c r="H305" s="90"/>
      <c r="I305" s="90"/>
      <c r="J305" s="90"/>
      <c r="K305" s="90"/>
      <c r="L305" s="90"/>
      <c r="M305" s="90"/>
      <c r="N305" s="90"/>
      <c r="O305" s="90"/>
      <c r="P305" s="90"/>
      <c r="Q305" s="90"/>
      <c r="R305" s="90"/>
      <c r="S305" s="229"/>
      <c r="T305" s="2"/>
    </row>
    <row r="306" spans="1:20" ht="18" thickBot="1" x14ac:dyDescent="0.35">
      <c r="A306" s="87"/>
      <c r="B306" s="92" t="str">
        <f>B205</f>
        <v>PM22 INVESTOR REPORT QUARTER ENDING FEBRUARY 2017</v>
      </c>
      <c r="C306" s="88"/>
      <c r="D306" s="90"/>
      <c r="E306" s="90"/>
      <c r="F306" s="90"/>
      <c r="G306" s="90"/>
      <c r="H306" s="90"/>
      <c r="I306" s="90"/>
      <c r="J306" s="90"/>
      <c r="K306" s="90"/>
      <c r="L306" s="90"/>
      <c r="M306" s="90"/>
      <c r="N306" s="90"/>
      <c r="O306" s="90"/>
      <c r="P306" s="90"/>
      <c r="Q306" s="90"/>
      <c r="R306" s="90"/>
      <c r="S306" s="99"/>
      <c r="T306" s="2"/>
    </row>
    <row r="307" spans="1:20" x14ac:dyDescent="0.25">
      <c r="A307" s="3"/>
      <c r="B307" s="3"/>
      <c r="C307" s="3"/>
      <c r="D307" s="3"/>
      <c r="E307" s="3"/>
      <c r="F307" s="3"/>
      <c r="G307" s="3"/>
      <c r="H307" s="3"/>
      <c r="I307" s="3"/>
      <c r="J307" s="3"/>
      <c r="K307" s="3"/>
      <c r="L307" s="3"/>
      <c r="M307" s="3"/>
      <c r="N307" s="3"/>
      <c r="O307" s="3"/>
      <c r="P307" s="3"/>
      <c r="Q307" s="3"/>
      <c r="R307" s="3"/>
      <c r="S307" s="3"/>
    </row>
  </sheetData>
  <hyperlinks>
    <hyperlink ref="N243"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R307"/>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221</v>
      </c>
      <c r="C1" s="11"/>
      <c r="D1" s="11"/>
      <c r="E1" s="11"/>
      <c r="F1" s="11"/>
      <c r="G1" s="11"/>
      <c r="H1" s="11"/>
      <c r="I1" s="11"/>
      <c r="J1" s="11"/>
      <c r="K1" s="11"/>
      <c r="L1" s="11"/>
      <c r="M1" s="11"/>
      <c r="N1" s="11"/>
      <c r="O1" s="11"/>
      <c r="P1" s="11"/>
      <c r="Q1" s="11"/>
      <c r="R1" s="11"/>
      <c r="S1" s="216"/>
      <c r="T1" s="2"/>
    </row>
    <row r="2" spans="1:20" ht="15.6" x14ac:dyDescent="0.3">
      <c r="A2" s="12"/>
      <c r="B2" s="13"/>
      <c r="C2" s="14"/>
      <c r="D2" s="14"/>
      <c r="E2" s="14"/>
      <c r="F2" s="14"/>
      <c r="G2" s="14"/>
      <c r="H2" s="14"/>
      <c r="I2" s="14"/>
      <c r="J2" s="14"/>
      <c r="K2" s="14"/>
      <c r="L2" s="14"/>
      <c r="M2" s="14"/>
      <c r="N2" s="14"/>
      <c r="O2" s="14"/>
      <c r="P2" s="14"/>
      <c r="Q2" s="14"/>
      <c r="R2" s="14"/>
      <c r="S2" s="217"/>
      <c r="T2" s="2"/>
    </row>
    <row r="3" spans="1:20" ht="15.6" x14ac:dyDescent="0.3">
      <c r="A3" s="15"/>
      <c r="B3" s="16" t="s">
        <v>222</v>
      </c>
      <c r="C3" s="14"/>
      <c r="D3" s="14"/>
      <c r="E3" s="14"/>
      <c r="F3" s="14"/>
      <c r="G3" s="14"/>
      <c r="H3" s="14"/>
      <c r="I3" s="14"/>
      <c r="J3" s="14"/>
      <c r="K3" s="14"/>
      <c r="L3" s="14"/>
      <c r="M3" s="14"/>
      <c r="N3" s="14"/>
      <c r="O3" s="14"/>
      <c r="P3" s="14"/>
      <c r="Q3" s="14"/>
      <c r="R3" s="14"/>
      <c r="S3" s="217"/>
      <c r="T3" s="2"/>
    </row>
    <row r="4" spans="1:20" ht="15.6" x14ac:dyDescent="0.3">
      <c r="A4" s="12"/>
      <c r="B4" s="13"/>
      <c r="C4" s="14"/>
      <c r="D4" s="14"/>
      <c r="E4" s="14"/>
      <c r="F4" s="14"/>
      <c r="G4" s="14"/>
      <c r="H4" s="14"/>
      <c r="I4" s="14"/>
      <c r="J4" s="14"/>
      <c r="K4" s="14"/>
      <c r="L4" s="14"/>
      <c r="M4" s="14"/>
      <c r="N4" s="14"/>
      <c r="O4" s="14"/>
      <c r="P4" s="14"/>
      <c r="Q4" s="14"/>
      <c r="R4" s="14"/>
      <c r="S4" s="217"/>
      <c r="T4" s="2"/>
    </row>
    <row r="5" spans="1:20" ht="15.6" x14ac:dyDescent="0.3">
      <c r="A5" s="12"/>
      <c r="B5" s="102" t="s">
        <v>109</v>
      </c>
      <c r="C5" s="14"/>
      <c r="D5" s="14"/>
      <c r="E5" s="14"/>
      <c r="F5" s="14"/>
      <c r="G5" s="14"/>
      <c r="H5" s="14"/>
      <c r="I5" s="14"/>
      <c r="J5" s="14"/>
      <c r="K5" s="14"/>
      <c r="L5" s="14"/>
      <c r="M5" s="14"/>
      <c r="N5" s="14"/>
      <c r="O5" s="14"/>
      <c r="P5" s="14"/>
      <c r="Q5" s="14"/>
      <c r="R5" s="14"/>
      <c r="S5" s="217"/>
      <c r="T5" s="2"/>
    </row>
    <row r="6" spans="1:20" ht="15.6" x14ac:dyDescent="0.3">
      <c r="A6" s="12"/>
      <c r="B6" s="102" t="s">
        <v>111</v>
      </c>
      <c r="C6" s="14"/>
      <c r="D6" s="14"/>
      <c r="E6" s="14"/>
      <c r="F6" s="14"/>
      <c r="G6" s="14"/>
      <c r="H6" s="14"/>
      <c r="I6" s="14"/>
      <c r="J6" s="14"/>
      <c r="K6" s="14"/>
      <c r="L6" s="14"/>
      <c r="M6" s="14"/>
      <c r="N6" s="14"/>
      <c r="O6" s="14"/>
      <c r="P6" s="14"/>
      <c r="Q6" s="14"/>
      <c r="R6" s="14"/>
      <c r="S6" s="217"/>
      <c r="T6" s="2"/>
    </row>
    <row r="7" spans="1:20" ht="15.6" x14ac:dyDescent="0.3">
      <c r="A7" s="12"/>
      <c r="B7" s="102" t="s">
        <v>110</v>
      </c>
      <c r="C7" s="14"/>
      <c r="D7" s="14"/>
      <c r="E7" s="14"/>
      <c r="F7" s="14"/>
      <c r="G7" s="14"/>
      <c r="H7" s="14"/>
      <c r="I7" s="14"/>
      <c r="J7" s="14"/>
      <c r="K7" s="14"/>
      <c r="L7" s="14"/>
      <c r="M7" s="14"/>
      <c r="N7" s="14"/>
      <c r="O7" s="14"/>
      <c r="P7" s="14"/>
      <c r="Q7" s="14"/>
      <c r="R7" s="14"/>
      <c r="S7" s="217"/>
      <c r="T7" s="2"/>
    </row>
    <row r="8" spans="1:20" ht="15.6" x14ac:dyDescent="0.3">
      <c r="A8" s="12"/>
      <c r="B8" s="17"/>
      <c r="C8" s="14"/>
      <c r="D8" s="14"/>
      <c r="E8" s="14"/>
      <c r="F8" s="14"/>
      <c r="G8" s="14"/>
      <c r="H8" s="14"/>
      <c r="I8" s="14"/>
      <c r="J8" s="14"/>
      <c r="K8" s="14"/>
      <c r="L8" s="14"/>
      <c r="M8" s="14"/>
      <c r="N8" s="14"/>
      <c r="O8" s="14"/>
      <c r="P8" s="14"/>
      <c r="Q8" s="14"/>
      <c r="R8" s="14"/>
      <c r="S8" s="217"/>
      <c r="T8" s="2"/>
    </row>
    <row r="9" spans="1:20" ht="17.399999999999999" x14ac:dyDescent="0.3">
      <c r="A9" s="12"/>
      <c r="B9" s="18" t="s">
        <v>127</v>
      </c>
      <c r="C9" s="14"/>
      <c r="D9" s="14"/>
      <c r="E9" s="19"/>
      <c r="F9" s="14"/>
      <c r="G9" s="14"/>
      <c r="H9" s="19"/>
      <c r="I9" s="14"/>
      <c r="J9" s="19"/>
      <c r="K9" s="19" t="s">
        <v>128</v>
      </c>
      <c r="L9" s="19"/>
      <c r="M9" s="14"/>
      <c r="N9" s="14"/>
      <c r="O9" s="14"/>
      <c r="P9" s="14"/>
      <c r="Q9" s="14"/>
      <c r="R9" s="14"/>
      <c r="S9" s="217"/>
      <c r="T9" s="2"/>
    </row>
    <row r="10" spans="1:20" ht="15.6" x14ac:dyDescent="0.3">
      <c r="A10" s="12"/>
      <c r="B10" s="17"/>
      <c r="C10" s="20"/>
      <c r="D10" s="14"/>
      <c r="E10" s="14"/>
      <c r="F10" s="14"/>
      <c r="G10" s="14"/>
      <c r="H10" s="14"/>
      <c r="I10" s="14"/>
      <c r="J10" s="14"/>
      <c r="K10" s="14"/>
      <c r="L10" s="14"/>
      <c r="M10" s="14"/>
      <c r="N10" s="14"/>
      <c r="O10" s="14"/>
      <c r="P10" s="14"/>
      <c r="Q10" s="14"/>
      <c r="R10" s="14"/>
      <c r="S10" s="217"/>
      <c r="T10" s="2"/>
    </row>
    <row r="11" spans="1:20" ht="15.6" x14ac:dyDescent="0.3">
      <c r="A11" s="12"/>
      <c r="B11" s="88" t="s">
        <v>0</v>
      </c>
      <c r="C11" s="14"/>
      <c r="D11" s="14"/>
      <c r="E11" s="14"/>
      <c r="F11" s="14"/>
      <c r="G11" s="14"/>
      <c r="H11" s="14"/>
      <c r="I11" s="14"/>
      <c r="J11" s="14"/>
      <c r="K11" s="14"/>
      <c r="L11" s="14"/>
      <c r="M11" s="14"/>
      <c r="N11" s="14"/>
      <c r="O11" s="14"/>
      <c r="P11" s="14"/>
      <c r="Q11" s="14"/>
      <c r="R11" s="14"/>
      <c r="S11" s="217"/>
      <c r="T11" s="2"/>
    </row>
    <row r="12" spans="1:20" ht="16.2" thickBot="1" x14ac:dyDescent="0.35">
      <c r="A12" s="12"/>
      <c r="B12" s="20"/>
      <c r="C12" s="14"/>
      <c r="D12" s="14"/>
      <c r="E12" s="14"/>
      <c r="F12" s="14"/>
      <c r="G12" s="14"/>
      <c r="H12" s="14"/>
      <c r="I12" s="14"/>
      <c r="J12" s="14"/>
      <c r="K12" s="14"/>
      <c r="L12" s="14"/>
      <c r="M12" s="14"/>
      <c r="N12" s="14"/>
      <c r="O12" s="14"/>
      <c r="P12" s="14"/>
      <c r="Q12" s="14"/>
      <c r="R12" s="14"/>
      <c r="S12" s="217"/>
      <c r="T12" s="2"/>
    </row>
    <row r="13" spans="1:20" ht="15.6" x14ac:dyDescent="0.3">
      <c r="A13" s="10"/>
      <c r="B13" s="11"/>
      <c r="C13" s="11"/>
      <c r="D13" s="11"/>
      <c r="E13" s="11"/>
      <c r="F13" s="11"/>
      <c r="G13" s="11"/>
      <c r="H13" s="11"/>
      <c r="I13" s="11"/>
      <c r="J13" s="11"/>
      <c r="K13" s="11"/>
      <c r="L13" s="11"/>
      <c r="M13" s="11"/>
      <c r="N13" s="11"/>
      <c r="O13" s="11"/>
      <c r="P13" s="11"/>
      <c r="Q13" s="11"/>
      <c r="R13" s="11"/>
      <c r="S13" s="216"/>
      <c r="T13" s="2"/>
    </row>
    <row r="14" spans="1:20" ht="15.6" x14ac:dyDescent="0.3">
      <c r="A14" s="12"/>
      <c r="B14" s="88" t="s">
        <v>1</v>
      </c>
      <c r="C14" s="84"/>
      <c r="D14" s="84"/>
      <c r="E14" s="84"/>
      <c r="F14" s="84"/>
      <c r="G14" s="84"/>
      <c r="H14" s="84"/>
      <c r="I14" s="84"/>
      <c r="J14" s="84"/>
      <c r="K14" s="84"/>
      <c r="L14" s="84"/>
      <c r="M14" s="84"/>
      <c r="N14" s="84"/>
      <c r="O14" s="84"/>
      <c r="P14" s="84"/>
      <c r="Q14" s="84"/>
      <c r="R14" s="103" t="s">
        <v>223</v>
      </c>
      <c r="S14" s="218"/>
      <c r="T14" s="2"/>
    </row>
    <row r="15" spans="1:20" ht="15.6" x14ac:dyDescent="0.3">
      <c r="A15" s="12"/>
      <c r="B15" s="88" t="s">
        <v>2</v>
      </c>
      <c r="C15" s="84"/>
      <c r="D15" s="104"/>
      <c r="E15" s="104"/>
      <c r="F15" s="104"/>
      <c r="G15" s="104"/>
      <c r="H15" s="104"/>
      <c r="I15" s="104"/>
      <c r="J15" s="104"/>
      <c r="K15" s="104"/>
      <c r="L15" s="104"/>
      <c r="M15" s="104"/>
      <c r="N15" s="105"/>
      <c r="O15" s="105"/>
      <c r="P15" s="105" t="s">
        <v>154</v>
      </c>
      <c r="Q15" s="105">
        <v>1</v>
      </c>
      <c r="R15" s="103"/>
      <c r="S15" s="218"/>
      <c r="T15" s="2"/>
    </row>
    <row r="16" spans="1:20" ht="15.6" x14ac:dyDescent="0.3">
      <c r="A16" s="12"/>
      <c r="B16" s="88" t="s">
        <v>3</v>
      </c>
      <c r="C16" s="84"/>
      <c r="D16" s="104"/>
      <c r="E16" s="104"/>
      <c r="F16" s="104"/>
      <c r="G16" s="104"/>
      <c r="H16" s="104"/>
      <c r="I16" s="104"/>
      <c r="J16" s="104"/>
      <c r="K16" s="104"/>
      <c r="L16" s="104"/>
      <c r="M16" s="104"/>
      <c r="N16" s="105"/>
      <c r="O16" s="230"/>
      <c r="P16" s="105" t="s">
        <v>154</v>
      </c>
      <c r="Q16" s="230">
        <v>1</v>
      </c>
      <c r="R16" s="103"/>
      <c r="S16" s="218"/>
      <c r="T16" s="2"/>
    </row>
    <row r="17" spans="1:23" ht="15.6" x14ac:dyDescent="0.3">
      <c r="A17" s="12"/>
      <c r="B17" s="88" t="s">
        <v>4</v>
      </c>
      <c r="C17" s="84"/>
      <c r="D17" s="84"/>
      <c r="E17" s="84"/>
      <c r="F17" s="84"/>
      <c r="G17" s="84"/>
      <c r="H17" s="84"/>
      <c r="I17" s="84"/>
      <c r="J17" s="84"/>
      <c r="K17" s="84"/>
      <c r="L17" s="84"/>
      <c r="M17" s="84"/>
      <c r="N17" s="84"/>
      <c r="O17" s="84"/>
      <c r="P17" s="84"/>
      <c r="Q17" s="84"/>
      <c r="R17" s="106">
        <v>42088</v>
      </c>
      <c r="S17" s="218"/>
      <c r="T17" s="2"/>
    </row>
    <row r="18" spans="1:23" ht="15.6" x14ac:dyDescent="0.3">
      <c r="A18" s="12"/>
      <c r="B18" s="88" t="s">
        <v>5</v>
      </c>
      <c r="C18" s="84"/>
      <c r="D18" s="84"/>
      <c r="E18" s="84"/>
      <c r="F18" s="84"/>
      <c r="G18" s="84"/>
      <c r="H18" s="84"/>
      <c r="I18" s="84"/>
      <c r="J18" s="84"/>
      <c r="K18" s="84"/>
      <c r="L18" s="84"/>
      <c r="M18" s="84"/>
      <c r="N18" s="84"/>
      <c r="O18" s="84"/>
      <c r="P18" s="84"/>
      <c r="Q18" s="84"/>
      <c r="R18" s="215">
        <v>42902</v>
      </c>
      <c r="S18" s="218"/>
      <c r="T18" s="2"/>
    </row>
    <row r="19" spans="1:23" ht="15.6" x14ac:dyDescent="0.3">
      <c r="A19" s="12"/>
      <c r="B19" s="14"/>
      <c r="C19" s="14"/>
      <c r="D19" s="14"/>
      <c r="E19" s="14"/>
      <c r="F19" s="14"/>
      <c r="G19" s="14"/>
      <c r="H19" s="14"/>
      <c r="I19" s="14"/>
      <c r="J19" s="14"/>
      <c r="K19" s="14"/>
      <c r="L19" s="14"/>
      <c r="M19" s="14"/>
      <c r="N19" s="14"/>
      <c r="O19" s="14"/>
      <c r="P19" s="14"/>
      <c r="Q19" s="14"/>
      <c r="R19" s="21"/>
      <c r="S19" s="217"/>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7"/>
      <c r="T20" s="2"/>
    </row>
    <row r="21" spans="1:23" ht="15.6" x14ac:dyDescent="0.3">
      <c r="A21" s="12"/>
      <c r="B21" s="14"/>
      <c r="C21" s="14"/>
      <c r="D21" s="14"/>
      <c r="E21" s="14"/>
      <c r="F21" s="14"/>
      <c r="G21" s="14"/>
      <c r="H21" s="14"/>
      <c r="I21" s="14"/>
      <c r="J21" s="14"/>
      <c r="K21" s="14"/>
      <c r="L21" s="14"/>
      <c r="M21" s="14"/>
      <c r="N21" s="14"/>
      <c r="O21" s="14"/>
      <c r="P21" s="14"/>
      <c r="Q21" s="14"/>
      <c r="R21" s="23"/>
      <c r="S21" s="217"/>
      <c r="T21" s="2"/>
    </row>
    <row r="22" spans="1:23" ht="15.6" x14ac:dyDescent="0.3">
      <c r="A22" s="53"/>
      <c r="B22" s="54"/>
      <c r="C22" s="55"/>
      <c r="D22" s="55" t="s">
        <v>232</v>
      </c>
      <c r="E22" s="55"/>
      <c r="F22" s="55" t="s">
        <v>233</v>
      </c>
      <c r="G22" s="55"/>
      <c r="H22" s="55" t="s">
        <v>179</v>
      </c>
      <c r="I22" s="55"/>
      <c r="J22" s="55" t="s">
        <v>180</v>
      </c>
      <c r="K22" s="55"/>
      <c r="L22" s="55" t="s">
        <v>234</v>
      </c>
      <c r="M22" s="55"/>
      <c r="N22" s="55"/>
      <c r="O22" s="56"/>
      <c r="P22" s="57"/>
      <c r="Q22" s="58"/>
      <c r="R22" s="58"/>
      <c r="S22" s="219"/>
      <c r="T22" s="2"/>
    </row>
    <row r="23" spans="1:23" ht="15.6" x14ac:dyDescent="0.3">
      <c r="A23" s="24"/>
      <c r="B23" s="79" t="s">
        <v>226</v>
      </c>
      <c r="C23" s="109"/>
      <c r="D23" s="109" t="s">
        <v>112</v>
      </c>
      <c r="E23" s="109"/>
      <c r="F23" s="109" t="s">
        <v>112</v>
      </c>
      <c r="G23" s="109"/>
      <c r="H23" s="109" t="s">
        <v>178</v>
      </c>
      <c r="I23" s="109"/>
      <c r="J23" s="109" t="s">
        <v>249</v>
      </c>
      <c r="K23" s="109"/>
      <c r="L23" s="109" t="s">
        <v>153</v>
      </c>
      <c r="M23" s="109"/>
      <c r="N23" s="109"/>
      <c r="O23" s="109"/>
      <c r="P23" s="109"/>
      <c r="Q23" s="100"/>
      <c r="R23" s="100"/>
      <c r="S23" s="220"/>
      <c r="T23" s="2"/>
    </row>
    <row r="24" spans="1:23" ht="15.6" x14ac:dyDescent="0.3">
      <c r="A24" s="117"/>
      <c r="B24" s="113" t="s">
        <v>197</v>
      </c>
      <c r="C24" s="119"/>
      <c r="D24" s="114" t="s">
        <v>199</v>
      </c>
      <c r="E24" s="114"/>
      <c r="F24" s="114" t="s">
        <v>199</v>
      </c>
      <c r="G24" s="114"/>
      <c r="H24" s="114" t="s">
        <v>200</v>
      </c>
      <c r="I24" s="114"/>
      <c r="J24" s="114" t="s">
        <v>201</v>
      </c>
      <c r="K24" s="114"/>
      <c r="L24" s="114" t="s">
        <v>153</v>
      </c>
      <c r="M24" s="114"/>
      <c r="N24" s="114"/>
      <c r="O24" s="119"/>
      <c r="P24" s="114"/>
      <c r="Q24" s="115"/>
      <c r="R24" s="115"/>
      <c r="S24" s="116"/>
      <c r="T24" s="2"/>
    </row>
    <row r="25" spans="1:23" ht="15.6" x14ac:dyDescent="0.3">
      <c r="A25" s="120"/>
      <c r="B25" s="124" t="s">
        <v>227</v>
      </c>
      <c r="C25" s="119"/>
      <c r="D25" s="119" t="s">
        <v>112</v>
      </c>
      <c r="E25" s="119"/>
      <c r="F25" s="119" t="s">
        <v>112</v>
      </c>
      <c r="G25" s="119"/>
      <c r="H25" s="119" t="s">
        <v>178</v>
      </c>
      <c r="I25" s="119"/>
      <c r="J25" s="119" t="s">
        <v>249</v>
      </c>
      <c r="K25" s="119"/>
      <c r="L25" s="119" t="s">
        <v>153</v>
      </c>
      <c r="M25" s="119"/>
      <c r="N25" s="119"/>
      <c r="O25" s="119"/>
      <c r="P25" s="114"/>
      <c r="Q25" s="115"/>
      <c r="R25" s="115"/>
      <c r="S25" s="116"/>
      <c r="T25" s="2"/>
      <c r="U25" s="211"/>
      <c r="W25" s="212"/>
    </row>
    <row r="26" spans="1:23" ht="15.6" x14ac:dyDescent="0.3">
      <c r="A26" s="122"/>
      <c r="B26" s="124" t="s">
        <v>198</v>
      </c>
      <c r="C26" s="114"/>
      <c r="D26" s="119" t="s">
        <v>199</v>
      </c>
      <c r="E26" s="119"/>
      <c r="F26" s="119" t="s">
        <v>199</v>
      </c>
      <c r="G26" s="119"/>
      <c r="H26" s="119" t="s">
        <v>200</v>
      </c>
      <c r="I26" s="119"/>
      <c r="J26" s="119" t="s">
        <v>201</v>
      </c>
      <c r="K26" s="119"/>
      <c r="L26" s="119" t="s">
        <v>153</v>
      </c>
      <c r="M26" s="119"/>
      <c r="N26" s="119"/>
      <c r="O26" s="114"/>
      <c r="P26" s="123"/>
      <c r="Q26" s="115"/>
      <c r="R26" s="115"/>
      <c r="S26" s="116"/>
      <c r="T26" s="2"/>
      <c r="U26" s="211"/>
      <c r="W26" s="212"/>
    </row>
    <row r="27" spans="1:23" ht="15.6" x14ac:dyDescent="0.3">
      <c r="A27" s="122"/>
      <c r="B27" s="113" t="s">
        <v>7</v>
      </c>
      <c r="C27" s="125"/>
      <c r="D27" s="114" t="s">
        <v>228</v>
      </c>
      <c r="E27" s="114"/>
      <c r="F27" s="114" t="s">
        <v>242</v>
      </c>
      <c r="G27" s="114"/>
      <c r="H27" s="114" t="s">
        <v>243</v>
      </c>
      <c r="I27" s="114"/>
      <c r="J27" s="114" t="s">
        <v>244</v>
      </c>
      <c r="K27" s="114"/>
      <c r="L27" s="114" t="s">
        <v>245</v>
      </c>
      <c r="M27" s="114"/>
      <c r="N27" s="114"/>
      <c r="O27" s="126"/>
      <c r="P27" s="126"/>
      <c r="Q27" s="127"/>
      <c r="R27" s="126"/>
      <c r="S27" s="128"/>
      <c r="T27" s="2"/>
      <c r="U27" s="211"/>
      <c r="W27" s="212"/>
    </row>
    <row r="28" spans="1:23" ht="15.6" x14ac:dyDescent="0.3">
      <c r="A28" s="120"/>
      <c r="B28" s="113" t="s">
        <v>106</v>
      </c>
      <c r="C28" s="129"/>
      <c r="D28" s="235">
        <v>164000</v>
      </c>
      <c r="E28" s="130"/>
      <c r="F28" s="201">
        <v>151700</v>
      </c>
      <c r="G28" s="198"/>
      <c r="H28" s="201">
        <v>12000</v>
      </c>
      <c r="I28" s="198"/>
      <c r="J28" s="201">
        <v>12000</v>
      </c>
      <c r="K28" s="126"/>
      <c r="L28" s="201">
        <v>7500</v>
      </c>
      <c r="M28" s="126"/>
      <c r="N28" s="130"/>
      <c r="O28" s="131"/>
      <c r="P28" s="131"/>
      <c r="Q28" s="132"/>
      <c r="R28" s="126"/>
      <c r="S28" s="128"/>
      <c r="T28" s="2"/>
    </row>
    <row r="29" spans="1:23" ht="15.6" x14ac:dyDescent="0.3">
      <c r="A29" s="122"/>
      <c r="B29" s="113" t="s">
        <v>105</v>
      </c>
      <c r="C29" s="125"/>
      <c r="D29" s="235">
        <f>D28*D35</f>
        <v>124397.54240000001</v>
      </c>
      <c r="E29" s="130"/>
      <c r="F29" s="201">
        <f>F28*F35</f>
        <v>115067.72672000001</v>
      </c>
      <c r="G29" s="201"/>
      <c r="H29" s="201">
        <f>H28</f>
        <v>12000</v>
      </c>
      <c r="I29" s="201"/>
      <c r="J29" s="201">
        <f>J28</f>
        <v>12000</v>
      </c>
      <c r="K29" s="126"/>
      <c r="L29" s="201">
        <f>L28</f>
        <v>7500</v>
      </c>
      <c r="M29" s="126"/>
      <c r="N29" s="130"/>
      <c r="O29" s="126"/>
      <c r="P29" s="126"/>
      <c r="Q29" s="127"/>
      <c r="R29" s="126"/>
      <c r="S29" s="128"/>
      <c r="T29" s="2"/>
    </row>
    <row r="30" spans="1:23" ht="15.6" x14ac:dyDescent="0.3">
      <c r="A30" s="122"/>
      <c r="B30" s="121" t="s">
        <v>107</v>
      </c>
      <c r="C30" s="125"/>
      <c r="D30" s="236">
        <f>D28*D34</f>
        <v>82521.388800000015</v>
      </c>
      <c r="E30" s="202"/>
      <c r="F30" s="202">
        <f t="shared" ref="F30" si="0">F28*F34</f>
        <v>76332.284640000013</v>
      </c>
      <c r="G30" s="202"/>
      <c r="H30" s="202">
        <f t="shared" ref="H30" si="1">H28*H34</f>
        <v>12000</v>
      </c>
      <c r="I30" s="202"/>
      <c r="J30" s="202">
        <f t="shared" ref="J30" si="2">J28*J34</f>
        <v>12000</v>
      </c>
      <c r="K30" s="202"/>
      <c r="L30" s="202">
        <f t="shared" ref="L30" si="3">L28*L34</f>
        <v>7500</v>
      </c>
      <c r="M30" s="131"/>
      <c r="N30" s="133"/>
      <c r="O30" s="126"/>
      <c r="P30" s="126"/>
      <c r="Q30" s="127"/>
      <c r="R30" s="203"/>
      <c r="S30" s="128"/>
      <c r="T30" s="2"/>
    </row>
    <row r="31" spans="1:23" ht="15.6" x14ac:dyDescent="0.3">
      <c r="A31" s="122"/>
      <c r="B31" s="113" t="s">
        <v>229</v>
      </c>
      <c r="C31" s="125"/>
      <c r="D31" s="201">
        <v>116809</v>
      </c>
      <c r="E31" s="201"/>
      <c r="F31" s="201">
        <v>151700</v>
      </c>
      <c r="G31" s="201"/>
      <c r="H31" s="201">
        <v>12000</v>
      </c>
      <c r="I31" s="201"/>
      <c r="J31" s="201">
        <v>12000</v>
      </c>
      <c r="K31" s="201"/>
      <c r="L31" s="201">
        <v>7500</v>
      </c>
      <c r="M31" s="126"/>
      <c r="N31" s="133"/>
      <c r="O31" s="126"/>
      <c r="P31" s="126"/>
      <c r="Q31" s="127"/>
      <c r="R31" s="126">
        <f>SUM(D31:L31)</f>
        <v>300009</v>
      </c>
      <c r="S31" s="128"/>
      <c r="T31" s="2"/>
    </row>
    <row r="32" spans="1:23" ht="15.6" x14ac:dyDescent="0.3">
      <c r="A32" s="122"/>
      <c r="B32" s="113" t="s">
        <v>230</v>
      </c>
      <c r="C32" s="125"/>
      <c r="D32" s="201">
        <f>D31*D35</f>
        <v>88602.149574399999</v>
      </c>
      <c r="E32" s="201"/>
      <c r="F32" s="201">
        <f>F31*F35</f>
        <v>115067.72672000001</v>
      </c>
      <c r="G32" s="201"/>
      <c r="H32" s="201">
        <f>H31</f>
        <v>12000</v>
      </c>
      <c r="I32" s="201"/>
      <c r="J32" s="201">
        <f>+J31</f>
        <v>12000</v>
      </c>
      <c r="K32" s="201"/>
      <c r="L32" s="201">
        <f>L31</f>
        <v>7500</v>
      </c>
      <c r="M32" s="126"/>
      <c r="N32" s="133"/>
      <c r="O32" s="126"/>
      <c r="P32" s="126"/>
      <c r="Q32" s="127"/>
      <c r="R32" s="126">
        <f>SUM(D32:L32)</f>
        <v>235169.87629440002</v>
      </c>
      <c r="S32" s="128"/>
      <c r="T32" s="2"/>
    </row>
    <row r="33" spans="1:20" ht="15.6" x14ac:dyDescent="0.3">
      <c r="A33" s="122"/>
      <c r="B33" s="124" t="s">
        <v>231</v>
      </c>
      <c r="C33" s="125"/>
      <c r="D33" s="237">
        <f>D31*D34</f>
        <v>58775.859172800003</v>
      </c>
      <c r="E33" s="237"/>
      <c r="F33" s="237">
        <f>F31*F34</f>
        <v>76332.284640000013</v>
      </c>
      <c r="G33" s="237"/>
      <c r="H33" s="237">
        <f t="shared" ref="H33:L33" si="4">H31*H34</f>
        <v>12000</v>
      </c>
      <c r="I33" s="237"/>
      <c r="J33" s="237">
        <f t="shared" si="4"/>
        <v>12000</v>
      </c>
      <c r="K33" s="237"/>
      <c r="L33" s="237">
        <f t="shared" si="4"/>
        <v>7500</v>
      </c>
      <c r="M33" s="131"/>
      <c r="N33" s="133"/>
      <c r="O33" s="126"/>
      <c r="P33" s="126"/>
      <c r="Q33" s="127"/>
      <c r="R33" s="203">
        <f>SUM(D33:L33)</f>
        <v>166608.1438128</v>
      </c>
      <c r="S33" s="128"/>
      <c r="T33" s="2"/>
    </row>
    <row r="34" spans="1:20" ht="15.6" x14ac:dyDescent="0.3">
      <c r="A34" s="112"/>
      <c r="B34" s="134" t="s">
        <v>103</v>
      </c>
      <c r="C34" s="135"/>
      <c r="D34" s="136">
        <v>0.50317920000000005</v>
      </c>
      <c r="E34" s="136"/>
      <c r="F34" s="136">
        <v>0.50317920000000005</v>
      </c>
      <c r="G34" s="136"/>
      <c r="H34" s="136">
        <v>1</v>
      </c>
      <c r="I34" s="136"/>
      <c r="J34" s="136">
        <v>1</v>
      </c>
      <c r="K34" s="136"/>
      <c r="L34" s="136">
        <v>1</v>
      </c>
      <c r="M34" s="136"/>
      <c r="N34" s="136"/>
      <c r="O34" s="137"/>
      <c r="P34" s="137"/>
      <c r="Q34" s="138"/>
      <c r="R34" s="204"/>
      <c r="S34" s="139"/>
      <c r="T34" s="2"/>
    </row>
    <row r="35" spans="1:20" ht="15.6" x14ac:dyDescent="0.3">
      <c r="A35" s="112"/>
      <c r="B35" s="134" t="s">
        <v>104</v>
      </c>
      <c r="C35" s="135"/>
      <c r="D35" s="136">
        <v>0.75852160000000002</v>
      </c>
      <c r="E35" s="136"/>
      <c r="F35" s="136">
        <v>0.75852160000000002</v>
      </c>
      <c r="G35" s="136"/>
      <c r="H35" s="136">
        <v>1</v>
      </c>
      <c r="I35" s="136"/>
      <c r="J35" s="136">
        <v>1</v>
      </c>
      <c r="K35" s="136"/>
      <c r="L35" s="136">
        <v>1</v>
      </c>
      <c r="M35" s="136"/>
      <c r="N35" s="136"/>
      <c r="O35" s="140"/>
      <c r="P35" s="141"/>
      <c r="Q35" s="138"/>
      <c r="R35" s="140"/>
      <c r="S35" s="139"/>
      <c r="T35" s="2"/>
    </row>
    <row r="36" spans="1:20" ht="15.6" x14ac:dyDescent="0.3">
      <c r="A36" s="112"/>
      <c r="B36" s="113" t="s">
        <v>8</v>
      </c>
      <c r="C36" s="113"/>
      <c r="D36" s="123" t="s">
        <v>240</v>
      </c>
      <c r="E36" s="123"/>
      <c r="F36" s="123" t="s">
        <v>220</v>
      </c>
      <c r="G36" s="123"/>
      <c r="H36" s="123" t="s">
        <v>247</v>
      </c>
      <c r="I36" s="123"/>
      <c r="J36" s="123" t="s">
        <v>250</v>
      </c>
      <c r="K36" s="123"/>
      <c r="L36" s="123" t="s">
        <v>252</v>
      </c>
      <c r="M36" s="123"/>
      <c r="N36" s="123"/>
      <c r="O36" s="142"/>
      <c r="P36" s="143"/>
      <c r="Q36" s="115"/>
      <c r="R36" s="115"/>
      <c r="S36" s="116"/>
      <c r="T36" s="2"/>
    </row>
    <row r="37" spans="1:20" ht="15.6" x14ac:dyDescent="0.3">
      <c r="A37" s="112"/>
      <c r="B37" s="113" t="s">
        <v>9</v>
      </c>
      <c r="C37" s="144"/>
      <c r="D37" s="143">
        <v>1.6999999999999999E-3</v>
      </c>
      <c r="E37" s="143"/>
      <c r="F37" s="143">
        <v>1.1438800000000001E-2</v>
      </c>
      <c r="G37" s="143"/>
      <c r="H37" s="143">
        <v>1.69388E-2</v>
      </c>
      <c r="I37" s="143"/>
      <c r="J37" s="143">
        <v>1.99388E-2</v>
      </c>
      <c r="K37" s="143"/>
      <c r="L37" s="143">
        <v>2.3438799999999999E-2</v>
      </c>
      <c r="M37" s="142"/>
      <c r="N37" s="143"/>
      <c r="O37" s="123"/>
      <c r="P37" s="123"/>
      <c r="Q37" s="115"/>
      <c r="R37" s="142"/>
      <c r="S37" s="116"/>
      <c r="T37" s="2"/>
    </row>
    <row r="38" spans="1:20" ht="15.6" x14ac:dyDescent="0.3">
      <c r="A38" s="112"/>
      <c r="B38" s="113" t="s">
        <v>10</v>
      </c>
      <c r="C38" s="144"/>
      <c r="D38" s="143">
        <v>1.8400000000000001E-3</v>
      </c>
      <c r="E38" s="143"/>
      <c r="F38" s="143">
        <v>1.17313E-2</v>
      </c>
      <c r="G38" s="143"/>
      <c r="H38" s="143">
        <v>1.7231300000000001E-2</v>
      </c>
      <c r="I38" s="143"/>
      <c r="J38" s="143">
        <v>2.0231300000000001E-2</v>
      </c>
      <c r="K38" s="143"/>
      <c r="L38" s="143">
        <v>2.37313E-2</v>
      </c>
      <c r="M38" s="142"/>
      <c r="N38" s="143"/>
      <c r="O38" s="123"/>
      <c r="P38" s="123"/>
      <c r="Q38" s="115"/>
      <c r="R38" s="115"/>
      <c r="S38" s="116"/>
      <c r="T38" s="2"/>
    </row>
    <row r="39" spans="1:20" ht="15.6" x14ac:dyDescent="0.3">
      <c r="A39" s="112"/>
      <c r="B39" s="113" t="s">
        <v>235</v>
      </c>
      <c r="C39" s="144"/>
      <c r="D39" s="240" t="s">
        <v>260</v>
      </c>
      <c r="E39" s="143"/>
      <c r="F39" s="143" t="s">
        <v>220</v>
      </c>
      <c r="G39" s="143"/>
      <c r="H39" s="143" t="s">
        <v>247</v>
      </c>
      <c r="I39" s="143"/>
      <c r="J39" s="123" t="s">
        <v>250</v>
      </c>
      <c r="K39" s="143"/>
      <c r="L39" s="143" t="s">
        <v>252</v>
      </c>
      <c r="M39" s="142"/>
      <c r="N39" s="143"/>
      <c r="O39" s="123"/>
      <c r="P39" s="123"/>
      <c r="Q39" s="115"/>
      <c r="R39" s="115"/>
      <c r="S39" s="116"/>
      <c r="T39" s="2"/>
    </row>
    <row r="40" spans="1:20" ht="15.6" x14ac:dyDescent="0.3">
      <c r="A40" s="112"/>
      <c r="B40" s="113" t="s">
        <v>236</v>
      </c>
      <c r="C40" s="144"/>
      <c r="D40" s="143">
        <v>1.38388E-2</v>
      </c>
      <c r="E40" s="143"/>
      <c r="F40" s="143">
        <f>+F37</f>
        <v>1.1438800000000001E-2</v>
      </c>
      <c r="G40" s="143"/>
      <c r="H40" s="143">
        <f>+H37</f>
        <v>1.69388E-2</v>
      </c>
      <c r="I40" s="143"/>
      <c r="J40" s="143">
        <f>+J37</f>
        <v>1.99388E-2</v>
      </c>
      <c r="K40" s="143"/>
      <c r="L40" s="143">
        <f>+L37</f>
        <v>2.3438799999999999E-2</v>
      </c>
      <c r="M40" s="142"/>
      <c r="N40" s="143"/>
      <c r="O40" s="123"/>
      <c r="P40" s="123"/>
      <c r="Q40" s="115"/>
      <c r="R40" s="142">
        <f>SUMPRODUCT(D40:L40,D32:L32)/R32</f>
        <v>1.3440098662883924E-2</v>
      </c>
      <c r="S40" s="116"/>
      <c r="T40" s="2"/>
    </row>
    <row r="41" spans="1:20" ht="15.6" x14ac:dyDescent="0.3">
      <c r="A41" s="112"/>
      <c r="B41" s="113" t="s">
        <v>237</v>
      </c>
      <c r="C41" s="144"/>
      <c r="D41" s="143">
        <v>1.4131299999999999E-2</v>
      </c>
      <c r="E41" s="143"/>
      <c r="F41" s="143">
        <f>+F38</f>
        <v>1.17313E-2</v>
      </c>
      <c r="G41" s="143"/>
      <c r="H41" s="143">
        <f>+H38</f>
        <v>1.7231300000000001E-2</v>
      </c>
      <c r="I41" s="143"/>
      <c r="J41" s="143">
        <f>+J38</f>
        <v>2.0231300000000001E-2</v>
      </c>
      <c r="K41" s="143"/>
      <c r="L41" s="143">
        <f>+L38</f>
        <v>2.37313E-2</v>
      </c>
      <c r="M41" s="142"/>
      <c r="N41" s="143"/>
      <c r="O41" s="123"/>
      <c r="P41" s="123"/>
      <c r="Q41" s="115"/>
      <c r="R41" s="115"/>
      <c r="S41" s="116"/>
      <c r="T41" s="2"/>
    </row>
    <row r="42" spans="1:20" ht="15.6" x14ac:dyDescent="0.3">
      <c r="A42" s="112"/>
      <c r="B42" s="113" t="s">
        <v>238</v>
      </c>
      <c r="C42" s="113"/>
      <c r="D42" s="144">
        <v>43631</v>
      </c>
      <c r="E42" s="144"/>
      <c r="F42" s="144">
        <v>43631</v>
      </c>
      <c r="G42" s="144"/>
      <c r="H42" s="144">
        <v>43631</v>
      </c>
      <c r="I42" s="144"/>
      <c r="J42" s="144">
        <v>43631</v>
      </c>
      <c r="K42" s="144"/>
      <c r="L42" s="144">
        <v>43631</v>
      </c>
      <c r="M42" s="144"/>
      <c r="N42" s="144"/>
      <c r="O42" s="123"/>
      <c r="P42" s="123"/>
      <c r="Q42" s="115"/>
      <c r="R42" s="115"/>
      <c r="S42" s="116"/>
      <c r="T42" s="2"/>
    </row>
    <row r="43" spans="1:20" ht="15.6" x14ac:dyDescent="0.3">
      <c r="A43" s="112"/>
      <c r="B43" s="113" t="s">
        <v>11</v>
      </c>
      <c r="C43" s="113"/>
      <c r="D43" s="144">
        <v>43631</v>
      </c>
      <c r="E43" s="144"/>
      <c r="F43" s="144">
        <v>43631</v>
      </c>
      <c r="G43" s="123"/>
      <c r="H43" s="144">
        <v>43631</v>
      </c>
      <c r="I43" s="123"/>
      <c r="J43" s="144">
        <v>43631</v>
      </c>
      <c r="K43" s="123"/>
      <c r="L43" s="144" t="s">
        <v>97</v>
      </c>
      <c r="M43" s="123"/>
      <c r="N43" s="144"/>
      <c r="O43" s="123"/>
      <c r="P43" s="123"/>
      <c r="Q43" s="115"/>
      <c r="R43" s="115"/>
      <c r="S43" s="116"/>
      <c r="T43" s="2"/>
    </row>
    <row r="44" spans="1:20" ht="15.6" x14ac:dyDescent="0.3">
      <c r="A44" s="112"/>
      <c r="B44" s="113" t="s">
        <v>98</v>
      </c>
      <c r="C44" s="113"/>
      <c r="D44" s="123" t="s">
        <v>241</v>
      </c>
      <c r="E44" s="123"/>
      <c r="F44" s="123" t="s">
        <v>246</v>
      </c>
      <c r="G44" s="123"/>
      <c r="H44" s="123" t="s">
        <v>248</v>
      </c>
      <c r="I44" s="123"/>
      <c r="J44" s="123" t="s">
        <v>251</v>
      </c>
      <c r="K44" s="123"/>
      <c r="L44" s="123" t="s">
        <v>97</v>
      </c>
      <c r="M44" s="123"/>
      <c r="N44" s="123"/>
      <c r="O44" s="145"/>
      <c r="P44" s="145"/>
      <c r="Q44" s="145"/>
      <c r="R44" s="145"/>
      <c r="S44" s="116"/>
      <c r="T44" s="2"/>
    </row>
    <row r="45" spans="1:20" ht="15.6" x14ac:dyDescent="0.3">
      <c r="A45" s="112"/>
      <c r="B45" s="113" t="s">
        <v>239</v>
      </c>
      <c r="C45" s="113"/>
      <c r="D45" s="123" t="s">
        <v>273</v>
      </c>
      <c r="E45" s="123"/>
      <c r="F45" s="123" t="s">
        <v>246</v>
      </c>
      <c r="G45" s="123"/>
      <c r="H45" s="123" t="s">
        <v>248</v>
      </c>
      <c r="I45" s="123"/>
      <c r="J45" s="123" t="s">
        <v>251</v>
      </c>
      <c r="K45" s="123"/>
      <c r="L45" s="123" t="s">
        <v>97</v>
      </c>
      <c r="M45" s="123"/>
      <c r="N45" s="123"/>
      <c r="O45" s="145"/>
      <c r="P45" s="145"/>
      <c r="Q45" s="145"/>
      <c r="R45" s="145"/>
      <c r="S45" s="116"/>
      <c r="T45" s="2"/>
    </row>
    <row r="46" spans="1:20" ht="15.6" x14ac:dyDescent="0.3">
      <c r="A46" s="112"/>
      <c r="B46" s="113"/>
      <c r="C46" s="113"/>
      <c r="D46" s="123"/>
      <c r="E46" s="123"/>
      <c r="F46" s="123"/>
      <c r="G46" s="123"/>
      <c r="H46" s="123"/>
      <c r="I46" s="123"/>
      <c r="J46" s="123"/>
      <c r="K46" s="123"/>
      <c r="L46" s="123"/>
      <c r="M46" s="123"/>
      <c r="N46" s="123"/>
      <c r="O46" s="113"/>
      <c r="P46" s="113"/>
      <c r="Q46" s="113"/>
      <c r="R46" s="142" t="s">
        <v>130</v>
      </c>
      <c r="S46" s="116"/>
      <c r="T46" s="2"/>
    </row>
    <row r="47" spans="1:20" ht="15.6" x14ac:dyDescent="0.3">
      <c r="A47" s="112"/>
      <c r="B47" s="113" t="s">
        <v>253</v>
      </c>
      <c r="C47" s="113"/>
      <c r="D47" s="123"/>
      <c r="E47" s="123"/>
      <c r="F47" s="123"/>
      <c r="G47" s="123"/>
      <c r="H47" s="123"/>
      <c r="I47" s="123"/>
      <c r="J47" s="123"/>
      <c r="K47" s="123"/>
      <c r="L47" s="123"/>
      <c r="M47" s="123"/>
      <c r="N47" s="123"/>
      <c r="O47" s="113"/>
      <c r="P47" s="113"/>
      <c r="Q47" s="113"/>
      <c r="R47" s="238">
        <f>SUM(H31:L31)/(D31+F31)</f>
        <v>0.11731450342446621</v>
      </c>
      <c r="S47" s="116"/>
      <c r="T47" s="2"/>
    </row>
    <row r="48" spans="1:20" ht="15.6" x14ac:dyDescent="0.3">
      <c r="A48" s="112"/>
      <c r="B48" s="113" t="s">
        <v>254</v>
      </c>
      <c r="C48" s="113"/>
      <c r="D48" s="113"/>
      <c r="E48" s="113"/>
      <c r="F48" s="113"/>
      <c r="G48" s="113"/>
      <c r="H48" s="113"/>
      <c r="I48" s="113"/>
      <c r="J48" s="113"/>
      <c r="K48" s="113"/>
      <c r="L48" s="113"/>
      <c r="M48" s="113"/>
      <c r="N48" s="113"/>
      <c r="O48" s="113"/>
      <c r="P48" s="113"/>
      <c r="Q48" s="113"/>
      <c r="R48" s="238">
        <f>SUM(H33:L33)/(D33+F33)</f>
        <v>0.23314656771278744</v>
      </c>
      <c r="S48" s="116"/>
      <c r="T48" s="2"/>
    </row>
    <row r="49" spans="1:21" ht="15.6" x14ac:dyDescent="0.3">
      <c r="A49" s="112"/>
      <c r="B49" s="113" t="s">
        <v>255</v>
      </c>
      <c r="C49" s="113"/>
      <c r="D49" s="113"/>
      <c r="E49" s="113"/>
      <c r="F49" s="113"/>
      <c r="G49" s="113"/>
      <c r="H49" s="113"/>
      <c r="I49" s="113"/>
      <c r="J49" s="113"/>
      <c r="K49" s="113"/>
      <c r="L49" s="113"/>
      <c r="M49" s="113"/>
      <c r="N49" s="113"/>
      <c r="O49" s="113"/>
      <c r="P49" s="123"/>
      <c r="Q49" s="123"/>
      <c r="R49" s="126" t="s">
        <v>149</v>
      </c>
      <c r="S49" s="116"/>
      <c r="T49" s="2"/>
    </row>
    <row r="50" spans="1:21" ht="15.6" x14ac:dyDescent="0.3">
      <c r="A50" s="112"/>
      <c r="B50" s="113"/>
      <c r="C50" s="113"/>
      <c r="D50" s="113"/>
      <c r="E50" s="113"/>
      <c r="F50" s="113"/>
      <c r="G50" s="113"/>
      <c r="H50" s="113"/>
      <c r="I50" s="113"/>
      <c r="J50" s="113"/>
      <c r="K50" s="113"/>
      <c r="L50" s="113"/>
      <c r="M50" s="113"/>
      <c r="N50" s="113"/>
      <c r="O50" s="113"/>
      <c r="P50" s="113"/>
      <c r="Q50" s="113"/>
      <c r="R50" s="146"/>
      <c r="S50" s="116"/>
      <c r="T50" s="2"/>
    </row>
    <row r="51" spans="1:21" ht="15.6" x14ac:dyDescent="0.3">
      <c r="A51" s="112"/>
      <c r="B51" s="113" t="s">
        <v>225</v>
      </c>
      <c r="C51" s="113"/>
      <c r="D51" s="113"/>
      <c r="E51" s="113"/>
      <c r="F51" s="113"/>
      <c r="G51" s="113"/>
      <c r="H51" s="113"/>
      <c r="I51" s="113"/>
      <c r="J51" s="113"/>
      <c r="K51" s="113"/>
      <c r="L51" s="113"/>
      <c r="M51" s="113"/>
      <c r="N51" s="113"/>
      <c r="O51" s="113"/>
      <c r="P51" s="113"/>
      <c r="Q51" s="113"/>
      <c r="R51" s="147" t="s">
        <v>91</v>
      </c>
      <c r="S51" s="116"/>
      <c r="T51" s="2"/>
    </row>
    <row r="52" spans="1:21" ht="15.6" x14ac:dyDescent="0.3">
      <c r="A52" s="112"/>
      <c r="B52" s="121" t="s">
        <v>131</v>
      </c>
      <c r="C52" s="121"/>
      <c r="D52" s="121"/>
      <c r="E52" s="121"/>
      <c r="F52" s="121"/>
      <c r="G52" s="121"/>
      <c r="H52" s="121"/>
      <c r="I52" s="121"/>
      <c r="J52" s="121"/>
      <c r="K52" s="121"/>
      <c r="L52" s="121"/>
      <c r="M52" s="121"/>
      <c r="N52" s="121"/>
      <c r="O52" s="121"/>
      <c r="P52" s="148"/>
      <c r="Q52" s="148"/>
      <c r="R52" s="149">
        <v>42901</v>
      </c>
      <c r="S52" s="116"/>
      <c r="T52" s="2"/>
    </row>
    <row r="53" spans="1:21" ht="15.6" x14ac:dyDescent="0.3">
      <c r="A53" s="112"/>
      <c r="B53" s="113" t="s">
        <v>99</v>
      </c>
      <c r="C53" s="113"/>
      <c r="D53" s="150"/>
      <c r="E53" s="150"/>
      <c r="F53" s="150"/>
      <c r="G53" s="150"/>
      <c r="H53" s="150"/>
      <c r="I53" s="150"/>
      <c r="J53" s="150"/>
      <c r="K53" s="150"/>
      <c r="L53" s="150"/>
      <c r="M53" s="150"/>
      <c r="N53" s="113">
        <f>+R53-P53+1</f>
        <v>90</v>
      </c>
      <c r="O53" s="113"/>
      <c r="P53" s="151">
        <v>42719</v>
      </c>
      <c r="Q53" s="152"/>
      <c r="R53" s="151">
        <v>42808</v>
      </c>
      <c r="S53" s="116"/>
      <c r="T53" s="2"/>
    </row>
    <row r="54" spans="1:21" ht="15.6" x14ac:dyDescent="0.3">
      <c r="A54" s="112"/>
      <c r="B54" s="113" t="s">
        <v>100</v>
      </c>
      <c r="C54" s="113"/>
      <c r="D54" s="113"/>
      <c r="E54" s="113"/>
      <c r="F54" s="113"/>
      <c r="G54" s="113"/>
      <c r="H54" s="113"/>
      <c r="I54" s="113"/>
      <c r="J54" s="113"/>
      <c r="K54" s="113"/>
      <c r="L54" s="113"/>
      <c r="M54" s="113"/>
      <c r="N54" s="113">
        <f>+R54-P54+1</f>
        <v>92</v>
      </c>
      <c r="O54" s="113"/>
      <c r="P54" s="151">
        <v>42809</v>
      </c>
      <c r="Q54" s="152"/>
      <c r="R54" s="151">
        <v>42900</v>
      </c>
      <c r="S54" s="116"/>
      <c r="T54" s="2"/>
    </row>
    <row r="55" spans="1:21" ht="15.6" x14ac:dyDescent="0.3">
      <c r="A55" s="112"/>
      <c r="B55" s="113" t="s">
        <v>261</v>
      </c>
      <c r="C55" s="113"/>
      <c r="D55" s="113"/>
      <c r="E55" s="113"/>
      <c r="F55" s="113"/>
      <c r="G55" s="113"/>
      <c r="H55" s="113"/>
      <c r="I55" s="113"/>
      <c r="J55" s="113"/>
      <c r="K55" s="113"/>
      <c r="L55" s="113"/>
      <c r="M55" s="113"/>
      <c r="N55" s="113"/>
      <c r="O55" s="113"/>
      <c r="P55" s="151"/>
      <c r="Q55" s="152"/>
      <c r="R55" s="151" t="s">
        <v>263</v>
      </c>
      <c r="S55" s="116"/>
      <c r="T55" s="2"/>
    </row>
    <row r="56" spans="1:21" ht="15.6" x14ac:dyDescent="0.3">
      <c r="A56" s="112"/>
      <c r="B56" s="113" t="s">
        <v>262</v>
      </c>
      <c r="C56" s="113"/>
      <c r="D56" s="113"/>
      <c r="E56" s="113"/>
      <c r="F56" s="113"/>
      <c r="G56" s="113"/>
      <c r="H56" s="113"/>
      <c r="I56" s="113"/>
      <c r="J56" s="113"/>
      <c r="K56" s="113"/>
      <c r="L56" s="113"/>
      <c r="M56" s="113"/>
      <c r="N56" s="113"/>
      <c r="O56" s="113"/>
      <c r="P56" s="151"/>
      <c r="Q56" s="152"/>
      <c r="R56" s="151" t="s">
        <v>118</v>
      </c>
      <c r="S56" s="116"/>
      <c r="T56" s="2"/>
      <c r="U56" s="5"/>
    </row>
    <row r="57" spans="1:21" ht="15.6" x14ac:dyDescent="0.3">
      <c r="A57" s="112"/>
      <c r="B57" s="113" t="s">
        <v>12</v>
      </c>
      <c r="C57" s="113"/>
      <c r="D57" s="113"/>
      <c r="E57" s="113"/>
      <c r="F57" s="113"/>
      <c r="G57" s="113"/>
      <c r="H57" s="113"/>
      <c r="I57" s="113"/>
      <c r="J57" s="113"/>
      <c r="K57" s="113"/>
      <c r="L57" s="113"/>
      <c r="M57" s="113"/>
      <c r="N57" s="113"/>
      <c r="O57" s="113"/>
      <c r="P57" s="151"/>
      <c r="Q57" s="152"/>
      <c r="R57" s="239">
        <v>42887</v>
      </c>
      <c r="S57" s="116"/>
      <c r="T57" s="2"/>
    </row>
    <row r="58" spans="1:21" ht="15.6" x14ac:dyDescent="0.3">
      <c r="A58" s="12"/>
      <c r="B58" s="43"/>
      <c r="C58" s="43"/>
      <c r="D58" s="43"/>
      <c r="E58" s="43"/>
      <c r="F58" s="43"/>
      <c r="G58" s="43"/>
      <c r="H58" s="43"/>
      <c r="I58" s="43"/>
      <c r="J58" s="43"/>
      <c r="K58" s="43"/>
      <c r="L58" s="43"/>
      <c r="M58" s="43"/>
      <c r="N58" s="43"/>
      <c r="O58" s="43"/>
      <c r="P58" s="110"/>
      <c r="Q58" s="111"/>
      <c r="R58" s="110"/>
      <c r="S58" s="217"/>
      <c r="T58" s="2"/>
    </row>
    <row r="59" spans="1:21" ht="15.6" x14ac:dyDescent="0.3">
      <c r="A59" s="12"/>
      <c r="B59" s="14"/>
      <c r="C59" s="14"/>
      <c r="D59" s="14"/>
      <c r="E59" s="14"/>
      <c r="F59" s="14"/>
      <c r="G59" s="14"/>
      <c r="H59" s="14"/>
      <c r="I59" s="14"/>
      <c r="J59" s="14"/>
      <c r="K59" s="14"/>
      <c r="L59" s="14"/>
      <c r="M59" s="14"/>
      <c r="N59" s="14"/>
      <c r="O59" s="14"/>
      <c r="P59" s="26"/>
      <c r="Q59" s="27"/>
      <c r="R59" s="26"/>
      <c r="S59" s="217"/>
      <c r="T59" s="2"/>
    </row>
    <row r="60" spans="1:21" ht="18" thickBot="1" x14ac:dyDescent="0.35">
      <c r="A60" s="28"/>
      <c r="B60" s="97" t="s">
        <v>289</v>
      </c>
      <c r="C60" s="29"/>
      <c r="D60" s="29"/>
      <c r="E60" s="29"/>
      <c r="F60" s="29"/>
      <c r="G60" s="29"/>
      <c r="H60" s="29"/>
      <c r="I60" s="29"/>
      <c r="J60" s="29"/>
      <c r="K60" s="29"/>
      <c r="L60" s="29"/>
      <c r="M60" s="29"/>
      <c r="N60" s="29"/>
      <c r="O60" s="29"/>
      <c r="P60" s="29"/>
      <c r="Q60" s="29"/>
      <c r="R60" s="30"/>
      <c r="S60" s="31"/>
      <c r="T60" s="2"/>
    </row>
    <row r="61" spans="1:21" ht="15.6" x14ac:dyDescent="0.3">
      <c r="A61" s="53"/>
      <c r="B61" s="59" t="s">
        <v>13</v>
      </c>
      <c r="C61" s="54"/>
      <c r="D61" s="54"/>
      <c r="E61" s="54"/>
      <c r="F61" s="54"/>
      <c r="G61" s="54"/>
      <c r="H61" s="54"/>
      <c r="I61" s="54"/>
      <c r="J61" s="54"/>
      <c r="K61" s="54"/>
      <c r="L61" s="54"/>
      <c r="M61" s="54"/>
      <c r="N61" s="54"/>
      <c r="O61" s="54"/>
      <c r="P61" s="54"/>
      <c r="Q61" s="54"/>
      <c r="R61" s="60"/>
      <c r="S61" s="54"/>
      <c r="T61" s="2"/>
    </row>
    <row r="62" spans="1:21" ht="15.6" x14ac:dyDescent="0.3">
      <c r="A62" s="12"/>
      <c r="B62" s="20"/>
      <c r="C62" s="14"/>
      <c r="D62" s="14"/>
      <c r="E62" s="14"/>
      <c r="F62" s="14"/>
      <c r="G62" s="14"/>
      <c r="H62" s="14"/>
      <c r="I62" s="14"/>
      <c r="J62" s="14"/>
      <c r="K62" s="14"/>
      <c r="L62" s="14"/>
      <c r="M62" s="14"/>
      <c r="N62" s="14"/>
      <c r="O62" s="14"/>
      <c r="P62" s="14"/>
      <c r="Q62" s="14"/>
      <c r="R62" s="33"/>
      <c r="S62" s="217"/>
      <c r="T62" s="2"/>
    </row>
    <row r="63" spans="1:21" ht="46.8" x14ac:dyDescent="0.3">
      <c r="A63" s="12"/>
      <c r="B63" s="34" t="s">
        <v>14</v>
      </c>
      <c r="C63" s="35"/>
      <c r="D63" s="35"/>
      <c r="E63" s="35"/>
      <c r="F63" s="35" t="s">
        <v>76</v>
      </c>
      <c r="G63" s="35"/>
      <c r="H63" s="35" t="s">
        <v>78</v>
      </c>
      <c r="I63" s="35"/>
      <c r="J63" s="35" t="s">
        <v>162</v>
      </c>
      <c r="K63" s="35"/>
      <c r="L63" s="35" t="s">
        <v>163</v>
      </c>
      <c r="M63" s="35"/>
      <c r="N63" s="35" t="s">
        <v>81</v>
      </c>
      <c r="O63" s="35"/>
      <c r="P63" s="35" t="s">
        <v>86</v>
      </c>
      <c r="Q63" s="35"/>
      <c r="R63" s="36" t="s">
        <v>92</v>
      </c>
      <c r="S63" s="221"/>
      <c r="T63" s="2"/>
    </row>
    <row r="64" spans="1:21" ht="15.6" x14ac:dyDescent="0.3">
      <c r="A64" s="112"/>
      <c r="B64" s="113" t="s">
        <v>15</v>
      </c>
      <c r="C64" s="155"/>
      <c r="D64" s="155"/>
      <c r="E64" s="155"/>
      <c r="F64" s="155">
        <v>244234</v>
      </c>
      <c r="G64" s="155"/>
      <c r="H64" s="156">
        <v>235170</v>
      </c>
      <c r="I64" s="155"/>
      <c r="J64" s="156">
        <v>149</v>
      </c>
      <c r="K64" s="155"/>
      <c r="L64" s="155">
        <v>50788</v>
      </c>
      <c r="M64" s="155"/>
      <c r="N64" s="155">
        <v>16</v>
      </c>
      <c r="O64" s="155"/>
      <c r="P64" s="155">
        <f>17641</f>
        <v>17641</v>
      </c>
      <c r="Q64" s="155"/>
      <c r="R64" s="156">
        <f>H64-J64-L64+N64-P64</f>
        <v>166608</v>
      </c>
      <c r="S64" s="116"/>
      <c r="T64" s="2"/>
    </row>
    <row r="65" spans="1:20" ht="15.6" x14ac:dyDescent="0.3">
      <c r="A65" s="112"/>
      <c r="B65" s="113" t="s">
        <v>16</v>
      </c>
      <c r="C65" s="155"/>
      <c r="D65" s="155"/>
      <c r="E65" s="155"/>
      <c r="F65" s="155">
        <v>0</v>
      </c>
      <c r="G65" s="155"/>
      <c r="H65" s="156">
        <v>0</v>
      </c>
      <c r="I65" s="155"/>
      <c r="J65" s="156">
        <v>0</v>
      </c>
      <c r="K65" s="155"/>
      <c r="L65" s="155">
        <v>0</v>
      </c>
      <c r="M65" s="155"/>
      <c r="N65" s="155">
        <v>0</v>
      </c>
      <c r="O65" s="155"/>
      <c r="P65" s="155">
        <v>0</v>
      </c>
      <c r="Q65" s="155"/>
      <c r="R65" s="156">
        <f>F65-J65-L65</f>
        <v>0</v>
      </c>
      <c r="S65" s="116"/>
      <c r="T65" s="2"/>
    </row>
    <row r="66" spans="1:20" ht="15.6" x14ac:dyDescent="0.3">
      <c r="A66" s="112"/>
      <c r="B66" s="113"/>
      <c r="C66" s="155"/>
      <c r="D66" s="155"/>
      <c r="E66" s="155"/>
      <c r="F66" s="155"/>
      <c r="G66" s="155"/>
      <c r="H66" s="156"/>
      <c r="I66" s="155"/>
      <c r="J66" s="156"/>
      <c r="K66" s="155"/>
      <c r="L66" s="155"/>
      <c r="M66" s="155"/>
      <c r="N66" s="155"/>
      <c r="O66" s="155"/>
      <c r="P66" s="155"/>
      <c r="Q66" s="155"/>
      <c r="R66" s="156"/>
      <c r="S66" s="116"/>
      <c r="T66" s="2"/>
    </row>
    <row r="67" spans="1:20" ht="15.6" x14ac:dyDescent="0.3">
      <c r="A67" s="112"/>
      <c r="B67" s="113" t="s">
        <v>17</v>
      </c>
      <c r="C67" s="155"/>
      <c r="D67" s="155"/>
      <c r="E67" s="155"/>
      <c r="F67" s="155">
        <f>SUM(F64:F66)</f>
        <v>244234</v>
      </c>
      <c r="G67" s="155"/>
      <c r="H67" s="155">
        <f>H64+H65</f>
        <v>235170</v>
      </c>
      <c r="I67" s="155"/>
      <c r="J67" s="155">
        <f>J64+J65</f>
        <v>149</v>
      </c>
      <c r="K67" s="155"/>
      <c r="L67" s="155">
        <f>SUM(L64:L66)</f>
        <v>50788</v>
      </c>
      <c r="M67" s="155"/>
      <c r="N67" s="155">
        <f>SUM(N64:N66)</f>
        <v>16</v>
      </c>
      <c r="O67" s="155"/>
      <c r="P67" s="155">
        <f>SUM(P64:P66)</f>
        <v>17641</v>
      </c>
      <c r="Q67" s="155"/>
      <c r="R67" s="155">
        <f>SUM(R64:R66)</f>
        <v>166608</v>
      </c>
      <c r="S67" s="116"/>
      <c r="T67" s="2"/>
    </row>
    <row r="68" spans="1:20" ht="15.6" x14ac:dyDescent="0.3">
      <c r="A68" s="12"/>
      <c r="B68" s="43"/>
      <c r="C68" s="153"/>
      <c r="D68" s="153"/>
      <c r="E68" s="153"/>
      <c r="F68" s="153"/>
      <c r="G68" s="153"/>
      <c r="H68" s="153"/>
      <c r="I68" s="153"/>
      <c r="J68" s="153"/>
      <c r="K68" s="153"/>
      <c r="L68" s="153"/>
      <c r="M68" s="153"/>
      <c r="N68" s="153"/>
      <c r="O68" s="153"/>
      <c r="P68" s="153"/>
      <c r="Q68" s="153"/>
      <c r="R68" s="154"/>
      <c r="S68" s="217"/>
      <c r="T68" s="2"/>
    </row>
    <row r="69" spans="1:20" ht="15.6" x14ac:dyDescent="0.3">
      <c r="A69" s="12"/>
      <c r="B69" s="16" t="s">
        <v>18</v>
      </c>
      <c r="C69" s="38"/>
      <c r="D69" s="38"/>
      <c r="E69" s="38"/>
      <c r="F69" s="38"/>
      <c r="G69" s="38"/>
      <c r="H69" s="38"/>
      <c r="I69" s="38"/>
      <c r="J69" s="38"/>
      <c r="K69" s="38"/>
      <c r="L69" s="38"/>
      <c r="M69" s="38"/>
      <c r="N69" s="38"/>
      <c r="O69" s="38"/>
      <c r="P69" s="38"/>
      <c r="Q69" s="38"/>
      <c r="R69" s="39"/>
      <c r="S69" s="217"/>
      <c r="T69" s="2"/>
    </row>
    <row r="70" spans="1:20" ht="15.6" x14ac:dyDescent="0.3">
      <c r="A70" s="12"/>
      <c r="B70" s="14"/>
      <c r="C70" s="38"/>
      <c r="D70" s="38"/>
      <c r="E70" s="38"/>
      <c r="F70" s="38"/>
      <c r="G70" s="38"/>
      <c r="H70" s="38"/>
      <c r="I70" s="38"/>
      <c r="J70" s="38"/>
      <c r="K70" s="38"/>
      <c r="L70" s="38"/>
      <c r="M70" s="38"/>
      <c r="N70" s="38"/>
      <c r="O70" s="38"/>
      <c r="P70" s="38"/>
      <c r="Q70" s="38"/>
      <c r="R70" s="39"/>
      <c r="S70" s="217"/>
      <c r="T70" s="2"/>
    </row>
    <row r="71" spans="1:20" ht="15.6" x14ac:dyDescent="0.3">
      <c r="A71" s="112"/>
      <c r="B71" s="113" t="s">
        <v>15</v>
      </c>
      <c r="C71" s="155"/>
      <c r="D71" s="155"/>
      <c r="E71" s="155"/>
      <c r="F71" s="155"/>
      <c r="G71" s="155"/>
      <c r="H71" s="155"/>
      <c r="I71" s="155"/>
      <c r="J71" s="155"/>
      <c r="K71" s="155"/>
      <c r="L71" s="155"/>
      <c r="M71" s="155"/>
      <c r="N71" s="155"/>
      <c r="O71" s="155"/>
      <c r="P71" s="155"/>
      <c r="Q71" s="155"/>
      <c r="R71" s="155"/>
      <c r="S71" s="116"/>
      <c r="T71" s="2"/>
    </row>
    <row r="72" spans="1:20" ht="15.6" x14ac:dyDescent="0.3">
      <c r="A72" s="112"/>
      <c r="B72" s="113" t="s">
        <v>16</v>
      </c>
      <c r="C72" s="155"/>
      <c r="D72" s="155"/>
      <c r="E72" s="155"/>
      <c r="F72" s="155"/>
      <c r="G72" s="155"/>
      <c r="H72" s="155"/>
      <c r="I72" s="155"/>
      <c r="J72" s="155"/>
      <c r="K72" s="155"/>
      <c r="L72" s="155"/>
      <c r="M72" s="155"/>
      <c r="N72" s="155"/>
      <c r="O72" s="155"/>
      <c r="P72" s="155"/>
      <c r="Q72" s="155"/>
      <c r="R72" s="155"/>
      <c r="S72" s="116"/>
      <c r="T72" s="2"/>
    </row>
    <row r="73" spans="1:20" ht="15.6" x14ac:dyDescent="0.3">
      <c r="A73" s="112"/>
      <c r="B73" s="113"/>
      <c r="C73" s="155"/>
      <c r="D73" s="155"/>
      <c r="E73" s="155"/>
      <c r="F73" s="155"/>
      <c r="G73" s="155"/>
      <c r="H73" s="155"/>
      <c r="I73" s="155"/>
      <c r="J73" s="155"/>
      <c r="K73" s="155"/>
      <c r="L73" s="155"/>
      <c r="M73" s="155"/>
      <c r="N73" s="155"/>
      <c r="O73" s="155"/>
      <c r="P73" s="155"/>
      <c r="Q73" s="155"/>
      <c r="R73" s="155"/>
      <c r="S73" s="116"/>
      <c r="T73" s="2"/>
    </row>
    <row r="74" spans="1:20" ht="15.6" x14ac:dyDescent="0.3">
      <c r="A74" s="112"/>
      <c r="B74" s="113" t="s">
        <v>17</v>
      </c>
      <c r="C74" s="155"/>
      <c r="D74" s="155"/>
      <c r="E74" s="155"/>
      <c r="F74" s="155"/>
      <c r="G74" s="155"/>
      <c r="H74" s="155"/>
      <c r="I74" s="155"/>
      <c r="J74" s="155"/>
      <c r="K74" s="155"/>
      <c r="L74" s="155"/>
      <c r="M74" s="155"/>
      <c r="N74" s="155"/>
      <c r="O74" s="155"/>
      <c r="P74" s="155"/>
      <c r="Q74" s="155"/>
      <c r="R74" s="155"/>
      <c r="S74" s="116"/>
      <c r="T74" s="2"/>
    </row>
    <row r="75" spans="1:20" ht="15.6" x14ac:dyDescent="0.3">
      <c r="A75" s="112"/>
      <c r="B75" s="113"/>
      <c r="C75" s="155"/>
      <c r="D75" s="155"/>
      <c r="E75" s="155"/>
      <c r="F75" s="155"/>
      <c r="G75" s="155"/>
      <c r="H75" s="155"/>
      <c r="I75" s="155"/>
      <c r="J75" s="155"/>
      <c r="K75" s="155"/>
      <c r="L75" s="155"/>
      <c r="M75" s="155"/>
      <c r="N75" s="155"/>
      <c r="O75" s="155"/>
      <c r="P75" s="155"/>
      <c r="Q75" s="155"/>
      <c r="R75" s="155"/>
      <c r="S75" s="116"/>
      <c r="T75" s="2"/>
    </row>
    <row r="76" spans="1:20" ht="15.6" x14ac:dyDescent="0.3">
      <c r="A76" s="112"/>
      <c r="B76" s="113" t="s">
        <v>19</v>
      </c>
      <c r="C76" s="155"/>
      <c r="D76" s="155"/>
      <c r="E76" s="155"/>
      <c r="F76" s="155">
        <v>0</v>
      </c>
      <c r="G76" s="155"/>
      <c r="H76" s="155">
        <v>0</v>
      </c>
      <c r="I76" s="155"/>
      <c r="J76" s="155"/>
      <c r="K76" s="155"/>
      <c r="L76" s="155"/>
      <c r="M76" s="155"/>
      <c r="N76" s="155"/>
      <c r="O76" s="155"/>
      <c r="P76" s="155"/>
      <c r="Q76" s="155"/>
      <c r="R76" s="156">
        <v>0</v>
      </c>
      <c r="S76" s="116"/>
      <c r="T76" s="2"/>
    </row>
    <row r="77" spans="1:20" ht="15.6" x14ac:dyDescent="0.3">
      <c r="A77" s="112"/>
      <c r="B77" s="113" t="s">
        <v>196</v>
      </c>
      <c r="C77" s="155"/>
      <c r="D77" s="155"/>
      <c r="E77" s="155"/>
      <c r="F77" s="155">
        <v>53165</v>
      </c>
      <c r="G77" s="155"/>
      <c r="H77" s="155">
        <v>0</v>
      </c>
      <c r="I77" s="155"/>
      <c r="J77" s="155">
        <v>0</v>
      </c>
      <c r="K77" s="155"/>
      <c r="L77" s="155">
        <v>0</v>
      </c>
      <c r="M77" s="155"/>
      <c r="N77" s="155"/>
      <c r="O77" s="155"/>
      <c r="P77" s="155"/>
      <c r="Q77" s="155"/>
      <c r="R77" s="155">
        <v>0</v>
      </c>
      <c r="S77" s="116"/>
      <c r="T77" s="2"/>
    </row>
    <row r="78" spans="1:20" ht="15.6" x14ac:dyDescent="0.3">
      <c r="A78" s="112"/>
      <c r="B78" s="113" t="s">
        <v>206</v>
      </c>
      <c r="C78" s="155"/>
      <c r="D78" s="155"/>
      <c r="E78" s="155"/>
      <c r="F78" s="155">
        <v>2610</v>
      </c>
      <c r="G78" s="155"/>
      <c r="H78" s="155">
        <v>0</v>
      </c>
      <c r="I78" s="155"/>
      <c r="J78" s="155"/>
      <c r="K78" s="155"/>
      <c r="L78" s="155"/>
      <c r="M78" s="155"/>
      <c r="N78" s="155">
        <v>0</v>
      </c>
      <c r="O78" s="155"/>
      <c r="P78" s="155"/>
      <c r="Q78" s="155"/>
      <c r="R78" s="155">
        <f>H78+N78</f>
        <v>0</v>
      </c>
      <c r="S78" s="116"/>
      <c r="T78" s="2"/>
    </row>
    <row r="79" spans="1:20" ht="15.6" x14ac:dyDescent="0.3">
      <c r="A79" s="112"/>
      <c r="B79" s="113" t="s">
        <v>20</v>
      </c>
      <c r="C79" s="155"/>
      <c r="D79" s="155"/>
      <c r="E79" s="155"/>
      <c r="F79" s="155">
        <v>0</v>
      </c>
      <c r="G79" s="155"/>
      <c r="H79" s="155">
        <v>0</v>
      </c>
      <c r="I79" s="155"/>
      <c r="J79" s="155"/>
      <c r="K79" s="155"/>
      <c r="L79" s="155"/>
      <c r="M79" s="155"/>
      <c r="N79" s="155"/>
      <c r="O79" s="155"/>
      <c r="P79" s="155"/>
      <c r="Q79" s="155"/>
      <c r="R79" s="155">
        <v>0</v>
      </c>
      <c r="S79" s="116"/>
      <c r="T79" s="2"/>
    </row>
    <row r="80" spans="1:20" ht="15.6" x14ac:dyDescent="0.3">
      <c r="A80" s="112"/>
      <c r="B80" s="113" t="s">
        <v>21</v>
      </c>
      <c r="C80" s="155"/>
      <c r="D80" s="155"/>
      <c r="E80" s="155"/>
      <c r="F80" s="155">
        <f>SUM(F67:F79)</f>
        <v>300009</v>
      </c>
      <c r="G80" s="155"/>
      <c r="H80" s="155">
        <f>SUM(H67:H79)</f>
        <v>235170</v>
      </c>
      <c r="I80" s="155"/>
      <c r="J80" s="155"/>
      <c r="K80" s="155"/>
      <c r="L80" s="155"/>
      <c r="M80" s="155"/>
      <c r="N80" s="155"/>
      <c r="O80" s="155"/>
      <c r="P80" s="155"/>
      <c r="Q80" s="155"/>
      <c r="R80" s="155">
        <f>SUM(R67:R79)</f>
        <v>166608</v>
      </c>
      <c r="S80" s="116"/>
      <c r="T80" s="2"/>
    </row>
    <row r="81" spans="1:20" ht="15.6" x14ac:dyDescent="0.3">
      <c r="A81" s="12"/>
      <c r="B81" s="43"/>
      <c r="C81" s="153"/>
      <c r="D81" s="153"/>
      <c r="E81" s="153"/>
      <c r="F81" s="153"/>
      <c r="G81" s="153"/>
      <c r="H81" s="153"/>
      <c r="I81" s="153"/>
      <c r="J81" s="153"/>
      <c r="K81" s="153"/>
      <c r="L81" s="153"/>
      <c r="M81" s="153"/>
      <c r="N81" s="153"/>
      <c r="O81" s="153"/>
      <c r="P81" s="153"/>
      <c r="Q81" s="153"/>
      <c r="R81" s="154"/>
      <c r="S81" s="217"/>
      <c r="T81" s="2"/>
    </row>
    <row r="82" spans="1:20" ht="15.6" x14ac:dyDescent="0.3">
      <c r="A82" s="12"/>
      <c r="B82" s="14"/>
      <c r="C82" s="14"/>
      <c r="D82" s="14"/>
      <c r="E82" s="14"/>
      <c r="F82" s="14"/>
      <c r="G82" s="14"/>
      <c r="H82" s="14"/>
      <c r="I82" s="14"/>
      <c r="J82" s="14"/>
      <c r="K82" s="14"/>
      <c r="L82" s="14"/>
      <c r="M82" s="14"/>
      <c r="N82" s="14"/>
      <c r="O82" s="14"/>
      <c r="P82" s="14"/>
      <c r="Q82" s="14"/>
      <c r="R82" s="14"/>
      <c r="S82" s="217"/>
      <c r="T82" s="2"/>
    </row>
    <row r="83" spans="1:20" ht="15.6" x14ac:dyDescent="0.3">
      <c r="A83" s="53"/>
      <c r="B83" s="61" t="s">
        <v>22</v>
      </c>
      <c r="C83" s="61"/>
      <c r="D83" s="62"/>
      <c r="E83" s="62"/>
      <c r="F83" s="62"/>
      <c r="G83" s="62"/>
      <c r="H83" s="63" t="s">
        <v>77</v>
      </c>
      <c r="I83" s="62"/>
      <c r="J83" s="64">
        <f>+P206</f>
        <v>42886</v>
      </c>
      <c r="K83" s="62"/>
      <c r="L83" s="62"/>
      <c r="M83" s="62"/>
      <c r="N83" s="62"/>
      <c r="O83" s="62"/>
      <c r="P83" s="62" t="s">
        <v>87</v>
      </c>
      <c r="Q83" s="62"/>
      <c r="R83" s="62" t="s">
        <v>93</v>
      </c>
      <c r="S83" s="219"/>
      <c r="T83" s="2"/>
    </row>
    <row r="84" spans="1:20" ht="15.6" x14ac:dyDescent="0.3">
      <c r="A84" s="77"/>
      <c r="B84" s="79" t="s">
        <v>23</v>
      </c>
      <c r="C84" s="25"/>
      <c r="D84" s="25"/>
      <c r="E84" s="25"/>
      <c r="F84" s="25"/>
      <c r="G84" s="25"/>
      <c r="H84" s="25"/>
      <c r="I84" s="25"/>
      <c r="J84" s="25"/>
      <c r="K84" s="25"/>
      <c r="L84" s="25"/>
      <c r="M84" s="25"/>
      <c r="N84" s="25"/>
      <c r="O84" s="25"/>
      <c r="P84" s="78">
        <v>0</v>
      </c>
      <c r="Q84" s="79"/>
      <c r="R84" s="82">
        <v>0</v>
      </c>
      <c r="S84" s="222"/>
      <c r="T84" s="2"/>
    </row>
    <row r="85" spans="1:20" ht="15.6" x14ac:dyDescent="0.3">
      <c r="A85" s="122"/>
      <c r="B85" s="113" t="s">
        <v>218</v>
      </c>
      <c r="C85" s="135"/>
      <c r="D85" s="157"/>
      <c r="E85" s="157"/>
      <c r="F85" s="157"/>
      <c r="G85" s="158"/>
      <c r="H85" s="157"/>
      <c r="I85" s="135"/>
      <c r="J85" s="159"/>
      <c r="K85" s="135"/>
      <c r="L85" s="135"/>
      <c r="M85" s="135"/>
      <c r="N85" s="135"/>
      <c r="O85" s="135"/>
      <c r="P85" s="155">
        <f>-N78</f>
        <v>0</v>
      </c>
      <c r="Q85" s="113"/>
      <c r="R85" s="156"/>
      <c r="S85" s="139"/>
      <c r="T85" s="2"/>
    </row>
    <row r="86" spans="1:20" ht="15.6" x14ac:dyDescent="0.3">
      <c r="A86" s="122"/>
      <c r="B86" s="113" t="s">
        <v>219</v>
      </c>
      <c r="C86" s="135"/>
      <c r="D86" s="157"/>
      <c r="E86" s="157"/>
      <c r="F86" s="157"/>
      <c r="G86" s="158"/>
      <c r="H86" s="157"/>
      <c r="I86" s="135"/>
      <c r="J86" s="159"/>
      <c r="K86" s="135"/>
      <c r="L86" s="135"/>
      <c r="M86" s="135"/>
      <c r="N86" s="135"/>
      <c r="O86" s="135"/>
      <c r="P86" s="155">
        <v>0</v>
      </c>
      <c r="Q86" s="113"/>
      <c r="R86" s="156"/>
      <c r="S86" s="139"/>
      <c r="T86" s="2"/>
    </row>
    <row r="87" spans="1:20" ht="15.6" x14ac:dyDescent="0.3">
      <c r="A87" s="122"/>
      <c r="B87" s="113" t="s">
        <v>24</v>
      </c>
      <c r="C87" s="135"/>
      <c r="D87" s="157"/>
      <c r="E87" s="157"/>
      <c r="F87" s="157"/>
      <c r="G87" s="158"/>
      <c r="H87" s="157"/>
      <c r="I87" s="135"/>
      <c r="J87" s="159"/>
      <c r="K87" s="135"/>
      <c r="L87" s="135"/>
      <c r="M87" s="135"/>
      <c r="N87" s="135"/>
      <c r="O87" s="135"/>
      <c r="P87" s="155">
        <f>+J64+L64+P64</f>
        <v>68578</v>
      </c>
      <c r="Q87" s="113"/>
      <c r="R87" s="156"/>
      <c r="S87" s="139"/>
      <c r="T87" s="2"/>
    </row>
    <row r="88" spans="1:20" ht="15.6" x14ac:dyDescent="0.3">
      <c r="A88" s="122"/>
      <c r="B88" s="113" t="s">
        <v>135</v>
      </c>
      <c r="C88" s="135"/>
      <c r="D88" s="157"/>
      <c r="E88" s="157"/>
      <c r="F88" s="157"/>
      <c r="G88" s="158"/>
      <c r="H88" s="157"/>
      <c r="I88" s="135"/>
      <c r="J88" s="159"/>
      <c r="K88" s="135"/>
      <c r="L88" s="135"/>
      <c r="M88" s="135"/>
      <c r="N88" s="135"/>
      <c r="O88" s="135"/>
      <c r="P88" s="155"/>
      <c r="Q88" s="113"/>
      <c r="R88" s="156">
        <f>2710-386-48</f>
        <v>2276</v>
      </c>
      <c r="S88" s="139"/>
      <c r="T88" s="2"/>
    </row>
    <row r="89" spans="1:20" ht="15.6" x14ac:dyDescent="0.3">
      <c r="A89" s="122"/>
      <c r="B89" s="113" t="s">
        <v>133</v>
      </c>
      <c r="C89" s="135"/>
      <c r="D89" s="157"/>
      <c r="E89" s="157"/>
      <c r="F89" s="157"/>
      <c r="G89" s="158"/>
      <c r="H89" s="157"/>
      <c r="I89" s="135"/>
      <c r="J89" s="159"/>
      <c r="K89" s="135"/>
      <c r="L89" s="135"/>
      <c r="M89" s="135"/>
      <c r="N89" s="135"/>
      <c r="O89" s="135"/>
      <c r="P89" s="155"/>
      <c r="Q89" s="113"/>
      <c r="R89" s="156">
        <v>164</v>
      </c>
      <c r="S89" s="139"/>
      <c r="T89" s="2"/>
    </row>
    <row r="90" spans="1:20" ht="15.6" x14ac:dyDescent="0.3">
      <c r="A90" s="122"/>
      <c r="B90" s="113" t="s">
        <v>134</v>
      </c>
      <c r="C90" s="135"/>
      <c r="D90" s="157"/>
      <c r="E90" s="157"/>
      <c r="F90" s="157"/>
      <c r="G90" s="158"/>
      <c r="H90" s="157"/>
      <c r="I90" s="135"/>
      <c r="J90" s="159"/>
      <c r="K90" s="135"/>
      <c r="L90" s="135"/>
      <c r="M90" s="135"/>
      <c r="N90" s="135"/>
      <c r="O90" s="135"/>
      <c r="P90" s="155"/>
      <c r="Q90" s="113"/>
      <c r="R90" s="156">
        <v>16</v>
      </c>
      <c r="S90" s="139"/>
      <c r="T90" s="2"/>
    </row>
    <row r="91" spans="1:20" ht="15.6" x14ac:dyDescent="0.3">
      <c r="A91" s="122"/>
      <c r="B91" s="113" t="s">
        <v>143</v>
      </c>
      <c r="C91" s="135"/>
      <c r="D91" s="157"/>
      <c r="E91" s="157"/>
      <c r="F91" s="157"/>
      <c r="G91" s="158"/>
      <c r="H91" s="157"/>
      <c r="I91" s="135"/>
      <c r="J91" s="159"/>
      <c r="K91" s="135"/>
      <c r="L91" s="135"/>
      <c r="M91" s="135"/>
      <c r="N91" s="135"/>
      <c r="O91" s="135"/>
      <c r="P91" s="155"/>
      <c r="Q91" s="113"/>
      <c r="R91" s="156">
        <v>0</v>
      </c>
      <c r="S91" s="139"/>
      <c r="T91" s="2"/>
    </row>
    <row r="92" spans="1:20" ht="15.6" x14ac:dyDescent="0.3">
      <c r="A92" s="122"/>
      <c r="B92" s="113" t="s">
        <v>145</v>
      </c>
      <c r="C92" s="135"/>
      <c r="D92" s="157"/>
      <c r="E92" s="157"/>
      <c r="F92" s="157"/>
      <c r="G92" s="158"/>
      <c r="H92" s="157"/>
      <c r="I92" s="135"/>
      <c r="J92" s="159"/>
      <c r="K92" s="135"/>
      <c r="L92" s="135"/>
      <c r="M92" s="135"/>
      <c r="N92" s="135"/>
      <c r="O92" s="135"/>
      <c r="P92" s="155"/>
      <c r="Q92" s="113"/>
      <c r="R92" s="156">
        <v>265</v>
      </c>
      <c r="S92" s="139"/>
      <c r="T92" s="2"/>
    </row>
    <row r="93" spans="1:20" ht="15.6" x14ac:dyDescent="0.3">
      <c r="A93" s="122"/>
      <c r="B93" s="113" t="s">
        <v>164</v>
      </c>
      <c r="C93" s="135"/>
      <c r="D93" s="157"/>
      <c r="E93" s="157"/>
      <c r="F93" s="157"/>
      <c r="G93" s="158"/>
      <c r="H93" s="157"/>
      <c r="I93" s="135"/>
      <c r="J93" s="159"/>
      <c r="K93" s="135"/>
      <c r="L93" s="135"/>
      <c r="M93" s="135"/>
      <c r="N93" s="135"/>
      <c r="O93" s="135"/>
      <c r="P93" s="155"/>
      <c r="Q93" s="113"/>
      <c r="R93" s="156">
        <v>0</v>
      </c>
      <c r="S93" s="139"/>
      <c r="T93" s="2"/>
    </row>
    <row r="94" spans="1:20" ht="15.6" x14ac:dyDescent="0.3">
      <c r="A94" s="122"/>
      <c r="B94" s="113" t="s">
        <v>165</v>
      </c>
      <c r="C94" s="135"/>
      <c r="D94" s="157"/>
      <c r="E94" s="157"/>
      <c r="F94" s="157"/>
      <c r="G94" s="158"/>
      <c r="H94" s="157"/>
      <c r="I94" s="135"/>
      <c r="J94" s="159"/>
      <c r="K94" s="135"/>
      <c r="L94" s="135"/>
      <c r="M94" s="135"/>
      <c r="N94" s="135"/>
      <c r="O94" s="135"/>
      <c r="P94" s="155"/>
      <c r="Q94" s="113"/>
      <c r="R94" s="156">
        <v>0</v>
      </c>
      <c r="S94" s="139"/>
      <c r="T94" s="2"/>
    </row>
    <row r="95" spans="1:20" ht="15.6" x14ac:dyDescent="0.3">
      <c r="A95" s="122"/>
      <c r="B95" s="113" t="s">
        <v>166</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c r="B96" s="113" t="s">
        <v>264</v>
      </c>
      <c r="C96" s="135"/>
      <c r="D96" s="135"/>
      <c r="E96" s="135"/>
      <c r="F96" s="135"/>
      <c r="G96" s="135"/>
      <c r="H96" s="135"/>
      <c r="I96" s="135"/>
      <c r="J96" s="135"/>
      <c r="K96" s="135"/>
      <c r="L96" s="135"/>
      <c r="M96" s="135"/>
      <c r="N96" s="135"/>
      <c r="O96" s="135"/>
      <c r="P96" s="155"/>
      <c r="Q96" s="113"/>
      <c r="R96" s="156">
        <v>0</v>
      </c>
      <c r="S96" s="139"/>
      <c r="T96" s="2"/>
    </row>
    <row r="97" spans="1:21" ht="15.6" x14ac:dyDescent="0.3">
      <c r="A97" s="122"/>
      <c r="B97" s="113" t="s">
        <v>25</v>
      </c>
      <c r="C97" s="135"/>
      <c r="D97" s="135"/>
      <c r="E97" s="135"/>
      <c r="F97" s="135"/>
      <c r="G97" s="135"/>
      <c r="H97" s="135"/>
      <c r="I97" s="135"/>
      <c r="J97" s="135"/>
      <c r="K97" s="135"/>
      <c r="L97" s="135"/>
      <c r="M97" s="135"/>
      <c r="N97" s="135"/>
      <c r="O97" s="135"/>
      <c r="P97" s="155">
        <f>SUM(P84:P96)</f>
        <v>68578</v>
      </c>
      <c r="Q97" s="113"/>
      <c r="R97" s="155">
        <f>SUM(R84:R96)</f>
        <v>2721</v>
      </c>
      <c r="S97" s="139"/>
      <c r="T97" s="2"/>
    </row>
    <row r="98" spans="1:21" ht="15.6" x14ac:dyDescent="0.3">
      <c r="A98" s="122"/>
      <c r="B98" s="113" t="s">
        <v>26</v>
      </c>
      <c r="C98" s="135"/>
      <c r="D98" s="135"/>
      <c r="E98" s="135"/>
      <c r="F98" s="135"/>
      <c r="G98" s="135"/>
      <c r="H98" s="135"/>
      <c r="I98" s="135"/>
      <c r="J98" s="135"/>
      <c r="K98" s="135"/>
      <c r="L98" s="135"/>
      <c r="M98" s="135"/>
      <c r="N98" s="135"/>
      <c r="O98" s="135"/>
      <c r="P98" s="155">
        <f>-R98</f>
        <v>0</v>
      </c>
      <c r="Q98" s="113"/>
      <c r="R98" s="156">
        <v>0</v>
      </c>
      <c r="S98" s="139"/>
      <c r="T98" s="2"/>
    </row>
    <row r="99" spans="1:21" ht="15.6" x14ac:dyDescent="0.3">
      <c r="A99" s="122"/>
      <c r="B99" s="113" t="s">
        <v>150</v>
      </c>
      <c r="C99" s="135"/>
      <c r="D99" s="135"/>
      <c r="E99" s="135"/>
      <c r="F99" s="135"/>
      <c r="G99" s="135"/>
      <c r="H99" s="135"/>
      <c r="I99" s="135"/>
      <c r="J99" s="135"/>
      <c r="K99" s="135"/>
      <c r="L99" s="135"/>
      <c r="M99" s="135"/>
      <c r="N99" s="135"/>
      <c r="O99" s="135"/>
      <c r="P99" s="155"/>
      <c r="Q99" s="113"/>
      <c r="R99" s="156">
        <v>0</v>
      </c>
      <c r="S99" s="139"/>
      <c r="T99" s="2"/>
    </row>
    <row r="100" spans="1:21" ht="15.6" x14ac:dyDescent="0.3">
      <c r="A100" s="122"/>
      <c r="B100" s="113" t="s">
        <v>27</v>
      </c>
      <c r="C100" s="135"/>
      <c r="D100" s="135"/>
      <c r="E100" s="135"/>
      <c r="F100" s="135"/>
      <c r="G100" s="135"/>
      <c r="H100" s="135"/>
      <c r="I100" s="135"/>
      <c r="J100" s="135"/>
      <c r="K100" s="135"/>
      <c r="L100" s="135"/>
      <c r="M100" s="135"/>
      <c r="N100" s="135"/>
      <c r="O100" s="135"/>
      <c r="P100" s="155">
        <f>P97+P98</f>
        <v>68578</v>
      </c>
      <c r="Q100" s="113"/>
      <c r="R100" s="155">
        <f>R97+R98+R99</f>
        <v>2721</v>
      </c>
      <c r="S100" s="139"/>
      <c r="T100" s="2"/>
    </row>
    <row r="101" spans="1:21" ht="15.6" x14ac:dyDescent="0.3">
      <c r="A101" s="112"/>
      <c r="B101" s="160" t="s">
        <v>28</v>
      </c>
      <c r="C101" s="135"/>
      <c r="D101" s="135"/>
      <c r="E101" s="135"/>
      <c r="F101" s="135"/>
      <c r="G101" s="135"/>
      <c r="H101" s="135"/>
      <c r="I101" s="135"/>
      <c r="J101" s="135"/>
      <c r="K101" s="135"/>
      <c r="L101" s="135"/>
      <c r="M101" s="135"/>
      <c r="N101" s="135"/>
      <c r="O101" s="135"/>
      <c r="P101" s="155"/>
      <c r="Q101" s="113"/>
      <c r="R101" s="156"/>
      <c r="S101" s="139"/>
      <c r="T101" s="2"/>
    </row>
    <row r="102" spans="1:21" ht="15.6" x14ac:dyDescent="0.3">
      <c r="A102" s="122">
        <v>1</v>
      </c>
      <c r="B102" s="113" t="s">
        <v>175</v>
      </c>
      <c r="C102" s="135"/>
      <c r="D102" s="135"/>
      <c r="E102" s="135"/>
      <c r="F102" s="135"/>
      <c r="G102" s="135"/>
      <c r="H102" s="135"/>
      <c r="I102" s="135"/>
      <c r="J102" s="135"/>
      <c r="K102" s="135"/>
      <c r="L102" s="135"/>
      <c r="M102" s="135"/>
      <c r="N102" s="135"/>
      <c r="O102" s="135"/>
      <c r="P102" s="155"/>
      <c r="Q102" s="113"/>
      <c r="R102" s="156">
        <v>0</v>
      </c>
      <c r="S102" s="139"/>
      <c r="T102" s="2"/>
    </row>
    <row r="103" spans="1:21" ht="15.6" x14ac:dyDescent="0.3">
      <c r="A103" s="122">
        <v>2</v>
      </c>
      <c r="B103" s="113" t="s">
        <v>195</v>
      </c>
      <c r="C103" s="113"/>
      <c r="D103" s="135"/>
      <c r="E103" s="135"/>
      <c r="F103" s="135"/>
      <c r="G103" s="135"/>
      <c r="H103" s="135"/>
      <c r="I103" s="135"/>
      <c r="J103" s="135"/>
      <c r="K103" s="135"/>
      <c r="L103" s="135"/>
      <c r="M103" s="135"/>
      <c r="N103" s="135"/>
      <c r="O103" s="135"/>
      <c r="P103" s="113"/>
      <c r="Q103" s="113"/>
      <c r="R103" s="156">
        <v>-3</v>
      </c>
      <c r="S103" s="139"/>
      <c r="T103" s="2"/>
    </row>
    <row r="104" spans="1:21" ht="15.6" x14ac:dyDescent="0.3">
      <c r="A104" s="122">
        <v>3</v>
      </c>
      <c r="B104" s="113" t="s">
        <v>287</v>
      </c>
      <c r="C104" s="113"/>
      <c r="D104" s="135"/>
      <c r="E104" s="135"/>
      <c r="F104" s="135"/>
      <c r="G104" s="135"/>
      <c r="H104" s="135"/>
      <c r="I104" s="135"/>
      <c r="J104" s="135"/>
      <c r="K104" s="135"/>
      <c r="L104" s="135"/>
      <c r="M104" s="135"/>
      <c r="N104" s="135"/>
      <c r="O104" s="135"/>
      <c r="P104" s="113"/>
      <c r="Q104" s="113"/>
      <c r="R104" s="156">
        <f>-89-34-3</f>
        <v>-126</v>
      </c>
      <c r="S104" s="139"/>
      <c r="T104" s="2"/>
    </row>
    <row r="105" spans="1:21" ht="15.6" x14ac:dyDescent="0.3">
      <c r="A105" s="122">
        <v>4</v>
      </c>
      <c r="B105" s="113" t="s">
        <v>96</v>
      </c>
      <c r="C105" s="113"/>
      <c r="D105" s="135"/>
      <c r="E105" s="135"/>
      <c r="F105" s="135"/>
      <c r="G105" s="135"/>
      <c r="H105" s="135"/>
      <c r="I105" s="135"/>
      <c r="J105" s="135"/>
      <c r="K105" s="135"/>
      <c r="L105" s="135"/>
      <c r="M105" s="135"/>
      <c r="N105" s="135"/>
      <c r="O105" s="135"/>
      <c r="P105" s="113"/>
      <c r="Q105" s="113"/>
      <c r="R105" s="156">
        <v>-89</v>
      </c>
      <c r="S105" s="139"/>
      <c r="T105" s="2"/>
    </row>
    <row r="106" spans="1:21" ht="15.6" x14ac:dyDescent="0.3">
      <c r="A106" s="122" t="s">
        <v>274</v>
      </c>
      <c r="B106" s="113" t="s">
        <v>272</v>
      </c>
      <c r="C106" s="113"/>
      <c r="D106" s="135"/>
      <c r="E106" s="135"/>
      <c r="F106" s="135"/>
      <c r="G106" s="135"/>
      <c r="H106" s="135"/>
      <c r="I106" s="135"/>
      <c r="J106" s="135"/>
      <c r="K106" s="135"/>
      <c r="L106" s="135"/>
      <c r="M106" s="135"/>
      <c r="N106" s="135"/>
      <c r="O106" s="135"/>
      <c r="P106" s="113"/>
      <c r="Q106" s="113"/>
      <c r="R106" s="156">
        <v>-309</v>
      </c>
      <c r="S106" s="139"/>
      <c r="T106" s="2"/>
      <c r="U106" s="4"/>
    </row>
    <row r="107" spans="1:21" ht="15.6" x14ac:dyDescent="0.3">
      <c r="A107" s="122" t="s">
        <v>275</v>
      </c>
      <c r="B107" s="113" t="s">
        <v>266</v>
      </c>
      <c r="C107" s="113"/>
      <c r="D107" s="135"/>
      <c r="E107" s="135"/>
      <c r="F107" s="135"/>
      <c r="G107" s="135"/>
      <c r="H107" s="135"/>
      <c r="I107" s="135"/>
      <c r="J107" s="135"/>
      <c r="K107" s="135"/>
      <c r="L107" s="135"/>
      <c r="M107" s="135"/>
      <c r="N107" s="135"/>
      <c r="O107" s="135"/>
      <c r="P107" s="113"/>
      <c r="Q107" s="113"/>
      <c r="R107" s="156">
        <v>-332</v>
      </c>
      <c r="S107" s="139"/>
      <c r="T107" s="2"/>
      <c r="U107" s="4"/>
    </row>
    <row r="108" spans="1:21" ht="15.6" x14ac:dyDescent="0.3">
      <c r="A108" s="122">
        <v>6</v>
      </c>
      <c r="B108" s="113" t="s">
        <v>189</v>
      </c>
      <c r="C108" s="113"/>
      <c r="D108" s="135"/>
      <c r="E108" s="135"/>
      <c r="F108" s="135"/>
      <c r="G108" s="135"/>
      <c r="H108" s="135"/>
      <c r="I108" s="135"/>
      <c r="J108" s="135"/>
      <c r="K108" s="135"/>
      <c r="L108" s="135"/>
      <c r="M108" s="135"/>
      <c r="N108" s="135"/>
      <c r="O108" s="135"/>
      <c r="P108" s="113"/>
      <c r="Q108" s="113"/>
      <c r="R108" s="156">
        <v>-51</v>
      </c>
      <c r="S108" s="139"/>
      <c r="T108" s="2"/>
      <c r="U108" s="4"/>
    </row>
    <row r="109" spans="1:21" ht="15.6" x14ac:dyDescent="0.3">
      <c r="A109" s="122">
        <v>7</v>
      </c>
      <c r="B109" s="113" t="s">
        <v>190</v>
      </c>
      <c r="C109" s="113"/>
      <c r="D109" s="135"/>
      <c r="E109" s="135"/>
      <c r="F109" s="135"/>
      <c r="G109" s="135"/>
      <c r="H109" s="135"/>
      <c r="I109" s="135"/>
      <c r="J109" s="135"/>
      <c r="K109" s="135"/>
      <c r="L109" s="135"/>
      <c r="M109" s="135"/>
      <c r="N109" s="135"/>
      <c r="O109" s="135"/>
      <c r="P109" s="113"/>
      <c r="Q109" s="113"/>
      <c r="R109" s="156">
        <v>-60</v>
      </c>
      <c r="S109" s="139"/>
      <c r="T109" s="2"/>
      <c r="U109" s="4"/>
    </row>
    <row r="110" spans="1:21" ht="15.6" x14ac:dyDescent="0.3">
      <c r="A110" s="122">
        <v>8</v>
      </c>
      <c r="B110" s="113" t="s">
        <v>156</v>
      </c>
      <c r="C110" s="113"/>
      <c r="D110" s="135"/>
      <c r="E110" s="135"/>
      <c r="F110" s="135"/>
      <c r="G110" s="135"/>
      <c r="H110" s="135"/>
      <c r="I110" s="135"/>
      <c r="J110" s="135"/>
      <c r="K110" s="135"/>
      <c r="L110" s="135"/>
      <c r="M110" s="135"/>
      <c r="N110" s="135"/>
      <c r="O110" s="135"/>
      <c r="P110" s="113"/>
      <c r="Q110" s="113"/>
      <c r="R110" s="156">
        <v>0</v>
      </c>
      <c r="S110" s="139"/>
      <c r="T110" s="2"/>
      <c r="U110" s="4"/>
    </row>
    <row r="111" spans="1:21" ht="15.6" x14ac:dyDescent="0.3">
      <c r="A111" s="122">
        <v>9</v>
      </c>
      <c r="B111" s="113" t="s">
        <v>37</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22">
        <v>10</v>
      </c>
      <c r="B112" s="113" t="s">
        <v>101</v>
      </c>
      <c r="C112" s="113"/>
      <c r="D112" s="135"/>
      <c r="E112" s="135"/>
      <c r="F112" s="135"/>
      <c r="G112" s="135"/>
      <c r="H112" s="135"/>
      <c r="I112" s="135"/>
      <c r="J112" s="135"/>
      <c r="K112" s="135"/>
      <c r="L112" s="135"/>
      <c r="M112" s="135"/>
      <c r="N112" s="135"/>
      <c r="O112" s="135"/>
      <c r="P112" s="113"/>
      <c r="Q112" s="113"/>
      <c r="R112" s="156">
        <v>0</v>
      </c>
      <c r="S112" s="139"/>
      <c r="T112" s="2"/>
    </row>
    <row r="113" spans="1:20" ht="15.6" x14ac:dyDescent="0.3">
      <c r="A113" s="122">
        <v>11</v>
      </c>
      <c r="B113" s="113" t="s">
        <v>29</v>
      </c>
      <c r="C113" s="113"/>
      <c r="D113" s="135"/>
      <c r="E113" s="135"/>
      <c r="F113" s="135"/>
      <c r="G113" s="135"/>
      <c r="H113" s="135"/>
      <c r="I113" s="135"/>
      <c r="J113" s="135"/>
      <c r="K113" s="135"/>
      <c r="L113" s="135"/>
      <c r="M113" s="135"/>
      <c r="N113" s="135"/>
      <c r="O113" s="135"/>
      <c r="P113" s="113"/>
      <c r="Q113" s="113"/>
      <c r="R113" s="156">
        <v>-20</v>
      </c>
      <c r="S113" s="139"/>
      <c r="T113" s="2"/>
    </row>
    <row r="114" spans="1:20" ht="15.6" x14ac:dyDescent="0.3">
      <c r="A114" s="122">
        <v>12</v>
      </c>
      <c r="B114" s="113" t="s">
        <v>138</v>
      </c>
      <c r="C114" s="113"/>
      <c r="D114" s="135"/>
      <c r="E114" s="135"/>
      <c r="F114" s="135"/>
      <c r="G114" s="135"/>
      <c r="H114" s="135"/>
      <c r="I114" s="135"/>
      <c r="J114" s="135"/>
      <c r="K114" s="135"/>
      <c r="L114" s="135"/>
      <c r="M114" s="135"/>
      <c r="N114" s="135"/>
      <c r="O114" s="135"/>
      <c r="P114" s="113"/>
      <c r="Q114" s="113"/>
      <c r="R114" s="156">
        <v>0</v>
      </c>
      <c r="S114" s="139"/>
      <c r="T114" s="2"/>
    </row>
    <row r="115" spans="1:20" ht="15.6" x14ac:dyDescent="0.3">
      <c r="A115" s="122">
        <v>13</v>
      </c>
      <c r="B115" s="113" t="s">
        <v>267</v>
      </c>
      <c r="C115" s="113"/>
      <c r="D115" s="135"/>
      <c r="E115" s="135"/>
      <c r="F115" s="135"/>
      <c r="G115" s="135"/>
      <c r="H115" s="135"/>
      <c r="I115" s="135"/>
      <c r="J115" s="135"/>
      <c r="K115" s="135"/>
      <c r="L115" s="135"/>
      <c r="M115" s="135"/>
      <c r="N115" s="135"/>
      <c r="O115" s="135"/>
      <c r="P115" s="113"/>
      <c r="Q115" s="113"/>
      <c r="R115" s="156">
        <v>-44</v>
      </c>
      <c r="S115" s="139"/>
      <c r="T115" s="2"/>
    </row>
    <row r="116" spans="1:20" ht="15.6" x14ac:dyDescent="0.3">
      <c r="A116" s="122">
        <v>14</v>
      </c>
      <c r="B116" s="113" t="s">
        <v>157</v>
      </c>
      <c r="C116" s="113"/>
      <c r="D116" s="135"/>
      <c r="E116" s="135"/>
      <c r="F116" s="135"/>
      <c r="G116" s="135"/>
      <c r="H116" s="135"/>
      <c r="I116" s="135"/>
      <c r="J116" s="135"/>
      <c r="K116" s="135"/>
      <c r="L116" s="135"/>
      <c r="M116" s="135"/>
      <c r="N116" s="135"/>
      <c r="O116" s="135"/>
      <c r="P116" s="113"/>
      <c r="Q116" s="113"/>
      <c r="R116" s="156">
        <v>0</v>
      </c>
      <c r="S116" s="139"/>
      <c r="T116" s="2"/>
    </row>
    <row r="117" spans="1:20" ht="15.6" x14ac:dyDescent="0.3">
      <c r="A117" s="122">
        <v>15</v>
      </c>
      <c r="B117" s="113" t="s">
        <v>207</v>
      </c>
      <c r="C117" s="113"/>
      <c r="D117" s="135"/>
      <c r="E117" s="135"/>
      <c r="F117" s="135"/>
      <c r="G117" s="135"/>
      <c r="H117" s="135"/>
      <c r="I117" s="135"/>
      <c r="J117" s="135"/>
      <c r="K117" s="135"/>
      <c r="L117" s="135"/>
      <c r="M117" s="135"/>
      <c r="N117" s="135"/>
      <c r="O117" s="135"/>
      <c r="P117" s="113"/>
      <c r="Q117" s="113"/>
      <c r="R117" s="156">
        <v>-89</v>
      </c>
      <c r="S117" s="139"/>
      <c r="T117" s="2"/>
    </row>
    <row r="118" spans="1:20" ht="15.6" x14ac:dyDescent="0.3">
      <c r="A118" s="122">
        <v>16</v>
      </c>
      <c r="B118" s="113" t="s">
        <v>167</v>
      </c>
      <c r="C118" s="113"/>
      <c r="D118" s="135"/>
      <c r="E118" s="135"/>
      <c r="F118" s="135"/>
      <c r="G118" s="135"/>
      <c r="H118" s="135"/>
      <c r="I118" s="135"/>
      <c r="J118" s="135"/>
      <c r="K118" s="135"/>
      <c r="L118" s="135"/>
      <c r="M118" s="135"/>
      <c r="N118" s="135"/>
      <c r="O118" s="135"/>
      <c r="P118" s="113"/>
      <c r="Q118" s="113"/>
      <c r="R118" s="156">
        <f>-18-177</f>
        <v>-195</v>
      </c>
      <c r="S118" s="139"/>
      <c r="T118" s="2"/>
    </row>
    <row r="119" spans="1:20" ht="15.6" x14ac:dyDescent="0.3">
      <c r="A119" s="122">
        <v>17</v>
      </c>
      <c r="B119" s="113" t="s">
        <v>268</v>
      </c>
      <c r="C119" s="113"/>
      <c r="D119" s="135"/>
      <c r="E119" s="135"/>
      <c r="F119" s="135"/>
      <c r="G119" s="135"/>
      <c r="H119" s="135"/>
      <c r="I119" s="135"/>
      <c r="J119" s="135"/>
      <c r="K119" s="135"/>
      <c r="L119" s="135"/>
      <c r="M119" s="135"/>
      <c r="N119" s="135"/>
      <c r="O119" s="135"/>
      <c r="P119" s="113"/>
      <c r="Q119" s="113"/>
      <c r="R119" s="156">
        <f>-R100-SUM(R102:R118)</f>
        <v>-1403</v>
      </c>
      <c r="S119" s="139"/>
      <c r="T119" s="2"/>
    </row>
    <row r="120" spans="1:20" ht="15.6" x14ac:dyDescent="0.3">
      <c r="A120" s="112"/>
      <c r="B120" s="160" t="s">
        <v>30</v>
      </c>
      <c r="C120" s="135"/>
      <c r="D120" s="135"/>
      <c r="E120" s="135"/>
      <c r="F120" s="135"/>
      <c r="G120" s="135"/>
      <c r="H120" s="135"/>
      <c r="I120" s="135"/>
      <c r="J120" s="135"/>
      <c r="K120" s="135"/>
      <c r="L120" s="135"/>
      <c r="M120" s="135"/>
      <c r="N120" s="135"/>
      <c r="O120" s="135"/>
      <c r="P120" s="113"/>
      <c r="Q120" s="113"/>
      <c r="R120" s="161"/>
      <c r="S120" s="139"/>
      <c r="T120" s="2"/>
    </row>
    <row r="121" spans="1:20" ht="15.6" x14ac:dyDescent="0.3">
      <c r="A121" s="112"/>
      <c r="B121" s="113" t="s">
        <v>208</v>
      </c>
      <c r="C121" s="135"/>
      <c r="D121" s="135"/>
      <c r="E121" s="135"/>
      <c r="F121" s="135"/>
      <c r="G121" s="135"/>
      <c r="H121" s="135"/>
      <c r="I121" s="135"/>
      <c r="J121" s="135"/>
      <c r="K121" s="135"/>
      <c r="L121" s="135"/>
      <c r="M121" s="135"/>
      <c r="N121" s="135"/>
      <c r="O121" s="135"/>
      <c r="P121" s="155">
        <f>-P188</f>
        <v>-3</v>
      </c>
      <c r="Q121" s="155"/>
      <c r="R121" s="156"/>
      <c r="S121" s="139"/>
      <c r="T121" s="2"/>
    </row>
    <row r="122" spans="1:20" ht="15.6" x14ac:dyDescent="0.3">
      <c r="A122" s="112"/>
      <c r="B122" s="113" t="s">
        <v>209</v>
      </c>
      <c r="C122" s="135"/>
      <c r="D122" s="135"/>
      <c r="E122" s="135"/>
      <c r="F122" s="135"/>
      <c r="G122" s="135"/>
      <c r="H122" s="135"/>
      <c r="I122" s="135"/>
      <c r="J122" s="135"/>
      <c r="K122" s="135"/>
      <c r="L122" s="135"/>
      <c r="M122" s="135"/>
      <c r="N122" s="135"/>
      <c r="O122" s="135"/>
      <c r="P122" s="155">
        <f>-O188</f>
        <v>-13</v>
      </c>
      <c r="Q122" s="155"/>
      <c r="R122" s="156"/>
      <c r="S122" s="139"/>
      <c r="T122" s="2"/>
    </row>
    <row r="123" spans="1:20" ht="15.6" x14ac:dyDescent="0.3">
      <c r="A123" s="112"/>
      <c r="B123" s="113" t="s">
        <v>270</v>
      </c>
      <c r="C123" s="135"/>
      <c r="D123" s="135"/>
      <c r="E123" s="135"/>
      <c r="F123" s="135"/>
      <c r="G123" s="135"/>
      <c r="H123" s="135"/>
      <c r="I123" s="135"/>
      <c r="J123" s="135"/>
      <c r="K123" s="135"/>
      <c r="L123" s="135"/>
      <c r="M123" s="135"/>
      <c r="N123" s="135"/>
      <c r="O123" s="135"/>
      <c r="P123" s="155">
        <v>-29827</v>
      </c>
      <c r="Q123" s="155"/>
      <c r="R123" s="156"/>
      <c r="S123" s="139"/>
      <c r="T123" s="2"/>
    </row>
    <row r="124" spans="1:20" ht="15.6" x14ac:dyDescent="0.3">
      <c r="A124" s="112"/>
      <c r="B124" s="113" t="s">
        <v>269</v>
      </c>
      <c r="C124" s="135"/>
      <c r="D124" s="135"/>
      <c r="E124" s="135"/>
      <c r="F124" s="135"/>
      <c r="G124" s="135"/>
      <c r="H124" s="135"/>
      <c r="I124" s="135"/>
      <c r="J124" s="135"/>
      <c r="K124" s="135"/>
      <c r="L124" s="135"/>
      <c r="M124" s="135"/>
      <c r="N124" s="135"/>
      <c r="O124" s="135"/>
      <c r="P124" s="155">
        <v>-38735</v>
      </c>
      <c r="Q124" s="155"/>
      <c r="R124" s="156"/>
      <c r="S124" s="139"/>
      <c r="T124" s="2"/>
    </row>
    <row r="125" spans="1:20" ht="15.6" x14ac:dyDescent="0.3">
      <c r="A125" s="112"/>
      <c r="B125" s="113" t="s">
        <v>181</v>
      </c>
      <c r="C125" s="135"/>
      <c r="D125" s="135"/>
      <c r="E125" s="135"/>
      <c r="F125" s="135"/>
      <c r="G125" s="135"/>
      <c r="H125" s="135"/>
      <c r="I125" s="135"/>
      <c r="J125" s="135"/>
      <c r="K125" s="135"/>
      <c r="L125" s="135"/>
      <c r="M125" s="135"/>
      <c r="N125" s="135"/>
      <c r="O125" s="135"/>
      <c r="P125" s="155">
        <v>0</v>
      </c>
      <c r="Q125" s="155"/>
      <c r="R125" s="156"/>
      <c r="S125" s="139"/>
      <c r="T125" s="2"/>
    </row>
    <row r="126" spans="1:20" ht="15.6" x14ac:dyDescent="0.3">
      <c r="A126" s="112"/>
      <c r="B126" s="113" t="s">
        <v>182</v>
      </c>
      <c r="C126" s="135"/>
      <c r="D126" s="135"/>
      <c r="E126" s="135"/>
      <c r="F126" s="135"/>
      <c r="G126" s="135"/>
      <c r="H126" s="135"/>
      <c r="I126" s="135"/>
      <c r="J126" s="135"/>
      <c r="K126" s="135"/>
      <c r="L126" s="135"/>
      <c r="M126" s="135"/>
      <c r="N126" s="135"/>
      <c r="O126" s="135"/>
      <c r="P126" s="155">
        <v>0</v>
      </c>
      <c r="Q126" s="155"/>
      <c r="R126" s="156"/>
      <c r="S126" s="139"/>
      <c r="T126" s="2"/>
    </row>
    <row r="127" spans="1:20" ht="15.6" x14ac:dyDescent="0.3">
      <c r="A127" s="112"/>
      <c r="B127" s="113" t="s">
        <v>271</v>
      </c>
      <c r="C127" s="135"/>
      <c r="D127" s="135"/>
      <c r="E127" s="135"/>
      <c r="F127" s="135"/>
      <c r="G127" s="135"/>
      <c r="H127" s="135"/>
      <c r="I127" s="135"/>
      <c r="J127" s="135"/>
      <c r="K127" s="135"/>
      <c r="L127" s="135"/>
      <c r="M127" s="135"/>
      <c r="N127" s="135"/>
      <c r="O127" s="135"/>
      <c r="P127" s="155">
        <v>0</v>
      </c>
      <c r="Q127" s="155"/>
      <c r="R127" s="156"/>
      <c r="S127" s="139"/>
      <c r="T127" s="2"/>
    </row>
    <row r="128" spans="1:20" ht="15.6" x14ac:dyDescent="0.3">
      <c r="A128" s="112"/>
      <c r="B128" s="113" t="s">
        <v>31</v>
      </c>
      <c r="C128" s="135"/>
      <c r="D128" s="135"/>
      <c r="E128" s="135"/>
      <c r="F128" s="135"/>
      <c r="G128" s="135"/>
      <c r="H128" s="135"/>
      <c r="I128" s="135"/>
      <c r="J128" s="135"/>
      <c r="K128" s="135"/>
      <c r="L128" s="135"/>
      <c r="M128" s="135"/>
      <c r="N128" s="135"/>
      <c r="O128" s="135"/>
      <c r="P128" s="155">
        <f>SUM(P121:P127)</f>
        <v>-68578</v>
      </c>
      <c r="Q128" s="155"/>
      <c r="R128" s="155">
        <f>SUM(R101:R127)</f>
        <v>-2721</v>
      </c>
      <c r="S128" s="139"/>
      <c r="T128" s="2"/>
    </row>
    <row r="129" spans="1:20" ht="15.6" x14ac:dyDescent="0.3">
      <c r="A129" s="112"/>
      <c r="B129" s="113" t="s">
        <v>32</v>
      </c>
      <c r="C129" s="135"/>
      <c r="D129" s="135"/>
      <c r="E129" s="135"/>
      <c r="F129" s="135"/>
      <c r="G129" s="135"/>
      <c r="H129" s="135"/>
      <c r="I129" s="135"/>
      <c r="J129" s="135"/>
      <c r="K129" s="135"/>
      <c r="L129" s="135"/>
      <c r="M129" s="135"/>
      <c r="N129" s="135"/>
      <c r="O129" s="135"/>
      <c r="P129" s="155">
        <f>P100+P128+P111</f>
        <v>0</v>
      </c>
      <c r="Q129" s="155"/>
      <c r="R129" s="155">
        <f>R100+R128</f>
        <v>0</v>
      </c>
      <c r="S129" s="139"/>
      <c r="T129" s="2"/>
    </row>
    <row r="130" spans="1:20" ht="15.6" x14ac:dyDescent="0.3">
      <c r="A130" s="12"/>
      <c r="B130" s="43"/>
      <c r="C130" s="43"/>
      <c r="D130" s="43"/>
      <c r="E130" s="43"/>
      <c r="F130" s="43"/>
      <c r="G130" s="43"/>
      <c r="H130" s="43"/>
      <c r="I130" s="43"/>
      <c r="J130" s="43"/>
      <c r="K130" s="43"/>
      <c r="L130" s="43"/>
      <c r="M130" s="43"/>
      <c r="N130" s="43"/>
      <c r="O130" s="43"/>
      <c r="P130" s="153"/>
      <c r="Q130" s="153"/>
      <c r="R130" s="153"/>
      <c r="S130" s="217"/>
      <c r="T130" s="2"/>
    </row>
    <row r="131" spans="1:20" ht="15.6" x14ac:dyDescent="0.3">
      <c r="A131" s="12"/>
      <c r="B131" s="14"/>
      <c r="C131" s="14"/>
      <c r="D131" s="14"/>
      <c r="E131" s="14"/>
      <c r="F131" s="14"/>
      <c r="G131" s="14"/>
      <c r="H131" s="14"/>
      <c r="I131" s="14"/>
      <c r="J131" s="14"/>
      <c r="K131" s="14"/>
      <c r="L131" s="14"/>
      <c r="M131" s="14"/>
      <c r="N131" s="14"/>
      <c r="O131" s="14"/>
      <c r="P131" s="14"/>
      <c r="Q131" s="14"/>
      <c r="R131" s="33"/>
      <c r="S131" s="217"/>
      <c r="T131" s="2"/>
    </row>
    <row r="132" spans="1:20" ht="18" thickBot="1" x14ac:dyDescent="0.35">
      <c r="A132" s="28"/>
      <c r="B132" s="97" t="str">
        <f>B60</f>
        <v>PM22 INVESTOR REPORT QUARTER ENDING MAY 2017</v>
      </c>
      <c r="C132" s="29"/>
      <c r="D132" s="29"/>
      <c r="E132" s="29"/>
      <c r="F132" s="29"/>
      <c r="G132" s="29"/>
      <c r="H132" s="29"/>
      <c r="I132" s="29"/>
      <c r="J132" s="29"/>
      <c r="K132" s="29"/>
      <c r="L132" s="29"/>
      <c r="M132" s="29"/>
      <c r="N132" s="29"/>
      <c r="O132" s="29"/>
      <c r="P132" s="29"/>
      <c r="Q132" s="29"/>
      <c r="R132" s="40"/>
      <c r="S132" s="31"/>
      <c r="T132" s="2"/>
    </row>
    <row r="133" spans="1:20" ht="15.6" x14ac:dyDescent="0.3">
      <c r="A133" s="65"/>
      <c r="B133" s="66" t="s">
        <v>33</v>
      </c>
      <c r="C133" s="67"/>
      <c r="D133" s="67"/>
      <c r="E133" s="67"/>
      <c r="F133" s="67"/>
      <c r="G133" s="67"/>
      <c r="H133" s="67"/>
      <c r="I133" s="67"/>
      <c r="J133" s="67"/>
      <c r="K133" s="67"/>
      <c r="L133" s="67"/>
      <c r="M133" s="67"/>
      <c r="N133" s="67"/>
      <c r="O133" s="67"/>
      <c r="P133" s="67"/>
      <c r="Q133" s="67"/>
      <c r="R133" s="68"/>
      <c r="S133" s="223"/>
      <c r="T133" s="2"/>
    </row>
    <row r="134" spans="1:20" ht="15.6" x14ac:dyDescent="0.3">
      <c r="A134" s="12"/>
      <c r="B134" s="22"/>
      <c r="C134" s="14"/>
      <c r="D134" s="14"/>
      <c r="E134" s="14"/>
      <c r="F134" s="14"/>
      <c r="G134" s="14"/>
      <c r="H134" s="14"/>
      <c r="I134" s="14"/>
      <c r="J134" s="14"/>
      <c r="K134" s="14"/>
      <c r="L134" s="14"/>
      <c r="M134" s="14"/>
      <c r="N134" s="14"/>
      <c r="O134" s="14"/>
      <c r="P134" s="14"/>
      <c r="Q134" s="14"/>
      <c r="R134" s="33"/>
      <c r="S134" s="217"/>
      <c r="T134" s="2"/>
    </row>
    <row r="135" spans="1:20" ht="15.6" x14ac:dyDescent="0.3">
      <c r="A135" s="12"/>
      <c r="B135" s="41" t="s">
        <v>34</v>
      </c>
      <c r="C135" s="14"/>
      <c r="D135" s="14"/>
      <c r="E135" s="14"/>
      <c r="F135" s="14"/>
      <c r="G135" s="14"/>
      <c r="H135" s="14"/>
      <c r="I135" s="14"/>
      <c r="J135" s="14"/>
      <c r="K135" s="14"/>
      <c r="L135" s="14"/>
      <c r="M135" s="14"/>
      <c r="N135" s="14"/>
      <c r="O135" s="14"/>
      <c r="P135" s="14"/>
      <c r="Q135" s="14"/>
      <c r="R135" s="33"/>
      <c r="S135" s="217"/>
      <c r="T135" s="2"/>
    </row>
    <row r="136" spans="1:20" ht="15.6" x14ac:dyDescent="0.3">
      <c r="A136" s="112"/>
      <c r="B136" s="113" t="s">
        <v>35</v>
      </c>
      <c r="C136" s="113"/>
      <c r="D136" s="113"/>
      <c r="E136" s="113"/>
      <c r="F136" s="113"/>
      <c r="G136" s="113"/>
      <c r="H136" s="113"/>
      <c r="I136" s="113"/>
      <c r="J136" s="113"/>
      <c r="K136" s="113"/>
      <c r="L136" s="113"/>
      <c r="M136" s="113"/>
      <c r="N136" s="113"/>
      <c r="O136" s="113"/>
      <c r="P136" s="113"/>
      <c r="Q136" s="113"/>
      <c r="R136" s="156">
        <v>7502</v>
      </c>
      <c r="S136" s="116"/>
      <c r="T136" s="2"/>
    </row>
    <row r="137" spans="1:20" ht="15.6" x14ac:dyDescent="0.3">
      <c r="A137" s="112"/>
      <c r="B137" s="113" t="s">
        <v>36</v>
      </c>
      <c r="C137" s="113"/>
      <c r="D137" s="113"/>
      <c r="E137" s="113"/>
      <c r="F137" s="113"/>
      <c r="G137" s="113"/>
      <c r="H137" s="113"/>
      <c r="I137" s="113"/>
      <c r="J137" s="113"/>
      <c r="K137" s="113"/>
      <c r="L137" s="113"/>
      <c r="M137" s="113"/>
      <c r="N137" s="113"/>
      <c r="O137" s="113"/>
      <c r="P137" s="113"/>
      <c r="Q137" s="113"/>
      <c r="R137" s="156">
        <v>0</v>
      </c>
      <c r="S137" s="116"/>
      <c r="T137" s="2"/>
    </row>
    <row r="138" spans="1:20" ht="15.6" x14ac:dyDescent="0.3">
      <c r="A138" s="112"/>
      <c r="B138" s="113" t="s">
        <v>169</v>
      </c>
      <c r="C138" s="113"/>
      <c r="D138" s="113"/>
      <c r="E138" s="113"/>
      <c r="F138" s="113"/>
      <c r="G138" s="113"/>
      <c r="H138" s="113"/>
      <c r="I138" s="113"/>
      <c r="J138" s="113"/>
      <c r="K138" s="113"/>
      <c r="L138" s="113"/>
      <c r="M138" s="113"/>
      <c r="N138" s="113"/>
      <c r="O138" s="113"/>
      <c r="P138" s="113"/>
      <c r="Q138" s="113"/>
      <c r="R138" s="156">
        <f>R136-R139</f>
        <v>3524.2964046799998</v>
      </c>
      <c r="S138" s="116"/>
      <c r="T138" s="2"/>
    </row>
    <row r="139" spans="1:20" ht="15.6" x14ac:dyDescent="0.3">
      <c r="A139" s="112"/>
      <c r="B139" s="113" t="s">
        <v>210</v>
      </c>
      <c r="C139" s="113"/>
      <c r="D139" s="113"/>
      <c r="E139" s="113"/>
      <c r="F139" s="113"/>
      <c r="G139" s="113"/>
      <c r="H139" s="113"/>
      <c r="I139" s="113"/>
      <c r="J139" s="113"/>
      <c r="K139" s="113"/>
      <c r="L139" s="113"/>
      <c r="M139" s="113"/>
      <c r="N139" s="113"/>
      <c r="O139" s="113"/>
      <c r="P139" s="113"/>
      <c r="Q139" s="113"/>
      <c r="R139" s="156">
        <f>SUM(D33:J33)*0.025</f>
        <v>3977.7035953200002</v>
      </c>
      <c r="S139" s="116"/>
      <c r="T139" s="2"/>
    </row>
    <row r="140" spans="1:20" ht="15.6" x14ac:dyDescent="0.3">
      <c r="A140" s="112"/>
      <c r="B140" s="113" t="s">
        <v>108</v>
      </c>
      <c r="C140" s="113"/>
      <c r="D140" s="113"/>
      <c r="E140" s="113"/>
      <c r="F140" s="113"/>
      <c r="G140" s="113"/>
      <c r="H140" s="113"/>
      <c r="I140" s="113"/>
      <c r="J140" s="113"/>
      <c r="K140" s="113"/>
      <c r="L140" s="113"/>
      <c r="M140" s="113"/>
      <c r="N140" s="113"/>
      <c r="O140" s="113"/>
      <c r="P140" s="113"/>
      <c r="Q140" s="113"/>
      <c r="R140" s="156"/>
      <c r="S140" s="116"/>
      <c r="T140" s="2"/>
    </row>
    <row r="141" spans="1:20" ht="15.6" x14ac:dyDescent="0.3">
      <c r="A141" s="112"/>
      <c r="B141" s="113" t="s">
        <v>155</v>
      </c>
      <c r="C141" s="113"/>
      <c r="D141" s="113"/>
      <c r="E141" s="113"/>
      <c r="F141" s="113"/>
      <c r="G141" s="113"/>
      <c r="H141" s="113"/>
      <c r="I141" s="113"/>
      <c r="J141" s="113"/>
      <c r="K141" s="113"/>
      <c r="L141" s="113"/>
      <c r="M141" s="113"/>
      <c r="N141" s="113"/>
      <c r="O141" s="113"/>
      <c r="P141" s="113"/>
      <c r="Q141" s="113"/>
      <c r="R141" s="156">
        <v>0</v>
      </c>
      <c r="S141" s="116"/>
      <c r="T141" s="2"/>
    </row>
    <row r="142" spans="1:20" ht="15.6" x14ac:dyDescent="0.3">
      <c r="A142" s="112"/>
      <c r="B142" s="113" t="s">
        <v>189</v>
      </c>
      <c r="C142" s="113"/>
      <c r="D142" s="113"/>
      <c r="E142" s="113"/>
      <c r="F142" s="113"/>
      <c r="G142" s="113"/>
      <c r="H142" s="113"/>
      <c r="I142" s="113"/>
      <c r="J142" s="113"/>
      <c r="K142" s="113"/>
      <c r="L142" s="113"/>
      <c r="M142" s="113"/>
      <c r="N142" s="113"/>
      <c r="O142" s="113"/>
      <c r="P142" s="113"/>
      <c r="Q142" s="113"/>
      <c r="R142" s="156">
        <v>0</v>
      </c>
      <c r="S142" s="116"/>
      <c r="T142" s="2"/>
    </row>
    <row r="143" spans="1:20" ht="15.6" x14ac:dyDescent="0.3">
      <c r="A143" s="112"/>
      <c r="B143" s="113" t="s">
        <v>190</v>
      </c>
      <c r="C143" s="113"/>
      <c r="D143" s="113"/>
      <c r="E143" s="113"/>
      <c r="F143" s="113"/>
      <c r="G143" s="113"/>
      <c r="H143" s="113"/>
      <c r="I143" s="113"/>
      <c r="J143" s="113"/>
      <c r="K143" s="113"/>
      <c r="L143" s="113"/>
      <c r="M143" s="113"/>
      <c r="N143" s="113"/>
      <c r="O143" s="113"/>
      <c r="P143" s="113"/>
      <c r="Q143" s="113"/>
      <c r="R143" s="156">
        <v>0</v>
      </c>
      <c r="S143" s="116"/>
      <c r="T143" s="2"/>
    </row>
    <row r="144" spans="1:20" ht="15.6" x14ac:dyDescent="0.3">
      <c r="A144" s="112"/>
      <c r="B144" s="113" t="s">
        <v>37</v>
      </c>
      <c r="C144" s="113"/>
      <c r="D144" s="113"/>
      <c r="E144" s="113"/>
      <c r="F144" s="113"/>
      <c r="G144" s="113"/>
      <c r="H144" s="113"/>
      <c r="I144" s="113"/>
      <c r="J144" s="113"/>
      <c r="K144" s="113"/>
      <c r="L144" s="113"/>
      <c r="M144" s="113"/>
      <c r="N144" s="113"/>
      <c r="O144" s="113"/>
      <c r="P144" s="113"/>
      <c r="Q144" s="113"/>
      <c r="R144" s="156">
        <v>0</v>
      </c>
      <c r="S144" s="116"/>
      <c r="T144" s="2"/>
    </row>
    <row r="145" spans="1:21" ht="15.6" x14ac:dyDescent="0.3">
      <c r="A145" s="112"/>
      <c r="B145" s="113" t="s">
        <v>102</v>
      </c>
      <c r="C145" s="113"/>
      <c r="D145" s="113"/>
      <c r="E145" s="113"/>
      <c r="F145" s="113"/>
      <c r="G145" s="113"/>
      <c r="H145" s="113"/>
      <c r="I145" s="113"/>
      <c r="J145" s="113"/>
      <c r="K145" s="113"/>
      <c r="L145" s="113"/>
      <c r="M145" s="113"/>
      <c r="N145" s="113"/>
      <c r="O145" s="113"/>
      <c r="P145" s="113"/>
      <c r="Q145" s="113"/>
      <c r="R145" s="156">
        <v>0</v>
      </c>
      <c r="S145" s="116"/>
      <c r="T145" s="2"/>
    </row>
    <row r="146" spans="1:21" ht="15.6" x14ac:dyDescent="0.3">
      <c r="A146" s="112"/>
      <c r="B146" s="113" t="s">
        <v>256</v>
      </c>
      <c r="C146" s="113"/>
      <c r="D146" s="113"/>
      <c r="E146" s="113"/>
      <c r="F146" s="113"/>
      <c r="G146" s="113"/>
      <c r="H146" s="113"/>
      <c r="I146" s="113"/>
      <c r="J146" s="113"/>
      <c r="K146" s="113"/>
      <c r="L146" s="113"/>
      <c r="M146" s="113"/>
      <c r="N146" s="113"/>
      <c r="O146" s="113"/>
      <c r="P146" s="113"/>
      <c r="Q146" s="113"/>
      <c r="R146" s="156">
        <v>0</v>
      </c>
      <c r="S146" s="116"/>
      <c r="T146" s="2"/>
      <c r="U146" s="4"/>
    </row>
    <row r="147" spans="1:21" ht="15.6" x14ac:dyDescent="0.3">
      <c r="A147" s="112"/>
      <c r="B147" s="113" t="s">
        <v>38</v>
      </c>
      <c r="C147" s="113"/>
      <c r="D147" s="113"/>
      <c r="E147" s="113"/>
      <c r="F147" s="113"/>
      <c r="G147" s="113"/>
      <c r="H147" s="113"/>
      <c r="I147" s="113"/>
      <c r="J147" s="113"/>
      <c r="K147" s="113"/>
      <c r="L147" s="113"/>
      <c r="M147" s="113"/>
      <c r="N147" s="113"/>
      <c r="O147" s="113"/>
      <c r="P147" s="113"/>
      <c r="Q147" s="113"/>
      <c r="R147" s="156">
        <f>SUM(R137:R146)</f>
        <v>7502</v>
      </c>
      <c r="S147" s="116"/>
      <c r="T147" s="2"/>
    </row>
    <row r="148" spans="1:21" ht="15.6" x14ac:dyDescent="0.3">
      <c r="A148" s="12"/>
      <c r="B148" s="43"/>
      <c r="C148" s="43"/>
      <c r="D148" s="43"/>
      <c r="E148" s="43"/>
      <c r="F148" s="43"/>
      <c r="G148" s="43"/>
      <c r="H148" s="43"/>
      <c r="I148" s="43"/>
      <c r="J148" s="43"/>
      <c r="K148" s="43"/>
      <c r="L148" s="43"/>
      <c r="M148" s="43"/>
      <c r="N148" s="43"/>
      <c r="O148" s="43"/>
      <c r="P148" s="43"/>
      <c r="Q148" s="43"/>
      <c r="R148" s="162"/>
      <c r="S148" s="217"/>
      <c r="T148" s="2"/>
    </row>
    <row r="149" spans="1:21" ht="15.6" x14ac:dyDescent="0.3">
      <c r="A149" s="12"/>
      <c r="B149" s="41" t="s">
        <v>203</v>
      </c>
      <c r="C149" s="14"/>
      <c r="D149" s="14"/>
      <c r="E149" s="14"/>
      <c r="F149" s="14"/>
      <c r="G149" s="14"/>
      <c r="H149" s="14"/>
      <c r="I149" s="14"/>
      <c r="J149" s="14"/>
      <c r="K149" s="14"/>
      <c r="L149" s="14"/>
      <c r="M149" s="14"/>
      <c r="N149" s="14"/>
      <c r="O149" s="14"/>
      <c r="P149" s="14"/>
      <c r="Q149" s="14"/>
      <c r="R149" s="33"/>
      <c r="S149" s="217"/>
      <c r="T149" s="2"/>
    </row>
    <row r="150" spans="1:21" ht="15.6" x14ac:dyDescent="0.3">
      <c r="A150" s="112"/>
      <c r="B150" s="113" t="s">
        <v>278</v>
      </c>
      <c r="C150" s="113"/>
      <c r="D150" s="113"/>
      <c r="E150" s="113"/>
      <c r="F150" s="113"/>
      <c r="G150" s="113"/>
      <c r="H150" s="113"/>
      <c r="I150" s="113"/>
      <c r="J150" s="113"/>
      <c r="K150" s="113"/>
      <c r="L150" s="113"/>
      <c r="M150" s="113"/>
      <c r="N150" s="113"/>
      <c r="O150" s="113"/>
      <c r="P150" s="113"/>
      <c r="Q150" s="113"/>
      <c r="R150" s="156">
        <v>0</v>
      </c>
      <c r="S150" s="139"/>
      <c r="T150" s="2"/>
    </row>
    <row r="151" spans="1:21" ht="15.6" x14ac:dyDescent="0.3">
      <c r="A151" s="112"/>
      <c r="B151" s="113" t="s">
        <v>191</v>
      </c>
      <c r="C151" s="115"/>
      <c r="D151" s="115"/>
      <c r="E151" s="115"/>
      <c r="F151" s="115"/>
      <c r="G151" s="115"/>
      <c r="H151" s="115"/>
      <c r="I151" s="115"/>
      <c r="J151" s="115"/>
      <c r="K151" s="115"/>
      <c r="L151" s="115"/>
      <c r="M151" s="115"/>
      <c r="N151" s="115"/>
      <c r="O151" s="115"/>
      <c r="P151" s="115"/>
      <c r="Q151" s="115"/>
      <c r="R151" s="156">
        <f>+J77</f>
        <v>0</v>
      </c>
      <c r="S151" s="139"/>
      <c r="T151" s="2"/>
    </row>
    <row r="152" spans="1:21" ht="15.6" x14ac:dyDescent="0.3">
      <c r="A152" s="112"/>
      <c r="B152" s="113" t="s">
        <v>205</v>
      </c>
      <c r="C152" s="113"/>
      <c r="D152" s="113"/>
      <c r="E152" s="113"/>
      <c r="F152" s="113"/>
      <c r="G152" s="113"/>
      <c r="H152" s="113"/>
      <c r="I152" s="113"/>
      <c r="J152" s="113"/>
      <c r="K152" s="113"/>
      <c r="L152" s="113"/>
      <c r="M152" s="113"/>
      <c r="N152" s="113"/>
      <c r="O152" s="113"/>
      <c r="P152" s="113"/>
      <c r="Q152" s="113"/>
      <c r="R152" s="156">
        <f>R150+R151</f>
        <v>0</v>
      </c>
      <c r="S152" s="139"/>
      <c r="T152" s="2"/>
    </row>
    <row r="153" spans="1:21" ht="15.6" x14ac:dyDescent="0.3">
      <c r="A153" s="12"/>
      <c r="B153" s="163"/>
      <c r="C153" s="163"/>
      <c r="D153" s="163"/>
      <c r="E153" s="163"/>
      <c r="F153" s="163"/>
      <c r="G153" s="163"/>
      <c r="H153" s="163"/>
      <c r="I153" s="163"/>
      <c r="J153" s="163"/>
      <c r="K153" s="163"/>
      <c r="L153" s="163"/>
      <c r="M153" s="163"/>
      <c r="N153" s="163"/>
      <c r="O153" s="163"/>
      <c r="P153" s="163"/>
      <c r="Q153" s="163"/>
      <c r="R153" s="195"/>
      <c r="S153" s="217"/>
      <c r="T153" s="2"/>
    </row>
    <row r="154" spans="1:21" ht="15.6" x14ac:dyDescent="0.3">
      <c r="A154" s="12"/>
      <c r="B154" s="41" t="s">
        <v>211</v>
      </c>
      <c r="C154" s="163"/>
      <c r="D154" s="163"/>
      <c r="E154" s="163"/>
      <c r="F154" s="163"/>
      <c r="G154" s="163"/>
      <c r="H154" s="163"/>
      <c r="I154" s="163"/>
      <c r="J154" s="163"/>
      <c r="K154" s="163"/>
      <c r="L154" s="163"/>
      <c r="M154" s="163"/>
      <c r="N154" s="163"/>
      <c r="O154" s="163"/>
      <c r="P154" s="163"/>
      <c r="Q154" s="163"/>
      <c r="R154" s="195"/>
      <c r="S154" s="217"/>
      <c r="T154" s="2"/>
    </row>
    <row r="155" spans="1:21" ht="15.6" x14ac:dyDescent="0.3">
      <c r="A155" s="231"/>
      <c r="B155" s="232" t="s">
        <v>277</v>
      </c>
      <c r="C155" s="232"/>
      <c r="D155" s="232"/>
      <c r="E155" s="232"/>
      <c r="F155" s="232"/>
      <c r="G155" s="232"/>
      <c r="H155" s="232"/>
      <c r="I155" s="232"/>
      <c r="J155" s="232"/>
      <c r="K155" s="232"/>
      <c r="L155" s="232"/>
      <c r="M155" s="232"/>
      <c r="N155" s="232"/>
      <c r="O155" s="232"/>
      <c r="P155" s="232"/>
      <c r="Q155" s="232"/>
      <c r="R155" s="233">
        <f>+'Feb 17'!R158</f>
        <v>0</v>
      </c>
      <c r="S155" s="234"/>
      <c r="T155" s="2"/>
    </row>
    <row r="156" spans="1:21" ht="15.6" x14ac:dyDescent="0.3">
      <c r="A156" s="231"/>
      <c r="B156" s="232" t="s">
        <v>213</v>
      </c>
      <c r="C156" s="232"/>
      <c r="D156" s="232"/>
      <c r="E156" s="232"/>
      <c r="F156" s="232"/>
      <c r="G156" s="232"/>
      <c r="H156" s="232"/>
      <c r="I156" s="232"/>
      <c r="J156" s="232"/>
      <c r="K156" s="232"/>
      <c r="L156" s="232"/>
      <c r="M156" s="232"/>
      <c r="N156" s="232"/>
      <c r="O156" s="232"/>
      <c r="P156" s="232"/>
      <c r="Q156" s="232"/>
      <c r="R156" s="233">
        <f>P86</f>
        <v>0</v>
      </c>
      <c r="S156" s="234"/>
      <c r="T156" s="2"/>
    </row>
    <row r="157" spans="1:21" ht="15.6" x14ac:dyDescent="0.3">
      <c r="A157" s="231"/>
      <c r="B157" s="232" t="s">
        <v>214</v>
      </c>
      <c r="C157" s="232"/>
      <c r="D157" s="232"/>
      <c r="E157" s="232"/>
      <c r="F157" s="232"/>
      <c r="G157" s="232"/>
      <c r="H157" s="232"/>
      <c r="I157" s="232"/>
      <c r="J157" s="232"/>
      <c r="K157" s="232"/>
      <c r="L157" s="232"/>
      <c r="M157" s="232"/>
      <c r="N157" s="232"/>
      <c r="O157" s="232"/>
      <c r="P157" s="232"/>
      <c r="Q157" s="232"/>
      <c r="R157" s="233">
        <v>0</v>
      </c>
      <c r="S157" s="234"/>
      <c r="T157" s="2"/>
    </row>
    <row r="158" spans="1:21" ht="15.6" x14ac:dyDescent="0.3">
      <c r="A158" s="231"/>
      <c r="B158" s="232" t="s">
        <v>215</v>
      </c>
      <c r="C158" s="232"/>
      <c r="D158" s="232"/>
      <c r="E158" s="232"/>
      <c r="F158" s="232"/>
      <c r="G158" s="232"/>
      <c r="H158" s="232"/>
      <c r="I158" s="232"/>
      <c r="J158" s="232"/>
      <c r="K158" s="232"/>
      <c r="L158" s="232"/>
      <c r="M158" s="232"/>
      <c r="N158" s="232"/>
      <c r="O158" s="232"/>
      <c r="P158" s="232"/>
      <c r="Q158" s="232"/>
      <c r="R158" s="233">
        <f>R155+R156+R157</f>
        <v>0</v>
      </c>
      <c r="S158" s="234"/>
      <c r="T158" s="2"/>
    </row>
    <row r="159" spans="1:21" ht="15.6" x14ac:dyDescent="0.3">
      <c r="A159" s="12"/>
      <c r="B159" s="43"/>
      <c r="C159" s="43"/>
      <c r="D159" s="43"/>
      <c r="E159" s="43"/>
      <c r="F159" s="43"/>
      <c r="G159" s="43"/>
      <c r="H159" s="43"/>
      <c r="I159" s="43"/>
      <c r="J159" s="43"/>
      <c r="K159" s="43"/>
      <c r="L159" s="43"/>
      <c r="M159" s="43"/>
      <c r="N159" s="43"/>
      <c r="O159" s="43"/>
      <c r="P159" s="43"/>
      <c r="Q159" s="43"/>
      <c r="R159" s="162"/>
      <c r="S159" s="217"/>
      <c r="T159" s="2"/>
    </row>
    <row r="160" spans="1:21" ht="15.6" x14ac:dyDescent="0.3">
      <c r="A160" s="12"/>
      <c r="B160" s="41" t="s">
        <v>39</v>
      </c>
      <c r="C160" s="14"/>
      <c r="D160" s="14"/>
      <c r="E160" s="14"/>
      <c r="F160" s="14"/>
      <c r="G160" s="14"/>
      <c r="H160" s="14"/>
      <c r="I160" s="14"/>
      <c r="J160" s="14"/>
      <c r="K160" s="14"/>
      <c r="L160" s="14"/>
      <c r="M160" s="14"/>
      <c r="N160" s="14"/>
      <c r="O160" s="14"/>
      <c r="P160" s="14"/>
      <c r="Q160" s="14"/>
      <c r="R160" s="42"/>
      <c r="S160" s="217"/>
      <c r="T160" s="2"/>
    </row>
    <row r="161" spans="1:252" ht="15.6" x14ac:dyDescent="0.3">
      <c r="A161" s="112"/>
      <c r="B161" s="113" t="s">
        <v>40</v>
      </c>
      <c r="C161" s="113"/>
      <c r="D161" s="113"/>
      <c r="E161" s="113"/>
      <c r="F161" s="113"/>
      <c r="G161" s="113"/>
      <c r="H161" s="113"/>
      <c r="I161" s="113"/>
      <c r="J161" s="113"/>
      <c r="K161" s="113"/>
      <c r="L161" s="113"/>
      <c r="M161" s="113"/>
      <c r="N161" s="113"/>
      <c r="O161" s="113"/>
      <c r="P161" s="113"/>
      <c r="Q161" s="113"/>
      <c r="R161" s="156">
        <v>0</v>
      </c>
      <c r="S161" s="116"/>
      <c r="T161" s="2"/>
    </row>
    <row r="162" spans="1:252" ht="15.6" x14ac:dyDescent="0.3">
      <c r="A162" s="112"/>
      <c r="B162" s="113" t="s">
        <v>41</v>
      </c>
      <c r="C162" s="113"/>
      <c r="D162" s="113"/>
      <c r="E162" s="113"/>
      <c r="F162" s="113"/>
      <c r="G162" s="113"/>
      <c r="H162" s="113"/>
      <c r="I162" s="113"/>
      <c r="J162" s="113"/>
      <c r="K162" s="113"/>
      <c r="L162" s="113"/>
      <c r="M162" s="113"/>
      <c r="N162" s="113"/>
      <c r="O162" s="113"/>
      <c r="P162" s="113"/>
      <c r="Q162" s="113"/>
      <c r="R162" s="156">
        <v>0</v>
      </c>
      <c r="S162" s="116"/>
      <c r="T162" s="2"/>
    </row>
    <row r="163" spans="1:252" ht="15.6" x14ac:dyDescent="0.3">
      <c r="A163" s="112"/>
      <c r="B163" s="113" t="s">
        <v>42</v>
      </c>
      <c r="C163" s="113"/>
      <c r="D163" s="113"/>
      <c r="E163" s="113"/>
      <c r="F163" s="113"/>
      <c r="G163" s="113"/>
      <c r="H163" s="113"/>
      <c r="I163" s="113"/>
      <c r="J163" s="113"/>
      <c r="K163" s="113"/>
      <c r="L163" s="113"/>
      <c r="M163" s="113"/>
      <c r="N163" s="113"/>
      <c r="O163" s="113"/>
      <c r="P163" s="113"/>
      <c r="Q163" s="113"/>
      <c r="R163" s="156">
        <f>R162+R161</f>
        <v>0</v>
      </c>
      <c r="S163" s="116"/>
      <c r="T163" s="2"/>
    </row>
    <row r="164" spans="1:252" ht="15.6" x14ac:dyDescent="0.3">
      <c r="A164" s="112"/>
      <c r="B164" s="113" t="s">
        <v>174</v>
      </c>
      <c r="C164" s="113"/>
      <c r="D164" s="113"/>
      <c r="E164" s="113"/>
      <c r="F164" s="113"/>
      <c r="G164" s="113"/>
      <c r="H164" s="113"/>
      <c r="I164" s="113"/>
      <c r="J164" s="113"/>
      <c r="K164" s="113"/>
      <c r="L164" s="113"/>
      <c r="M164" s="113"/>
      <c r="N164" s="113"/>
      <c r="O164" s="113"/>
      <c r="P164" s="113"/>
      <c r="Q164" s="113"/>
      <c r="R164" s="156">
        <f>R111</f>
        <v>0</v>
      </c>
      <c r="S164" s="116"/>
      <c r="T164" s="2"/>
    </row>
    <row r="165" spans="1:252" ht="15.6" x14ac:dyDescent="0.3">
      <c r="A165" s="112"/>
      <c r="B165" s="113" t="s">
        <v>43</v>
      </c>
      <c r="C165" s="113"/>
      <c r="D165" s="113"/>
      <c r="E165" s="113"/>
      <c r="F165" s="113"/>
      <c r="G165" s="113"/>
      <c r="H165" s="113"/>
      <c r="I165" s="113"/>
      <c r="J165" s="113"/>
      <c r="K165" s="113"/>
      <c r="L165" s="113"/>
      <c r="M165" s="113"/>
      <c r="N165" s="113"/>
      <c r="O165" s="113"/>
      <c r="P165" s="113"/>
      <c r="Q165" s="113"/>
      <c r="R165" s="156">
        <f>R163+R164</f>
        <v>0</v>
      </c>
      <c r="S165" s="116"/>
      <c r="T165" s="2"/>
    </row>
    <row r="166" spans="1:252" ht="15.6" x14ac:dyDescent="0.3">
      <c r="A166" s="112"/>
      <c r="B166" s="113" t="s">
        <v>150</v>
      </c>
      <c r="C166" s="113"/>
      <c r="D166" s="113"/>
      <c r="E166" s="113"/>
      <c r="F166" s="113"/>
      <c r="G166" s="113"/>
      <c r="H166" s="113"/>
      <c r="I166" s="113"/>
      <c r="J166" s="113"/>
      <c r="K166" s="113"/>
      <c r="L166" s="113"/>
      <c r="M166" s="113"/>
      <c r="N166" s="113"/>
      <c r="O166" s="113"/>
      <c r="P166" s="113"/>
      <c r="Q166" s="113"/>
      <c r="R166" s="156">
        <f>-R99</f>
        <v>0</v>
      </c>
      <c r="S166" s="116"/>
      <c r="T166" s="2"/>
    </row>
    <row r="167" spans="1:252" ht="16.2" thickBot="1" x14ac:dyDescent="0.35">
      <c r="A167" s="12"/>
      <c r="B167" s="43"/>
      <c r="C167" s="43"/>
      <c r="D167" s="43"/>
      <c r="E167" s="43"/>
      <c r="F167" s="43"/>
      <c r="G167" s="43"/>
      <c r="H167" s="43"/>
      <c r="I167" s="43"/>
      <c r="J167" s="43"/>
      <c r="K167" s="43"/>
      <c r="L167" s="43"/>
      <c r="M167" s="43"/>
      <c r="N167" s="43"/>
      <c r="O167" s="43"/>
      <c r="P167" s="43"/>
      <c r="Q167" s="43"/>
      <c r="R167" s="162"/>
      <c r="S167" s="217"/>
      <c r="T167" s="2"/>
    </row>
    <row r="168" spans="1:252" ht="15.6" x14ac:dyDescent="0.3">
      <c r="A168" s="10"/>
      <c r="B168" s="11"/>
      <c r="C168" s="11"/>
      <c r="D168" s="11"/>
      <c r="E168" s="11"/>
      <c r="F168" s="11"/>
      <c r="G168" s="11"/>
      <c r="H168" s="11"/>
      <c r="I168" s="11"/>
      <c r="J168" s="11"/>
      <c r="K168" s="11"/>
      <c r="L168" s="11"/>
      <c r="M168" s="11"/>
      <c r="N168" s="11"/>
      <c r="O168" s="11"/>
      <c r="P168" s="11"/>
      <c r="Q168" s="11"/>
      <c r="R168" s="32"/>
      <c r="S168" s="216"/>
      <c r="T168" s="2"/>
    </row>
    <row r="169" spans="1:252" s="6" customFormat="1" ht="15.6" x14ac:dyDescent="0.3">
      <c r="A169" s="12"/>
      <c r="B169" s="41" t="s">
        <v>204</v>
      </c>
      <c r="C169" s="43"/>
      <c r="D169" s="43"/>
      <c r="E169" s="43"/>
      <c r="F169" s="43"/>
      <c r="G169" s="43"/>
      <c r="H169" s="43"/>
      <c r="I169" s="43"/>
      <c r="J169" s="43"/>
      <c r="K169" s="43"/>
      <c r="L169" s="43"/>
      <c r="M169" s="43"/>
      <c r="N169" s="43"/>
      <c r="O169" s="43"/>
      <c r="P169" s="43"/>
      <c r="Q169" s="43"/>
      <c r="R169" s="44"/>
      <c r="S169" s="217"/>
      <c r="T169" s="2"/>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row>
    <row r="170" spans="1:252" s="7" customFormat="1" ht="15.6" x14ac:dyDescent="0.3">
      <c r="A170" s="112"/>
      <c r="B170" s="113" t="s">
        <v>141</v>
      </c>
      <c r="C170" s="113"/>
      <c r="D170" s="113"/>
      <c r="E170" s="113"/>
      <c r="F170" s="113"/>
      <c r="G170" s="113"/>
      <c r="H170" s="113"/>
      <c r="I170" s="113"/>
      <c r="J170" s="113"/>
      <c r="K170" s="113"/>
      <c r="L170" s="113"/>
      <c r="M170" s="113"/>
      <c r="N170" s="113"/>
      <c r="O170" s="113"/>
      <c r="P170" s="113"/>
      <c r="Q170" s="113"/>
      <c r="R170" s="156">
        <f>+'Feb 17'!R173</f>
        <v>1638</v>
      </c>
      <c r="S170" s="116"/>
      <c r="T170" s="2"/>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row>
    <row r="171" spans="1:252" s="7" customFormat="1" ht="15.6" x14ac:dyDescent="0.3">
      <c r="A171" s="112"/>
      <c r="B171" s="113" t="s">
        <v>288</v>
      </c>
      <c r="C171" s="113"/>
      <c r="D171" s="113"/>
      <c r="E171" s="113"/>
      <c r="F171" s="113"/>
      <c r="G171" s="113"/>
      <c r="H171" s="113"/>
      <c r="I171" s="113"/>
      <c r="J171" s="113"/>
      <c r="K171" s="113"/>
      <c r="L171" s="113"/>
      <c r="M171" s="113"/>
      <c r="N171" s="113"/>
      <c r="O171" s="113"/>
      <c r="P171" s="113"/>
      <c r="Q171" s="113"/>
      <c r="R171" s="156">
        <v>156</v>
      </c>
      <c r="S171" s="116"/>
      <c r="T171" s="2"/>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1:252" s="7" customFormat="1" ht="15.6" x14ac:dyDescent="0.3">
      <c r="A172" s="112"/>
      <c r="B172" s="113" t="s">
        <v>144</v>
      </c>
      <c r="C172" s="113"/>
      <c r="D172" s="113"/>
      <c r="E172" s="113"/>
      <c r="F172" s="113"/>
      <c r="G172" s="113"/>
      <c r="H172" s="113"/>
      <c r="I172" s="113"/>
      <c r="J172" s="113"/>
      <c r="K172" s="113"/>
      <c r="L172" s="113"/>
      <c r="M172" s="113"/>
      <c r="N172" s="113"/>
      <c r="O172" s="113"/>
      <c r="P172" s="113"/>
      <c r="Q172" s="113"/>
      <c r="R172" s="156">
        <f>+R92</f>
        <v>265</v>
      </c>
      <c r="S172" s="116"/>
      <c r="T172" s="2"/>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1:252" s="7" customFormat="1" ht="15.6" x14ac:dyDescent="0.3">
      <c r="A173" s="112"/>
      <c r="B173" s="113" t="s">
        <v>142</v>
      </c>
      <c r="C173" s="113"/>
      <c r="D173" s="113"/>
      <c r="E173" s="113"/>
      <c r="F173" s="113"/>
      <c r="G173" s="113"/>
      <c r="H173" s="113"/>
      <c r="I173" s="113"/>
      <c r="J173" s="113"/>
      <c r="K173" s="113"/>
      <c r="L173" s="113"/>
      <c r="M173" s="113"/>
      <c r="N173" s="113"/>
      <c r="O173" s="113"/>
      <c r="P173" s="113"/>
      <c r="Q173" s="113"/>
      <c r="R173" s="156">
        <f>R170+R171-R172</f>
        <v>1529</v>
      </c>
      <c r="S173" s="116"/>
      <c r="T173" s="2"/>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1:252" s="8" customFormat="1" ht="16.2" thickBot="1" x14ac:dyDescent="0.35">
      <c r="A174" s="28"/>
      <c r="B174" s="43"/>
      <c r="C174" s="43"/>
      <c r="D174" s="43"/>
      <c r="E174" s="43"/>
      <c r="F174" s="43"/>
      <c r="G174" s="43"/>
      <c r="H174" s="43"/>
      <c r="I174" s="43"/>
      <c r="J174" s="43"/>
      <c r="K174" s="43"/>
      <c r="L174" s="43"/>
      <c r="M174" s="43"/>
      <c r="N174" s="43"/>
      <c r="O174" s="43"/>
      <c r="P174" s="43"/>
      <c r="Q174" s="43"/>
      <c r="R174" s="162"/>
      <c r="S174" s="217"/>
      <c r="T174" s="2"/>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1:252" s="9" customFormat="1" ht="15.6" x14ac:dyDescent="0.3">
      <c r="A175" s="10"/>
      <c r="B175" s="11"/>
      <c r="C175" s="11"/>
      <c r="D175" s="11"/>
      <c r="E175" s="11"/>
      <c r="F175" s="11"/>
      <c r="G175" s="11"/>
      <c r="H175" s="11"/>
      <c r="I175" s="11"/>
      <c r="J175" s="11"/>
      <c r="K175" s="11"/>
      <c r="L175" s="11"/>
      <c r="M175" s="11"/>
      <c r="N175" s="11"/>
      <c r="O175" s="11"/>
      <c r="P175" s="11"/>
      <c r="Q175" s="11"/>
      <c r="R175" s="32"/>
      <c r="S175" s="216"/>
      <c r="T175" s="2"/>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row>
    <row r="176" spans="1:252" ht="15.6" x14ac:dyDescent="0.3">
      <c r="A176" s="12"/>
      <c r="B176" s="41" t="s">
        <v>44</v>
      </c>
      <c r="C176" s="14"/>
      <c r="D176" s="14"/>
      <c r="E176" s="14"/>
      <c r="F176" s="14"/>
      <c r="G176" s="14"/>
      <c r="H176" s="14"/>
      <c r="I176" s="14"/>
      <c r="J176" s="14"/>
      <c r="K176" s="14"/>
      <c r="L176" s="14"/>
      <c r="M176" s="14"/>
      <c r="N176" s="14"/>
      <c r="O176" s="14"/>
      <c r="P176" s="14"/>
      <c r="Q176" s="14"/>
      <c r="R176" s="33"/>
      <c r="S176" s="217"/>
      <c r="T176" s="2"/>
    </row>
    <row r="177" spans="1:20" ht="15.6" x14ac:dyDescent="0.3">
      <c r="A177" s="12"/>
      <c r="B177" s="22"/>
      <c r="C177" s="14"/>
      <c r="D177" s="14"/>
      <c r="E177" s="14"/>
      <c r="F177" s="14"/>
      <c r="G177" s="14"/>
      <c r="H177" s="14"/>
      <c r="I177" s="14"/>
      <c r="J177" s="14"/>
      <c r="K177" s="14"/>
      <c r="L177" s="14"/>
      <c r="M177" s="14"/>
      <c r="N177" s="14"/>
      <c r="O177" s="14"/>
      <c r="P177" s="14"/>
      <c r="Q177" s="14"/>
      <c r="R177" s="33"/>
      <c r="S177" s="217"/>
      <c r="T177" s="2"/>
    </row>
    <row r="178" spans="1:20" ht="15.6" x14ac:dyDescent="0.3">
      <c r="A178" s="112"/>
      <c r="B178" s="113" t="s">
        <v>172</v>
      </c>
      <c r="C178" s="113"/>
      <c r="D178" s="113"/>
      <c r="E178" s="113"/>
      <c r="F178" s="113"/>
      <c r="G178" s="113"/>
      <c r="H178" s="113"/>
      <c r="I178" s="113"/>
      <c r="J178" s="113"/>
      <c r="K178" s="113"/>
      <c r="L178" s="113"/>
      <c r="M178" s="113"/>
      <c r="N178" s="113"/>
      <c r="O178" s="113"/>
      <c r="P178" s="113"/>
      <c r="Q178" s="113"/>
      <c r="R178" s="156">
        <f>+R67</f>
        <v>166608</v>
      </c>
      <c r="S178" s="116"/>
      <c r="T178" s="2"/>
    </row>
    <row r="179" spans="1:20" ht="15.6" x14ac:dyDescent="0.3">
      <c r="A179" s="112"/>
      <c r="B179" s="113" t="s">
        <v>173</v>
      </c>
      <c r="C179" s="113"/>
      <c r="D179" s="113"/>
      <c r="E179" s="113"/>
      <c r="F179" s="113"/>
      <c r="G179" s="113"/>
      <c r="H179" s="113"/>
      <c r="I179" s="113"/>
      <c r="J179" s="113"/>
      <c r="K179" s="113"/>
      <c r="L179" s="113"/>
      <c r="M179" s="113"/>
      <c r="N179" s="113"/>
      <c r="O179" s="113"/>
      <c r="P179" s="113"/>
      <c r="Q179" s="113"/>
      <c r="R179" s="156">
        <f>+R77</f>
        <v>0</v>
      </c>
      <c r="S179" s="116"/>
      <c r="T179" s="2"/>
    </row>
    <row r="180" spans="1:20" ht="15.6" x14ac:dyDescent="0.3">
      <c r="A180" s="112"/>
      <c r="B180" s="113" t="s">
        <v>216</v>
      </c>
      <c r="C180" s="113"/>
      <c r="D180" s="113"/>
      <c r="E180" s="113"/>
      <c r="F180" s="113"/>
      <c r="G180" s="113"/>
      <c r="H180" s="113"/>
      <c r="I180" s="113"/>
      <c r="J180" s="113"/>
      <c r="K180" s="113"/>
      <c r="L180" s="113"/>
      <c r="M180" s="113"/>
      <c r="N180" s="113"/>
      <c r="O180" s="113"/>
      <c r="P180" s="113"/>
      <c r="Q180" s="113"/>
      <c r="R180" s="156">
        <f>+R78</f>
        <v>0</v>
      </c>
      <c r="S180" s="116"/>
      <c r="T180" s="2"/>
    </row>
    <row r="181" spans="1:20" ht="15.6" x14ac:dyDescent="0.3">
      <c r="A181" s="112"/>
      <c r="B181" s="113" t="s">
        <v>126</v>
      </c>
      <c r="C181" s="113"/>
      <c r="D181" s="113"/>
      <c r="E181" s="113"/>
      <c r="F181" s="113"/>
      <c r="G181" s="113"/>
      <c r="H181" s="113"/>
      <c r="I181" s="113"/>
      <c r="J181" s="113"/>
      <c r="K181" s="113"/>
      <c r="L181" s="113"/>
      <c r="M181" s="113"/>
      <c r="N181" s="113"/>
      <c r="O181" s="113"/>
      <c r="P181" s="113"/>
      <c r="Q181" s="113"/>
      <c r="R181" s="156">
        <f>+R178+R179+R180</f>
        <v>166608</v>
      </c>
      <c r="S181" s="116"/>
      <c r="T181" s="2"/>
    </row>
    <row r="182" spans="1:20" ht="15.6" x14ac:dyDescent="0.3">
      <c r="A182" s="112"/>
      <c r="B182" s="113" t="s">
        <v>45</v>
      </c>
      <c r="C182" s="113"/>
      <c r="D182" s="113"/>
      <c r="E182" s="113"/>
      <c r="F182" s="113"/>
      <c r="G182" s="113"/>
      <c r="H182" s="113"/>
      <c r="I182" s="113"/>
      <c r="J182" s="113"/>
      <c r="K182" s="113"/>
      <c r="L182" s="113"/>
      <c r="M182" s="113"/>
      <c r="N182" s="113"/>
      <c r="O182" s="113"/>
      <c r="P182" s="113"/>
      <c r="Q182" s="113"/>
      <c r="R182" s="156">
        <f>R80</f>
        <v>166608</v>
      </c>
      <c r="S182" s="116"/>
      <c r="T182" s="2"/>
    </row>
    <row r="183" spans="1:20" ht="16.2" thickBot="1" x14ac:dyDescent="0.35">
      <c r="A183" s="12"/>
      <c r="B183" s="43"/>
      <c r="C183" s="43"/>
      <c r="D183" s="43"/>
      <c r="E183" s="43"/>
      <c r="F183" s="43"/>
      <c r="G183" s="43"/>
      <c r="H183" s="43"/>
      <c r="I183" s="43"/>
      <c r="J183" s="43"/>
      <c r="K183" s="43"/>
      <c r="L183" s="43"/>
      <c r="M183" s="43"/>
      <c r="N183" s="43"/>
      <c r="O183" s="43"/>
      <c r="P183" s="43"/>
      <c r="Q183" s="43"/>
      <c r="R183" s="162"/>
      <c r="S183" s="217"/>
      <c r="T183" s="2"/>
    </row>
    <row r="184" spans="1:20" ht="15.6" x14ac:dyDescent="0.3">
      <c r="A184" s="10"/>
      <c r="B184" s="11"/>
      <c r="C184" s="11"/>
      <c r="D184" s="11"/>
      <c r="E184" s="11"/>
      <c r="F184" s="11"/>
      <c r="G184" s="11"/>
      <c r="H184" s="11"/>
      <c r="I184" s="11"/>
      <c r="J184" s="11"/>
      <c r="K184" s="11"/>
      <c r="L184" s="11"/>
      <c r="M184" s="11"/>
      <c r="N184" s="11"/>
      <c r="O184" s="11"/>
      <c r="P184" s="11"/>
      <c r="Q184" s="11"/>
      <c r="R184" s="32"/>
      <c r="S184" s="216"/>
      <c r="T184" s="2"/>
    </row>
    <row r="185" spans="1:20" ht="15.6" x14ac:dyDescent="0.3">
      <c r="A185" s="12"/>
      <c r="B185" s="41" t="s">
        <v>46</v>
      </c>
      <c r="C185" s="37"/>
      <c r="D185" s="45"/>
      <c r="E185" s="45"/>
      <c r="F185" s="45"/>
      <c r="G185" s="45"/>
      <c r="H185" s="45"/>
      <c r="I185" s="45"/>
      <c r="J185" s="45"/>
      <c r="K185" s="45"/>
      <c r="L185" s="45"/>
      <c r="M185" s="45"/>
      <c r="N185" s="45"/>
      <c r="O185" s="45" t="s">
        <v>82</v>
      </c>
      <c r="P185" s="45" t="s">
        <v>170</v>
      </c>
      <c r="Q185" s="16"/>
      <c r="R185" s="46" t="s">
        <v>94</v>
      </c>
      <c r="S185" s="224"/>
      <c r="T185" s="2"/>
    </row>
    <row r="186" spans="1:20" ht="15.6" x14ac:dyDescent="0.3">
      <c r="A186" s="112"/>
      <c r="B186" s="113" t="s">
        <v>47</v>
      </c>
      <c r="C186" s="113"/>
      <c r="D186" s="113"/>
      <c r="E186" s="113"/>
      <c r="F186" s="113"/>
      <c r="G186" s="113"/>
      <c r="H186" s="113"/>
      <c r="I186" s="113"/>
      <c r="J186" s="113"/>
      <c r="K186" s="113"/>
      <c r="L186" s="113"/>
      <c r="M186" s="113"/>
      <c r="N186" s="113"/>
      <c r="O186" s="156">
        <f>+R31*0.08</f>
        <v>24000.720000000001</v>
      </c>
      <c r="P186" s="145"/>
      <c r="Q186" s="113"/>
      <c r="R186" s="156"/>
      <c r="S186" s="116"/>
      <c r="T186" s="2"/>
    </row>
    <row r="187" spans="1:20" ht="15.6" x14ac:dyDescent="0.3">
      <c r="A187" s="112"/>
      <c r="B187" s="113" t="s">
        <v>48</v>
      </c>
      <c r="C187" s="113"/>
      <c r="D187" s="113"/>
      <c r="E187" s="113"/>
      <c r="F187" s="113"/>
      <c r="G187" s="113"/>
      <c r="H187" s="113"/>
      <c r="I187" s="113"/>
      <c r="J187" s="113"/>
      <c r="K187" s="113"/>
      <c r="L187" s="113"/>
      <c r="M187" s="113"/>
      <c r="N187" s="113"/>
      <c r="O187" s="156">
        <f>+'Feb 17'!O189</f>
        <v>499</v>
      </c>
      <c r="P187" s="156">
        <f>+'Feb 17'!P189</f>
        <v>688</v>
      </c>
      <c r="Q187" s="113"/>
      <c r="R187" s="156">
        <f>O187+P187</f>
        <v>1187</v>
      </c>
      <c r="S187" s="116"/>
      <c r="T187" s="2"/>
    </row>
    <row r="188" spans="1:20" ht="15.6" x14ac:dyDescent="0.3">
      <c r="A188" s="112"/>
      <c r="B188" s="113" t="s">
        <v>49</v>
      </c>
      <c r="C188" s="113"/>
      <c r="D188" s="113"/>
      <c r="E188" s="113"/>
      <c r="F188" s="113"/>
      <c r="G188" s="113"/>
      <c r="H188" s="113"/>
      <c r="I188" s="113"/>
      <c r="J188" s="113"/>
      <c r="K188" s="113"/>
      <c r="L188" s="113"/>
      <c r="M188" s="113"/>
      <c r="N188" s="113"/>
      <c r="O188" s="155">
        <v>13</v>
      </c>
      <c r="P188" s="155">
        <v>3</v>
      </c>
      <c r="Q188" s="113"/>
      <c r="R188" s="156">
        <f>O188+P188</f>
        <v>16</v>
      </c>
      <c r="S188" s="116"/>
      <c r="T188" s="2"/>
    </row>
    <row r="189" spans="1:20" ht="15.6" x14ac:dyDescent="0.3">
      <c r="A189" s="112"/>
      <c r="B189" s="113" t="s">
        <v>50</v>
      </c>
      <c r="C189" s="113"/>
      <c r="D189" s="113"/>
      <c r="E189" s="113"/>
      <c r="F189" s="113"/>
      <c r="G189" s="113"/>
      <c r="H189" s="113"/>
      <c r="I189" s="113"/>
      <c r="J189" s="113"/>
      <c r="K189" s="113"/>
      <c r="L189" s="113"/>
      <c r="M189" s="113"/>
      <c r="N189" s="113"/>
      <c r="O189" s="156">
        <f>O187+O188</f>
        <v>512</v>
      </c>
      <c r="P189" s="156">
        <f>P188+P187</f>
        <v>691</v>
      </c>
      <c r="Q189" s="113"/>
      <c r="R189" s="156">
        <f>O189+P189</f>
        <v>1203</v>
      </c>
      <c r="S189" s="116"/>
      <c r="T189" s="2"/>
    </row>
    <row r="190" spans="1:20" ht="15.6" x14ac:dyDescent="0.3">
      <c r="A190" s="112"/>
      <c r="B190" s="113" t="s">
        <v>51</v>
      </c>
      <c r="C190" s="113"/>
      <c r="D190" s="113"/>
      <c r="E190" s="113"/>
      <c r="F190" s="113"/>
      <c r="G190" s="113"/>
      <c r="H190" s="113"/>
      <c r="I190" s="113"/>
      <c r="J190" s="113"/>
      <c r="K190" s="113"/>
      <c r="L190" s="113"/>
      <c r="M190" s="113"/>
      <c r="N190" s="113"/>
      <c r="O190" s="156">
        <f>O186-O189-P189</f>
        <v>22797.72</v>
      </c>
      <c r="P190" s="145"/>
      <c r="Q190" s="113"/>
      <c r="R190" s="156"/>
      <c r="S190" s="116"/>
      <c r="T190" s="2"/>
    </row>
    <row r="191" spans="1:20" ht="16.2" thickBot="1" x14ac:dyDescent="0.35">
      <c r="A191" s="12"/>
      <c r="B191" s="43"/>
      <c r="C191" s="43"/>
      <c r="D191" s="43"/>
      <c r="E191" s="43"/>
      <c r="F191" s="43"/>
      <c r="G191" s="43"/>
      <c r="H191" s="43"/>
      <c r="I191" s="43"/>
      <c r="J191" s="43"/>
      <c r="K191" s="43"/>
      <c r="L191" s="43"/>
      <c r="M191" s="43"/>
      <c r="N191" s="43"/>
      <c r="O191" s="43"/>
      <c r="P191" s="43"/>
      <c r="Q191" s="43"/>
      <c r="R191" s="162"/>
      <c r="S191" s="217"/>
      <c r="T191" s="2"/>
    </row>
    <row r="192" spans="1:20" ht="15.6" x14ac:dyDescent="0.3">
      <c r="A192" s="10"/>
      <c r="B192" s="11"/>
      <c r="C192" s="11"/>
      <c r="D192" s="11"/>
      <c r="E192" s="11"/>
      <c r="F192" s="11"/>
      <c r="G192" s="11"/>
      <c r="H192" s="11"/>
      <c r="I192" s="11"/>
      <c r="J192" s="11"/>
      <c r="K192" s="11"/>
      <c r="L192" s="11"/>
      <c r="M192" s="11"/>
      <c r="N192" s="11"/>
      <c r="O192" s="11"/>
      <c r="P192" s="11"/>
      <c r="Q192" s="11"/>
      <c r="R192" s="32"/>
      <c r="S192" s="216"/>
      <c r="T192" s="2"/>
    </row>
    <row r="193" spans="1:20" ht="15.6" x14ac:dyDescent="0.3">
      <c r="A193" s="12"/>
      <c r="B193" s="41" t="s">
        <v>52</v>
      </c>
      <c r="C193" s="14"/>
      <c r="D193" s="14"/>
      <c r="E193" s="14"/>
      <c r="F193" s="14"/>
      <c r="G193" s="14"/>
      <c r="H193" s="14"/>
      <c r="I193" s="14"/>
      <c r="J193" s="14"/>
      <c r="K193" s="14"/>
      <c r="L193" s="14"/>
      <c r="M193" s="14"/>
      <c r="N193" s="14"/>
      <c r="O193" s="14"/>
      <c r="P193" s="14"/>
      <c r="Q193" s="14"/>
      <c r="R193" s="47"/>
      <c r="S193" s="217"/>
      <c r="T193" s="2"/>
    </row>
    <row r="194" spans="1:20" ht="15.6" x14ac:dyDescent="0.3">
      <c r="A194" s="112"/>
      <c r="B194" s="113" t="s">
        <v>53</v>
      </c>
      <c r="C194" s="113"/>
      <c r="D194" s="113"/>
      <c r="E194" s="113"/>
      <c r="F194" s="113"/>
      <c r="G194" s="113"/>
      <c r="H194" s="113"/>
      <c r="I194" s="113"/>
      <c r="J194" s="113"/>
      <c r="K194" s="113"/>
      <c r="L194" s="113"/>
      <c r="M194" s="113"/>
      <c r="N194" s="113"/>
      <c r="O194" s="113"/>
      <c r="P194" s="113"/>
      <c r="Q194" s="113"/>
      <c r="R194" s="161">
        <f>(R100+R102+R103+R104+R105)/-(R106+R107)</f>
        <v>3.9048361934477378</v>
      </c>
      <c r="S194" s="116" t="s">
        <v>95</v>
      </c>
      <c r="T194" s="2"/>
    </row>
    <row r="195" spans="1:20" ht="15.6" x14ac:dyDescent="0.3">
      <c r="A195" s="112"/>
      <c r="B195" s="113" t="s">
        <v>54</v>
      </c>
      <c r="C195" s="113"/>
      <c r="D195" s="113"/>
      <c r="E195" s="113"/>
      <c r="F195" s="113"/>
      <c r="G195" s="113"/>
      <c r="H195" s="113"/>
      <c r="I195" s="113"/>
      <c r="J195" s="113"/>
      <c r="K195" s="113"/>
      <c r="L195" s="113"/>
      <c r="M195" s="113"/>
      <c r="N195" s="113"/>
      <c r="O195" s="113"/>
      <c r="P195" s="113"/>
      <c r="Q195" s="113"/>
      <c r="R195" s="241">
        <v>3.33</v>
      </c>
      <c r="S195" s="116" t="s">
        <v>95</v>
      </c>
      <c r="T195" s="2"/>
    </row>
    <row r="196" spans="1:20" ht="15.6" x14ac:dyDescent="0.3">
      <c r="A196" s="112"/>
      <c r="B196" s="113" t="s">
        <v>183</v>
      </c>
      <c r="C196" s="113"/>
      <c r="D196" s="113"/>
      <c r="E196" s="113"/>
      <c r="F196" s="113"/>
      <c r="G196" s="113"/>
      <c r="H196" s="113"/>
      <c r="I196" s="113"/>
      <c r="J196" s="113"/>
      <c r="K196" s="113"/>
      <c r="L196" s="113"/>
      <c r="M196" s="113"/>
      <c r="N196" s="113"/>
      <c r="O196" s="113"/>
      <c r="P196" s="113"/>
      <c r="Q196" s="113"/>
      <c r="R196" s="242">
        <f>(R100+R102+R103+R104+R105+R106+R107)/-(R108)</f>
        <v>36.509803921568626</v>
      </c>
      <c r="S196" s="116" t="s">
        <v>95</v>
      </c>
      <c r="T196" s="2"/>
    </row>
    <row r="197" spans="1:20" ht="15.6" x14ac:dyDescent="0.3">
      <c r="A197" s="112"/>
      <c r="B197" s="113" t="s">
        <v>184</v>
      </c>
      <c r="C197" s="113"/>
      <c r="D197" s="113"/>
      <c r="E197" s="113"/>
      <c r="F197" s="113"/>
      <c r="G197" s="113"/>
      <c r="H197" s="113"/>
      <c r="I197" s="113"/>
      <c r="J197" s="113"/>
      <c r="K197" s="113"/>
      <c r="L197" s="113"/>
      <c r="M197" s="113"/>
      <c r="N197" s="113"/>
      <c r="O197" s="113"/>
      <c r="P197" s="113"/>
      <c r="Q197" s="113"/>
      <c r="R197" s="241">
        <v>37.06</v>
      </c>
      <c r="S197" s="116" t="s">
        <v>95</v>
      </c>
      <c r="T197" s="2"/>
    </row>
    <row r="198" spans="1:20" ht="15.6" x14ac:dyDescent="0.3">
      <c r="A198" s="112"/>
      <c r="B198" s="113" t="s">
        <v>185</v>
      </c>
      <c r="C198" s="113"/>
      <c r="D198" s="113"/>
      <c r="E198" s="113"/>
      <c r="F198" s="113"/>
      <c r="G198" s="113"/>
      <c r="H198" s="113"/>
      <c r="I198" s="113"/>
      <c r="J198" s="113"/>
      <c r="K198" s="113"/>
      <c r="L198" s="113"/>
      <c r="M198" s="113"/>
      <c r="N198" s="113"/>
      <c r="O198" s="113"/>
      <c r="P198" s="113"/>
      <c r="Q198" s="113"/>
      <c r="R198" s="242">
        <f>(R100+R102+R103+R104+R105+R106+R107+R108)/-(R109)</f>
        <v>30.183333333333334</v>
      </c>
      <c r="S198" s="116" t="s">
        <v>95</v>
      </c>
      <c r="T198" s="2"/>
    </row>
    <row r="199" spans="1:20" ht="15.6" x14ac:dyDescent="0.3">
      <c r="A199" s="112"/>
      <c r="B199" s="113" t="s">
        <v>186</v>
      </c>
      <c r="C199" s="113"/>
      <c r="D199" s="113"/>
      <c r="E199" s="113"/>
      <c r="F199" s="113"/>
      <c r="G199" s="113"/>
      <c r="H199" s="113"/>
      <c r="I199" s="113"/>
      <c r="J199" s="113"/>
      <c r="K199" s="113"/>
      <c r="L199" s="113"/>
      <c r="M199" s="113"/>
      <c r="N199" s="113"/>
      <c r="O199" s="113"/>
      <c r="P199" s="113"/>
      <c r="Q199" s="113"/>
      <c r="R199" s="241">
        <v>31.05</v>
      </c>
      <c r="S199" s="116" t="s">
        <v>95</v>
      </c>
      <c r="T199" s="2"/>
    </row>
    <row r="200" spans="1:20" ht="15.6" x14ac:dyDescent="0.3">
      <c r="A200" s="112"/>
      <c r="B200" s="113" t="s">
        <v>257</v>
      </c>
      <c r="C200" s="113"/>
      <c r="D200" s="113"/>
      <c r="E200" s="113"/>
      <c r="F200" s="113"/>
      <c r="G200" s="113"/>
      <c r="H200" s="113"/>
      <c r="I200" s="113"/>
      <c r="J200" s="113"/>
      <c r="K200" s="113"/>
      <c r="L200" s="113"/>
      <c r="M200" s="113"/>
      <c r="N200" s="113"/>
      <c r="O200" s="113"/>
      <c r="P200" s="113"/>
      <c r="Q200" s="113"/>
      <c r="R200" s="242">
        <f>(R100+R102+R103+R104+R105+R106+R107+R108+R109+R110+R111+R112+R113+R114)/-(R115)</f>
        <v>39.340909090909093</v>
      </c>
      <c r="S200" s="116" t="s">
        <v>95</v>
      </c>
      <c r="T200" s="2"/>
    </row>
    <row r="201" spans="1:20" ht="15.6" x14ac:dyDescent="0.3">
      <c r="A201" s="112"/>
      <c r="B201" s="113" t="s">
        <v>258</v>
      </c>
      <c r="C201" s="113"/>
      <c r="D201" s="113"/>
      <c r="E201" s="113"/>
      <c r="F201" s="113"/>
      <c r="G201" s="113"/>
      <c r="H201" s="113"/>
      <c r="I201" s="113"/>
      <c r="J201" s="113"/>
      <c r="K201" s="113"/>
      <c r="L201" s="113"/>
      <c r="M201" s="113"/>
      <c r="N201" s="113"/>
      <c r="O201" s="113"/>
      <c r="P201" s="113"/>
      <c r="Q201" s="113"/>
      <c r="R201" s="241">
        <v>40.869999999999997</v>
      </c>
      <c r="S201" s="116" t="s">
        <v>95</v>
      </c>
      <c r="T201" s="2"/>
    </row>
    <row r="202" spans="1:20" ht="15.6" x14ac:dyDescent="0.3">
      <c r="A202" s="112"/>
      <c r="B202" s="113"/>
      <c r="C202" s="113"/>
      <c r="D202" s="113"/>
      <c r="E202" s="113"/>
      <c r="F202" s="113"/>
      <c r="G202" s="113"/>
      <c r="H202" s="113"/>
      <c r="I202" s="113"/>
      <c r="J202" s="113"/>
      <c r="K202" s="113"/>
      <c r="L202" s="113"/>
      <c r="M202" s="113"/>
      <c r="N202" s="113"/>
      <c r="O202" s="113"/>
      <c r="P202" s="113"/>
      <c r="Q202" s="113"/>
      <c r="R202" s="113"/>
      <c r="S202" s="116"/>
      <c r="T202" s="2"/>
    </row>
    <row r="203" spans="1:20" ht="15.6" x14ac:dyDescent="0.3">
      <c r="A203" s="12"/>
      <c r="B203" s="163"/>
      <c r="C203" s="163"/>
      <c r="D203" s="163"/>
      <c r="E203" s="163"/>
      <c r="F203" s="163"/>
      <c r="G203" s="163"/>
      <c r="H203" s="163"/>
      <c r="I203" s="163"/>
      <c r="J203" s="163"/>
      <c r="K203" s="163"/>
      <c r="L203" s="163"/>
      <c r="M203" s="163"/>
      <c r="N203" s="163"/>
      <c r="O203" s="163"/>
      <c r="P203" s="163"/>
      <c r="Q203" s="163"/>
      <c r="R203" s="163"/>
      <c r="S203" s="218"/>
      <c r="T203" s="2"/>
    </row>
    <row r="204" spans="1:20" ht="15.6" x14ac:dyDescent="0.3">
      <c r="A204" s="12"/>
      <c r="B204" s="84"/>
      <c r="C204" s="84"/>
      <c r="D204" s="84"/>
      <c r="E204" s="84"/>
      <c r="F204" s="84"/>
      <c r="G204" s="84"/>
      <c r="H204" s="84"/>
      <c r="I204" s="84"/>
      <c r="J204" s="84"/>
      <c r="K204" s="84"/>
      <c r="L204" s="84"/>
      <c r="M204" s="84"/>
      <c r="N204" s="84"/>
      <c r="O204" s="84"/>
      <c r="P204" s="84"/>
      <c r="Q204" s="84"/>
      <c r="R204" s="84"/>
      <c r="S204" s="218"/>
      <c r="T204" s="2"/>
    </row>
    <row r="205" spans="1:20" ht="18" thickBot="1" x14ac:dyDescent="0.35">
      <c r="A205" s="28"/>
      <c r="B205" s="97" t="str">
        <f>B132</f>
        <v>PM22 INVESTOR REPORT QUARTER ENDING MAY 2017</v>
      </c>
      <c r="C205" s="98"/>
      <c r="D205" s="98"/>
      <c r="E205" s="98"/>
      <c r="F205" s="98"/>
      <c r="G205" s="98"/>
      <c r="H205" s="98"/>
      <c r="I205" s="98"/>
      <c r="J205" s="98"/>
      <c r="K205" s="98"/>
      <c r="L205" s="98"/>
      <c r="M205" s="98"/>
      <c r="N205" s="98"/>
      <c r="O205" s="98"/>
      <c r="P205" s="98"/>
      <c r="Q205" s="98"/>
      <c r="R205" s="98"/>
      <c r="S205" s="99"/>
      <c r="T205" s="2"/>
    </row>
    <row r="206" spans="1:20" ht="15.6" x14ac:dyDescent="0.3">
      <c r="A206" s="65"/>
      <c r="B206" s="66" t="s">
        <v>55</v>
      </c>
      <c r="C206" s="69"/>
      <c r="D206" s="70"/>
      <c r="E206" s="70"/>
      <c r="F206" s="70"/>
      <c r="G206" s="70"/>
      <c r="H206" s="70"/>
      <c r="I206" s="70"/>
      <c r="J206" s="70"/>
      <c r="K206" s="70"/>
      <c r="L206" s="70"/>
      <c r="M206" s="70"/>
      <c r="N206" s="70"/>
      <c r="O206" s="70"/>
      <c r="P206" s="70">
        <v>42886</v>
      </c>
      <c r="Q206" s="67"/>
      <c r="R206" s="67"/>
      <c r="S206" s="223"/>
      <c r="T206" s="2"/>
    </row>
    <row r="207" spans="1:20" ht="15.6" x14ac:dyDescent="0.3">
      <c r="A207" s="48"/>
      <c r="B207" s="49"/>
      <c r="C207" s="50"/>
      <c r="D207" s="51"/>
      <c r="E207" s="51"/>
      <c r="F207" s="51"/>
      <c r="G207" s="51"/>
      <c r="H207" s="51"/>
      <c r="I207" s="51"/>
      <c r="J207" s="51"/>
      <c r="K207" s="51"/>
      <c r="L207" s="51"/>
      <c r="M207" s="51"/>
      <c r="N207" s="51"/>
      <c r="O207" s="51"/>
      <c r="P207" s="51"/>
      <c r="Q207" s="14"/>
      <c r="R207" s="14"/>
      <c r="S207" s="217"/>
      <c r="T207" s="2"/>
    </row>
    <row r="208" spans="1:20" ht="15.6" x14ac:dyDescent="0.3">
      <c r="A208" s="166"/>
      <c r="B208" s="113" t="s">
        <v>56</v>
      </c>
      <c r="C208" s="167"/>
      <c r="D208" s="148"/>
      <c r="E208" s="148"/>
      <c r="F208" s="148"/>
      <c r="G208" s="148"/>
      <c r="H208" s="148"/>
      <c r="I208" s="148"/>
      <c r="J208" s="148"/>
      <c r="K208" s="148"/>
      <c r="L208" s="148"/>
      <c r="M208" s="148"/>
      <c r="N208" s="148"/>
      <c r="O208" s="148"/>
      <c r="P208" s="142">
        <v>4.079E-2</v>
      </c>
      <c r="Q208" s="113"/>
      <c r="R208" s="113"/>
      <c r="S208" s="116"/>
      <c r="T208" s="2"/>
    </row>
    <row r="209" spans="1:20" ht="15.6" x14ac:dyDescent="0.3">
      <c r="A209" s="166"/>
      <c r="B209" s="113" t="s">
        <v>158</v>
      </c>
      <c r="C209" s="167"/>
      <c r="D209" s="148"/>
      <c r="E209" s="148"/>
      <c r="F209" s="148"/>
      <c r="G209" s="148"/>
      <c r="H209" s="148"/>
      <c r="I209" s="148"/>
      <c r="J209" s="148"/>
      <c r="K209" s="148"/>
      <c r="L209" s="148"/>
      <c r="M209" s="148"/>
      <c r="N209" s="148"/>
      <c r="O209" s="148"/>
      <c r="P209" s="142">
        <v>1.5340718167454973E-2</v>
      </c>
      <c r="Q209" s="113"/>
      <c r="R209" s="113"/>
      <c r="S209" s="116"/>
      <c r="T209" s="2"/>
    </row>
    <row r="210" spans="1:20" ht="15.6" x14ac:dyDescent="0.3">
      <c r="A210" s="166"/>
      <c r="B210" s="113" t="s">
        <v>57</v>
      </c>
      <c r="C210" s="167"/>
      <c r="D210" s="148"/>
      <c r="E210" s="148"/>
      <c r="F210" s="148"/>
      <c r="G210" s="148"/>
      <c r="H210" s="148"/>
      <c r="I210" s="148"/>
      <c r="J210" s="148"/>
      <c r="K210" s="148"/>
      <c r="L210" s="148"/>
      <c r="M210" s="148"/>
      <c r="N210" s="148"/>
      <c r="O210" s="148"/>
      <c r="P210" s="210">
        <f>P208-P209</f>
        <v>2.5449281832545027E-2</v>
      </c>
      <c r="Q210" s="113"/>
      <c r="R210" s="113"/>
      <c r="S210" s="116"/>
      <c r="T210" s="2"/>
    </row>
    <row r="211" spans="1:20" ht="15.6" x14ac:dyDescent="0.3">
      <c r="A211" s="166"/>
      <c r="B211" s="113" t="s">
        <v>161</v>
      </c>
      <c r="C211" s="167"/>
      <c r="D211" s="148"/>
      <c r="E211" s="148"/>
      <c r="F211" s="148"/>
      <c r="G211" s="148"/>
      <c r="H211" s="148"/>
      <c r="I211" s="148"/>
      <c r="J211" s="148"/>
      <c r="K211" s="148"/>
      <c r="L211" s="148"/>
      <c r="M211" s="148"/>
      <c r="N211" s="148"/>
      <c r="O211" s="148"/>
      <c r="P211" s="210">
        <v>4.34388E-2</v>
      </c>
      <c r="Q211" s="113"/>
      <c r="R211" s="113"/>
      <c r="S211" s="116"/>
      <c r="T211" s="2"/>
    </row>
    <row r="212" spans="1:20" ht="15.6" x14ac:dyDescent="0.3">
      <c r="A212" s="166"/>
      <c r="B212" s="113" t="s">
        <v>58</v>
      </c>
      <c r="C212" s="167"/>
      <c r="D212" s="148"/>
      <c r="E212" s="148"/>
      <c r="F212" s="148"/>
      <c r="G212" s="148"/>
      <c r="H212" s="148"/>
      <c r="I212" s="148"/>
      <c r="J212" s="148"/>
      <c r="K212" s="148"/>
      <c r="L212" s="148"/>
      <c r="M212" s="148"/>
      <c r="N212" s="148"/>
      <c r="O212" s="148"/>
      <c r="P212" s="208">
        <v>4.8180000000000001E-2</v>
      </c>
      <c r="Q212" s="113"/>
      <c r="R212" s="113"/>
      <c r="S212" s="116"/>
      <c r="T212" s="2"/>
    </row>
    <row r="213" spans="1:20" ht="15.6" x14ac:dyDescent="0.3">
      <c r="A213" s="166"/>
      <c r="B213" s="113" t="s">
        <v>159</v>
      </c>
      <c r="C213" s="167"/>
      <c r="D213" s="148"/>
      <c r="E213" s="148"/>
      <c r="F213" s="148"/>
      <c r="G213" s="148"/>
      <c r="H213" s="148"/>
      <c r="I213" s="148"/>
      <c r="J213" s="148"/>
      <c r="K213" s="148"/>
      <c r="L213" s="148"/>
      <c r="M213" s="148"/>
      <c r="N213" s="148"/>
      <c r="O213" s="148"/>
      <c r="P213" s="142">
        <f>R40</f>
        <v>1.3440098662883924E-2</v>
      </c>
      <c r="Q213" s="113"/>
      <c r="R213" s="113"/>
      <c r="S213" s="116"/>
      <c r="T213" s="2"/>
    </row>
    <row r="214" spans="1:20" ht="15.6" x14ac:dyDescent="0.3">
      <c r="A214" s="166"/>
      <c r="B214" s="113" t="s">
        <v>59</v>
      </c>
      <c r="C214" s="167"/>
      <c r="D214" s="148"/>
      <c r="E214" s="148"/>
      <c r="F214" s="148"/>
      <c r="G214" s="148"/>
      <c r="H214" s="148"/>
      <c r="I214" s="148"/>
      <c r="J214" s="148"/>
      <c r="K214" s="148"/>
      <c r="L214" s="148"/>
      <c r="M214" s="148"/>
      <c r="N214" s="148"/>
      <c r="O214" s="148"/>
      <c r="P214" s="142">
        <f>P212-P213</f>
        <v>3.4739901337116075E-2</v>
      </c>
      <c r="Q214" s="113"/>
      <c r="R214" s="113"/>
      <c r="S214" s="116"/>
      <c r="T214" s="2"/>
    </row>
    <row r="215" spans="1:20" ht="15.6" x14ac:dyDescent="0.3">
      <c r="A215" s="166"/>
      <c r="B215" s="113" t="s">
        <v>139</v>
      </c>
      <c r="C215" s="167"/>
      <c r="D215" s="148"/>
      <c r="E215" s="148"/>
      <c r="F215" s="148"/>
      <c r="G215" s="148"/>
      <c r="H215" s="148"/>
      <c r="I215" s="148"/>
      <c r="J215" s="148"/>
      <c r="K215" s="148"/>
      <c r="L215" s="148"/>
      <c r="M215" s="148"/>
      <c r="N215" s="148"/>
      <c r="O215" s="148"/>
      <c r="P215" s="142">
        <f>(+R100+R102)/H80</f>
        <v>1.1570353361398137E-2</v>
      </c>
      <c r="Q215" s="113"/>
      <c r="R215" s="113"/>
      <c r="S215" s="116"/>
      <c r="T215" s="2"/>
    </row>
    <row r="216" spans="1:20" ht="15.6" x14ac:dyDescent="0.3">
      <c r="A216" s="166"/>
      <c r="B216" s="113" t="s">
        <v>132</v>
      </c>
      <c r="C216" s="167"/>
      <c r="D216" s="148"/>
      <c r="E216" s="148"/>
      <c r="F216" s="148"/>
      <c r="G216" s="148"/>
      <c r="H216" s="148"/>
      <c r="I216" s="148"/>
      <c r="J216" s="148"/>
      <c r="K216" s="148"/>
      <c r="L216" s="148"/>
      <c r="M216" s="148"/>
      <c r="N216" s="148"/>
      <c r="O216" s="148"/>
      <c r="P216" s="168">
        <v>52124</v>
      </c>
      <c r="Q216" s="113"/>
      <c r="R216" s="113"/>
      <c r="S216" s="116"/>
      <c r="T216" s="2"/>
    </row>
    <row r="217" spans="1:20" ht="15.6" x14ac:dyDescent="0.3">
      <c r="A217" s="166"/>
      <c r="B217" s="113" t="s">
        <v>187</v>
      </c>
      <c r="C217" s="167"/>
      <c r="D217" s="148"/>
      <c r="E217" s="148"/>
      <c r="F217" s="148"/>
      <c r="G217" s="148"/>
      <c r="H217" s="148"/>
      <c r="I217" s="148"/>
      <c r="J217" s="148"/>
      <c r="K217" s="148"/>
      <c r="L217" s="148"/>
      <c r="M217" s="148"/>
      <c r="N217" s="148"/>
      <c r="O217" s="148"/>
      <c r="P217" s="168">
        <v>15599</v>
      </c>
      <c r="Q217" s="113"/>
      <c r="R217" s="113"/>
      <c r="S217" s="116"/>
      <c r="T217" s="2"/>
    </row>
    <row r="218" spans="1:20" ht="15.6" x14ac:dyDescent="0.3">
      <c r="A218" s="166"/>
      <c r="B218" s="113" t="s">
        <v>188</v>
      </c>
      <c r="C218" s="167"/>
      <c r="D218" s="148"/>
      <c r="E218" s="148"/>
      <c r="F218" s="148"/>
      <c r="G218" s="148"/>
      <c r="H218" s="148"/>
      <c r="I218" s="148"/>
      <c r="J218" s="148"/>
      <c r="K218" s="148"/>
      <c r="L218" s="148"/>
      <c r="M218" s="148"/>
      <c r="N218" s="148"/>
      <c r="O218" s="148"/>
      <c r="P218" s="168">
        <v>15599</v>
      </c>
      <c r="Q218" s="113"/>
      <c r="R218" s="113"/>
      <c r="S218" s="116"/>
      <c r="T218" s="2"/>
    </row>
    <row r="219" spans="1:20" ht="15.6" x14ac:dyDescent="0.3">
      <c r="A219" s="166"/>
      <c r="B219" s="113" t="s">
        <v>259</v>
      </c>
      <c r="C219" s="167"/>
      <c r="D219" s="148"/>
      <c r="E219" s="148"/>
      <c r="F219" s="148"/>
      <c r="G219" s="148"/>
      <c r="H219" s="148"/>
      <c r="I219" s="148"/>
      <c r="J219" s="148"/>
      <c r="K219" s="148"/>
      <c r="L219" s="148"/>
      <c r="M219" s="148"/>
      <c r="N219" s="148"/>
      <c r="O219" s="148"/>
      <c r="P219" s="168">
        <v>15599</v>
      </c>
      <c r="Q219" s="113"/>
      <c r="R219" s="113"/>
      <c r="S219" s="116"/>
      <c r="T219" s="2"/>
    </row>
    <row r="220" spans="1:20" ht="15.6" x14ac:dyDescent="0.3">
      <c r="A220" s="166"/>
      <c r="B220" s="113" t="s">
        <v>60</v>
      </c>
      <c r="C220" s="167"/>
      <c r="D220" s="148"/>
      <c r="E220" s="148"/>
      <c r="F220" s="148"/>
      <c r="G220" s="148"/>
      <c r="H220" s="148"/>
      <c r="I220" s="148"/>
      <c r="J220" s="148"/>
      <c r="K220" s="148"/>
      <c r="L220" s="148"/>
      <c r="M220" s="148"/>
      <c r="N220" s="148"/>
      <c r="O220" s="148"/>
      <c r="P220" s="146">
        <v>20.55</v>
      </c>
      <c r="Q220" s="113" t="s">
        <v>90</v>
      </c>
      <c r="R220" s="113"/>
      <c r="S220" s="116"/>
      <c r="T220" s="2"/>
    </row>
    <row r="221" spans="1:20" ht="15.6" x14ac:dyDescent="0.3">
      <c r="A221" s="166"/>
      <c r="B221" s="113" t="s">
        <v>61</v>
      </c>
      <c r="C221" s="167"/>
      <c r="D221" s="148"/>
      <c r="E221" s="148"/>
      <c r="F221" s="148"/>
      <c r="G221" s="148"/>
      <c r="H221" s="148"/>
      <c r="I221" s="148"/>
      <c r="J221" s="148"/>
      <c r="K221" s="148"/>
      <c r="L221" s="148"/>
      <c r="M221" s="148"/>
      <c r="N221" s="148"/>
      <c r="O221" s="148"/>
      <c r="P221" s="209">
        <v>18.36</v>
      </c>
      <c r="Q221" s="113" t="s">
        <v>90</v>
      </c>
      <c r="R221" s="113"/>
      <c r="S221" s="116"/>
      <c r="T221" s="2"/>
    </row>
    <row r="222" spans="1:20" ht="15.6" x14ac:dyDescent="0.3">
      <c r="A222" s="166"/>
      <c r="B222" s="113" t="s">
        <v>62</v>
      </c>
      <c r="C222" s="167"/>
      <c r="D222" s="148"/>
      <c r="E222" s="148"/>
      <c r="F222" s="148"/>
      <c r="G222" s="148"/>
      <c r="H222" s="148"/>
      <c r="I222" s="148"/>
      <c r="J222" s="148"/>
      <c r="K222" s="148"/>
      <c r="L222" s="148"/>
      <c r="M222" s="148"/>
      <c r="N222" s="148"/>
      <c r="O222" s="148"/>
      <c r="P222" s="142">
        <f>(+J64+L64+P64)/H64</f>
        <v>0.29161032444614532</v>
      </c>
      <c r="Q222" s="113"/>
      <c r="R222" s="113"/>
      <c r="S222" s="116"/>
      <c r="T222" s="2"/>
    </row>
    <row r="223" spans="1:20" ht="15.6" x14ac:dyDescent="0.3">
      <c r="A223" s="166"/>
      <c r="B223" s="113" t="s">
        <v>63</v>
      </c>
      <c r="C223" s="167"/>
      <c r="D223" s="148"/>
      <c r="E223" s="148"/>
      <c r="F223" s="148"/>
      <c r="G223" s="148"/>
      <c r="H223" s="148"/>
      <c r="I223" s="148"/>
      <c r="J223" s="148"/>
      <c r="K223" s="148"/>
      <c r="L223" s="148"/>
      <c r="M223" s="148"/>
      <c r="N223" s="148"/>
      <c r="O223" s="148"/>
      <c r="P223" s="210">
        <v>0.23069999999999999</v>
      </c>
      <c r="Q223" s="113"/>
      <c r="R223" s="113"/>
      <c r="S223" s="116"/>
      <c r="T223" s="2"/>
    </row>
    <row r="224" spans="1:20" ht="15.6" x14ac:dyDescent="0.3">
      <c r="A224" s="48"/>
      <c r="B224" s="164"/>
      <c r="C224" s="164"/>
      <c r="D224" s="43"/>
      <c r="E224" s="43"/>
      <c r="F224" s="43"/>
      <c r="G224" s="43"/>
      <c r="H224" s="43"/>
      <c r="I224" s="43"/>
      <c r="J224" s="43"/>
      <c r="K224" s="43"/>
      <c r="L224" s="43"/>
      <c r="M224" s="43"/>
      <c r="N224" s="43"/>
      <c r="O224" s="43"/>
      <c r="P224" s="162"/>
      <c r="Q224" s="43"/>
      <c r="R224" s="165"/>
      <c r="S224" s="217"/>
      <c r="T224" s="2"/>
    </row>
    <row r="225" spans="1:20" ht="15.6" x14ac:dyDescent="0.3">
      <c r="A225" s="71"/>
      <c r="B225" s="61" t="s">
        <v>64</v>
      </c>
      <c r="C225" s="62"/>
      <c r="D225" s="62"/>
      <c r="E225" s="62"/>
      <c r="F225" s="62"/>
      <c r="G225" s="62"/>
      <c r="H225" s="62"/>
      <c r="I225" s="62"/>
      <c r="J225" s="62"/>
      <c r="K225" s="62"/>
      <c r="L225" s="62"/>
      <c r="M225" s="62"/>
      <c r="N225" s="62"/>
      <c r="O225" s="62" t="s">
        <v>83</v>
      </c>
      <c r="P225" s="72" t="s">
        <v>88</v>
      </c>
      <c r="Q225" s="54"/>
      <c r="R225" s="54"/>
      <c r="S225" s="219"/>
      <c r="T225" s="2"/>
    </row>
    <row r="226" spans="1:20" ht="15.6" x14ac:dyDescent="0.3">
      <c r="A226" s="52"/>
      <c r="B226" s="79" t="s">
        <v>65</v>
      </c>
      <c r="C226" s="78"/>
      <c r="D226" s="95"/>
      <c r="E226" s="95"/>
      <c r="F226" s="95"/>
      <c r="G226" s="95"/>
      <c r="H226" s="95"/>
      <c r="I226" s="95"/>
      <c r="J226" s="95"/>
      <c r="K226" s="95"/>
      <c r="L226" s="95"/>
      <c r="M226" s="95"/>
      <c r="N226" s="95"/>
      <c r="O226" s="95">
        <v>0</v>
      </c>
      <c r="P226" s="96">
        <v>0</v>
      </c>
      <c r="Q226" s="79"/>
      <c r="R226" s="94"/>
      <c r="S226" s="225"/>
      <c r="T226" s="2"/>
    </row>
    <row r="227" spans="1:20" ht="15.6" x14ac:dyDescent="0.3">
      <c r="A227" s="172"/>
      <c r="B227" s="113" t="s">
        <v>113</v>
      </c>
      <c r="C227" s="155"/>
      <c r="D227" s="123"/>
      <c r="E227" s="123"/>
      <c r="F227" s="123"/>
      <c r="G227" s="123"/>
      <c r="H227" s="123"/>
      <c r="I227" s="123"/>
      <c r="J227" s="123"/>
      <c r="K227" s="123"/>
      <c r="L227" s="123"/>
      <c r="M227" s="123"/>
      <c r="N227" s="123"/>
      <c r="O227" s="173">
        <f>+N279</f>
        <v>0</v>
      </c>
      <c r="P227" s="174">
        <f>+P279</f>
        <v>0</v>
      </c>
      <c r="Q227" s="113"/>
      <c r="R227" s="175"/>
      <c r="S227" s="176"/>
      <c r="T227" s="2"/>
    </row>
    <row r="228" spans="1:20" ht="15.6" x14ac:dyDescent="0.3">
      <c r="A228" s="172"/>
      <c r="B228" s="113" t="s">
        <v>66</v>
      </c>
      <c r="C228" s="155"/>
      <c r="D228" s="123"/>
      <c r="E228" s="123"/>
      <c r="F228" s="123"/>
      <c r="G228" s="123"/>
      <c r="H228" s="123"/>
      <c r="I228" s="123"/>
      <c r="J228" s="123"/>
      <c r="K228" s="123"/>
      <c r="L228" s="123"/>
      <c r="M228" s="123"/>
      <c r="N228" s="123"/>
      <c r="O228" s="173">
        <f>+N291</f>
        <v>0</v>
      </c>
      <c r="P228" s="174">
        <f>+P291</f>
        <v>0</v>
      </c>
      <c r="Q228" s="113"/>
      <c r="R228" s="175"/>
      <c r="S228" s="176"/>
      <c r="T228" s="2"/>
    </row>
    <row r="229" spans="1:20" ht="15.6" x14ac:dyDescent="0.3">
      <c r="A229" s="172"/>
      <c r="B229" s="134" t="s">
        <v>284</v>
      </c>
      <c r="C229" s="177"/>
      <c r="D229" s="135"/>
      <c r="E229" s="135"/>
      <c r="F229" s="135"/>
      <c r="G229" s="135"/>
      <c r="H229" s="135"/>
      <c r="I229" s="135"/>
      <c r="J229" s="135"/>
      <c r="K229" s="135"/>
      <c r="L229" s="135"/>
      <c r="M229" s="135"/>
      <c r="N229" s="135"/>
      <c r="O229" s="113"/>
      <c r="P229" s="174">
        <f>+P64</f>
        <v>17641</v>
      </c>
      <c r="Q229" s="135"/>
      <c r="R229" s="178"/>
      <c r="S229" s="176"/>
      <c r="T229" s="2"/>
    </row>
    <row r="230" spans="1:20" ht="15.6" x14ac:dyDescent="0.3">
      <c r="A230" s="172"/>
      <c r="B230" s="134" t="s">
        <v>140</v>
      </c>
      <c r="C230" s="177"/>
      <c r="D230" s="135"/>
      <c r="E230" s="135"/>
      <c r="F230" s="135"/>
      <c r="G230" s="135"/>
      <c r="H230" s="135"/>
      <c r="I230" s="135"/>
      <c r="J230" s="135"/>
      <c r="K230" s="135"/>
      <c r="L230" s="135"/>
      <c r="M230" s="135"/>
      <c r="N230" s="135"/>
      <c r="O230" s="113"/>
      <c r="P230" s="174">
        <f>-J77</f>
        <v>0</v>
      </c>
      <c r="Q230" s="135"/>
      <c r="R230" s="178"/>
      <c r="S230" s="176"/>
      <c r="T230" s="2"/>
    </row>
    <row r="231" spans="1:20" ht="15.6" x14ac:dyDescent="0.3">
      <c r="A231" s="179"/>
      <c r="B231" s="134" t="s">
        <v>67</v>
      </c>
      <c r="C231" s="180"/>
      <c r="D231" s="135"/>
      <c r="E231" s="135"/>
      <c r="F231" s="135"/>
      <c r="G231" s="135"/>
      <c r="H231" s="135"/>
      <c r="I231" s="135"/>
      <c r="J231" s="135"/>
      <c r="K231" s="135"/>
      <c r="L231" s="135"/>
      <c r="M231" s="135"/>
      <c r="N231" s="135"/>
      <c r="O231" s="113"/>
      <c r="P231" s="174"/>
      <c r="Q231" s="135"/>
      <c r="R231" s="178"/>
      <c r="S231" s="181"/>
      <c r="T231" s="2"/>
    </row>
    <row r="232" spans="1:20" ht="15.6" x14ac:dyDescent="0.3">
      <c r="A232" s="179"/>
      <c r="B232" s="118" t="s">
        <v>68</v>
      </c>
      <c r="C232" s="180"/>
      <c r="D232" s="135"/>
      <c r="E232" s="135"/>
      <c r="F232" s="135"/>
      <c r="G232" s="135"/>
      <c r="H232" s="135"/>
      <c r="I232" s="135"/>
      <c r="J232" s="135"/>
      <c r="K232" s="135"/>
      <c r="L232" s="135"/>
      <c r="M232" s="135"/>
      <c r="N232" s="135"/>
      <c r="O232" s="123"/>
      <c r="P232" s="174">
        <f>R162</f>
        <v>0</v>
      </c>
      <c r="Q232" s="135"/>
      <c r="R232" s="178"/>
      <c r="S232" s="181"/>
      <c r="T232" s="2"/>
    </row>
    <row r="233" spans="1:20" ht="15.6" x14ac:dyDescent="0.3">
      <c r="A233" s="172"/>
      <c r="B233" s="113" t="s">
        <v>69</v>
      </c>
      <c r="C233" s="177"/>
      <c r="D233" s="135"/>
      <c r="E233" s="135"/>
      <c r="F233" s="135"/>
      <c r="G233" s="135"/>
      <c r="H233" s="135"/>
      <c r="I233" s="135"/>
      <c r="J233" s="135"/>
      <c r="K233" s="135"/>
      <c r="L233" s="135"/>
      <c r="M233" s="135"/>
      <c r="N233" s="135"/>
      <c r="O233" s="123"/>
      <c r="P233" s="174">
        <f>'Feb 17'!P233+P232</f>
        <v>0</v>
      </c>
      <c r="Q233" s="135"/>
      <c r="R233" s="178"/>
      <c r="S233" s="181"/>
      <c r="T233" s="2"/>
    </row>
    <row r="234" spans="1:20" ht="15.6" x14ac:dyDescent="0.3">
      <c r="A234" s="179"/>
      <c r="B234" s="134" t="s">
        <v>151</v>
      </c>
      <c r="C234" s="180"/>
      <c r="D234" s="135"/>
      <c r="E234" s="135"/>
      <c r="F234" s="135"/>
      <c r="G234" s="135"/>
      <c r="H234" s="135"/>
      <c r="I234" s="135"/>
      <c r="J234" s="135"/>
      <c r="K234" s="135"/>
      <c r="L234" s="135"/>
      <c r="M234" s="135"/>
      <c r="N234" s="135"/>
      <c r="O234" s="123"/>
      <c r="P234" s="174"/>
      <c r="Q234" s="135"/>
      <c r="R234" s="178"/>
      <c r="S234" s="181"/>
      <c r="T234" s="2"/>
    </row>
    <row r="235" spans="1:20" ht="15.6" x14ac:dyDescent="0.3">
      <c r="A235" s="179"/>
      <c r="B235" s="113" t="s">
        <v>160</v>
      </c>
      <c r="C235" s="180"/>
      <c r="D235" s="135"/>
      <c r="E235" s="135"/>
      <c r="F235" s="135"/>
      <c r="G235" s="135"/>
      <c r="H235" s="135"/>
      <c r="I235" s="135"/>
      <c r="J235" s="135"/>
      <c r="K235" s="135"/>
      <c r="L235" s="135"/>
      <c r="M235" s="135"/>
      <c r="N235" s="135"/>
      <c r="O235" s="123">
        <v>0</v>
      </c>
      <c r="P235" s="174">
        <v>0</v>
      </c>
      <c r="Q235" s="135"/>
      <c r="R235" s="178"/>
      <c r="S235" s="181"/>
      <c r="T235" s="2"/>
    </row>
    <row r="236" spans="1:20" ht="15.6" x14ac:dyDescent="0.3">
      <c r="A236" s="172"/>
      <c r="B236" s="113" t="s">
        <v>70</v>
      </c>
      <c r="C236" s="182"/>
      <c r="D236" s="135"/>
      <c r="E236" s="135"/>
      <c r="F236" s="135"/>
      <c r="G236" s="135"/>
      <c r="H236" s="135"/>
      <c r="I236" s="135"/>
      <c r="J236" s="135"/>
      <c r="K236" s="135"/>
      <c r="L236" s="135"/>
      <c r="M236" s="135"/>
      <c r="N236" s="135"/>
      <c r="O236" s="113"/>
      <c r="P236" s="183">
        <v>0</v>
      </c>
      <c r="Q236" s="135"/>
      <c r="R236" s="178"/>
      <c r="S236" s="181"/>
      <c r="T236" s="2"/>
    </row>
    <row r="237" spans="1:20" ht="15.6" x14ac:dyDescent="0.3">
      <c r="A237" s="172"/>
      <c r="B237" s="113" t="s">
        <v>71</v>
      </c>
      <c r="C237" s="182"/>
      <c r="D237" s="135"/>
      <c r="E237" s="135"/>
      <c r="F237" s="135"/>
      <c r="G237" s="135"/>
      <c r="H237" s="135"/>
      <c r="I237" s="135"/>
      <c r="J237" s="135"/>
      <c r="K237" s="135"/>
      <c r="L237" s="135"/>
      <c r="M237" s="135"/>
      <c r="N237" s="135"/>
      <c r="O237" s="113"/>
      <c r="P237" s="183">
        <v>0</v>
      </c>
      <c r="Q237" s="135"/>
      <c r="R237" s="178"/>
      <c r="S237" s="181"/>
      <c r="T237" s="2"/>
    </row>
    <row r="238" spans="1:20" ht="15.6" x14ac:dyDescent="0.3">
      <c r="A238" s="172"/>
      <c r="B238" s="134" t="s">
        <v>136</v>
      </c>
      <c r="C238" s="182"/>
      <c r="D238" s="135"/>
      <c r="E238" s="135"/>
      <c r="F238" s="135"/>
      <c r="G238" s="135"/>
      <c r="H238" s="135"/>
      <c r="I238" s="135"/>
      <c r="J238" s="135"/>
      <c r="K238" s="135"/>
      <c r="L238" s="135"/>
      <c r="M238" s="135"/>
      <c r="N238" s="135"/>
      <c r="O238" s="113"/>
      <c r="P238" s="184"/>
      <c r="Q238" s="135"/>
      <c r="R238" s="178"/>
      <c r="S238" s="181"/>
      <c r="T238" s="2"/>
    </row>
    <row r="239" spans="1:20" ht="15.6" x14ac:dyDescent="0.3">
      <c r="A239" s="172"/>
      <c r="B239" s="113" t="s">
        <v>160</v>
      </c>
      <c r="C239" s="182"/>
      <c r="D239" s="135"/>
      <c r="E239" s="135"/>
      <c r="F239" s="135"/>
      <c r="G239" s="135"/>
      <c r="H239" s="135"/>
      <c r="I239" s="135"/>
      <c r="J239" s="135"/>
      <c r="K239" s="135"/>
      <c r="L239" s="135"/>
      <c r="M239" s="135"/>
      <c r="N239" s="135"/>
      <c r="O239" s="123">
        <v>0</v>
      </c>
      <c r="P239" s="174">
        <v>0</v>
      </c>
      <c r="Q239" s="135"/>
      <c r="R239" s="178"/>
      <c r="S239" s="181"/>
      <c r="T239" s="2"/>
    </row>
    <row r="240" spans="1:20" ht="15.6" x14ac:dyDescent="0.3">
      <c r="A240" s="172"/>
      <c r="B240" s="113" t="s">
        <v>137</v>
      </c>
      <c r="C240" s="182"/>
      <c r="D240" s="135"/>
      <c r="E240" s="135"/>
      <c r="F240" s="135"/>
      <c r="G240" s="135"/>
      <c r="H240" s="135"/>
      <c r="I240" s="135"/>
      <c r="J240" s="135"/>
      <c r="K240" s="135"/>
      <c r="L240" s="135"/>
      <c r="M240" s="135"/>
      <c r="N240" s="135"/>
      <c r="O240" s="113"/>
      <c r="P240" s="183">
        <v>0</v>
      </c>
      <c r="Q240" s="135"/>
      <c r="R240" s="178"/>
      <c r="S240" s="181"/>
      <c r="T240" s="2"/>
    </row>
    <row r="241" spans="1:20" ht="15.6" x14ac:dyDescent="0.3">
      <c r="A241" s="172"/>
      <c r="B241" s="180"/>
      <c r="C241" s="182"/>
      <c r="D241" s="135"/>
      <c r="E241" s="135"/>
      <c r="F241" s="135"/>
      <c r="G241" s="135"/>
      <c r="H241" s="135"/>
      <c r="I241" s="135"/>
      <c r="J241" s="135"/>
      <c r="K241" s="135"/>
      <c r="L241" s="135"/>
      <c r="M241" s="135"/>
      <c r="N241" s="135"/>
      <c r="O241" s="113"/>
      <c r="P241" s="184"/>
      <c r="Q241" s="135"/>
      <c r="R241" s="178"/>
      <c r="S241" s="181"/>
      <c r="T241" s="2"/>
    </row>
    <row r="242" spans="1:20" ht="15.6" x14ac:dyDescent="0.3">
      <c r="A242" s="172"/>
      <c r="B242" s="180"/>
      <c r="C242" s="182"/>
      <c r="D242" s="135"/>
      <c r="E242" s="135"/>
      <c r="F242" s="135"/>
      <c r="G242" s="135"/>
      <c r="H242" s="135"/>
      <c r="I242" s="135"/>
      <c r="J242" s="135"/>
      <c r="K242" s="135"/>
      <c r="L242" s="135"/>
      <c r="M242" s="135"/>
      <c r="N242" s="135"/>
      <c r="O242" s="135"/>
      <c r="P242" s="185"/>
      <c r="Q242" s="135"/>
      <c r="R242" s="178"/>
      <c r="S242" s="181"/>
      <c r="T242" s="2"/>
    </row>
    <row r="243" spans="1:20" ht="17.399999999999999" x14ac:dyDescent="0.3">
      <c r="A243" s="172"/>
      <c r="B243" s="186" t="s">
        <v>129</v>
      </c>
      <c r="C243" s="182"/>
      <c r="D243" s="135"/>
      <c r="E243" s="135"/>
      <c r="F243" s="135"/>
      <c r="G243" s="135"/>
      <c r="H243" s="135"/>
      <c r="I243" s="135"/>
      <c r="J243" s="135"/>
      <c r="K243" s="135"/>
      <c r="L243" s="187"/>
      <c r="M243" s="135"/>
      <c r="N243" s="187" t="s">
        <v>128</v>
      </c>
      <c r="O243" s="187"/>
      <c r="P243" s="185"/>
      <c r="Q243" s="135"/>
      <c r="R243" s="178"/>
      <c r="S243" s="181"/>
      <c r="T243" s="2"/>
    </row>
    <row r="244" spans="1:20" ht="17.399999999999999" x14ac:dyDescent="0.3">
      <c r="A244" s="169"/>
      <c r="B244" s="199"/>
      <c r="C244" s="170"/>
      <c r="D244" s="43"/>
      <c r="E244" s="43"/>
      <c r="F244" s="43"/>
      <c r="G244" s="43"/>
      <c r="H244" s="43"/>
      <c r="I244" s="43"/>
      <c r="J244" s="43"/>
      <c r="K244" s="43"/>
      <c r="L244" s="200"/>
      <c r="M244" s="43"/>
      <c r="N244" s="43"/>
      <c r="O244" s="43"/>
      <c r="P244" s="171"/>
      <c r="Q244" s="43"/>
      <c r="R244" s="165"/>
      <c r="S244" s="226"/>
      <c r="T244" s="2"/>
    </row>
    <row r="245" spans="1:20" ht="15.6" x14ac:dyDescent="0.3">
      <c r="A245" s="53"/>
      <c r="B245" s="61" t="s">
        <v>152</v>
      </c>
      <c r="C245" s="62"/>
      <c r="D245" s="62"/>
      <c r="E245" s="62"/>
      <c r="F245" s="62"/>
      <c r="G245" s="62"/>
      <c r="H245" s="62"/>
      <c r="I245" s="62"/>
      <c r="J245" s="62"/>
      <c r="K245" s="62"/>
      <c r="L245" s="62"/>
      <c r="M245" s="62"/>
      <c r="N245" s="72" t="s">
        <v>83</v>
      </c>
      <c r="O245" s="62" t="s">
        <v>84</v>
      </c>
      <c r="P245" s="72" t="s">
        <v>89</v>
      </c>
      <c r="Q245" s="62" t="s">
        <v>84</v>
      </c>
      <c r="R245" s="54"/>
      <c r="S245" s="227"/>
      <c r="T245" s="2"/>
    </row>
    <row r="246" spans="1:20" ht="15.6" x14ac:dyDescent="0.3">
      <c r="A246" s="24"/>
      <c r="B246" s="78" t="s">
        <v>72</v>
      </c>
      <c r="C246" s="93"/>
      <c r="D246" s="93"/>
      <c r="E246" s="93"/>
      <c r="F246" s="93"/>
      <c r="G246" s="93"/>
      <c r="H246" s="93"/>
      <c r="I246" s="93"/>
      <c r="J246" s="93"/>
      <c r="K246" s="93"/>
      <c r="L246" s="93"/>
      <c r="M246" s="93"/>
      <c r="N246" s="78">
        <f>+N258+N270+N282</f>
        <v>1037</v>
      </c>
      <c r="O246" s="81">
        <f>N246/$N$255</f>
        <v>1</v>
      </c>
      <c r="P246" s="82">
        <f t="shared" ref="P246:P253" si="5">+P258+P270+P282</f>
        <v>166608</v>
      </c>
      <c r="Q246" s="81">
        <f t="shared" ref="Q246:Q253" si="6">P246/$P$255</f>
        <v>1</v>
      </c>
      <c r="R246" s="94"/>
      <c r="S246" s="228"/>
      <c r="T246" s="2"/>
    </row>
    <row r="247" spans="1:20" ht="15.6" x14ac:dyDescent="0.3">
      <c r="A247" s="112"/>
      <c r="B247" s="155" t="s">
        <v>73</v>
      </c>
      <c r="C247" s="191"/>
      <c r="D247" s="191"/>
      <c r="E247" s="191"/>
      <c r="F247" s="191"/>
      <c r="G247" s="191"/>
      <c r="H247" s="191"/>
      <c r="I247" s="191"/>
      <c r="J247" s="191"/>
      <c r="K247" s="191"/>
      <c r="L247" s="191"/>
      <c r="M247" s="191"/>
      <c r="N247" s="155">
        <f t="shared" ref="N247:N253" si="7">+N259+N271+N283</f>
        <v>0</v>
      </c>
      <c r="O247" s="192">
        <f t="shared" ref="O247:O253" si="8">N247/$N$255</f>
        <v>0</v>
      </c>
      <c r="P247" s="156">
        <f t="shared" si="5"/>
        <v>0</v>
      </c>
      <c r="Q247" s="192">
        <f t="shared" si="6"/>
        <v>0</v>
      </c>
      <c r="R247" s="175"/>
      <c r="S247" s="193"/>
      <c r="T247" s="2"/>
    </row>
    <row r="248" spans="1:20" ht="15.6" x14ac:dyDescent="0.3">
      <c r="A248" s="112"/>
      <c r="B248" s="155" t="s">
        <v>74</v>
      </c>
      <c r="C248" s="191"/>
      <c r="D248" s="191"/>
      <c r="E248" s="191"/>
      <c r="F248" s="191"/>
      <c r="G248" s="191"/>
      <c r="H248" s="191"/>
      <c r="I248" s="191"/>
      <c r="J248" s="191"/>
      <c r="K248" s="191"/>
      <c r="L248" s="191"/>
      <c r="M248" s="191"/>
      <c r="N248" s="155">
        <f t="shared" si="7"/>
        <v>0</v>
      </c>
      <c r="O248" s="192">
        <f t="shared" si="8"/>
        <v>0</v>
      </c>
      <c r="P248" s="156">
        <f t="shared" si="5"/>
        <v>0</v>
      </c>
      <c r="Q248" s="192">
        <f t="shared" si="6"/>
        <v>0</v>
      </c>
      <c r="R248" s="175"/>
      <c r="S248" s="193"/>
      <c r="T248" s="2"/>
    </row>
    <row r="249" spans="1:20" ht="15.6" x14ac:dyDescent="0.3">
      <c r="A249" s="112"/>
      <c r="B249" s="155" t="s">
        <v>119</v>
      </c>
      <c r="C249" s="191"/>
      <c r="D249" s="191"/>
      <c r="E249" s="191"/>
      <c r="F249" s="191"/>
      <c r="G249" s="191"/>
      <c r="H249" s="191"/>
      <c r="I249" s="191"/>
      <c r="J249" s="191"/>
      <c r="K249" s="191"/>
      <c r="L249" s="191"/>
      <c r="M249" s="191"/>
      <c r="N249" s="155">
        <f t="shared" si="7"/>
        <v>0</v>
      </c>
      <c r="O249" s="192">
        <f t="shared" si="8"/>
        <v>0</v>
      </c>
      <c r="P249" s="156">
        <f t="shared" si="5"/>
        <v>0</v>
      </c>
      <c r="Q249" s="192">
        <f t="shared" si="6"/>
        <v>0</v>
      </c>
      <c r="R249" s="175"/>
      <c r="S249" s="193"/>
      <c r="T249" s="2"/>
    </row>
    <row r="250" spans="1:20" ht="15.6" x14ac:dyDescent="0.3">
      <c r="A250" s="112"/>
      <c r="B250" s="155" t="s">
        <v>120</v>
      </c>
      <c r="C250" s="191"/>
      <c r="D250" s="191"/>
      <c r="E250" s="191"/>
      <c r="F250" s="191"/>
      <c r="G250" s="191"/>
      <c r="H250" s="191"/>
      <c r="I250" s="191"/>
      <c r="J250" s="191"/>
      <c r="K250" s="191"/>
      <c r="L250" s="191"/>
      <c r="M250" s="191"/>
      <c r="N250" s="155">
        <f t="shared" si="7"/>
        <v>0</v>
      </c>
      <c r="O250" s="192">
        <f t="shared" si="8"/>
        <v>0</v>
      </c>
      <c r="P250" s="156">
        <f t="shared" si="5"/>
        <v>0</v>
      </c>
      <c r="Q250" s="192">
        <f t="shared" si="6"/>
        <v>0</v>
      </c>
      <c r="R250" s="175"/>
      <c r="S250" s="193"/>
      <c r="T250" s="2"/>
    </row>
    <row r="251" spans="1:20" ht="15.6" x14ac:dyDescent="0.3">
      <c r="A251" s="112"/>
      <c r="B251" s="155" t="s">
        <v>121</v>
      </c>
      <c r="C251" s="191"/>
      <c r="D251" s="191"/>
      <c r="E251" s="191"/>
      <c r="F251" s="191"/>
      <c r="G251" s="191"/>
      <c r="H251" s="191"/>
      <c r="I251" s="191"/>
      <c r="J251" s="191"/>
      <c r="K251" s="191"/>
      <c r="L251" s="191"/>
      <c r="M251" s="191"/>
      <c r="N251" s="155">
        <f t="shared" si="7"/>
        <v>0</v>
      </c>
      <c r="O251" s="192">
        <f t="shared" si="8"/>
        <v>0</v>
      </c>
      <c r="P251" s="156">
        <f t="shared" si="5"/>
        <v>0</v>
      </c>
      <c r="Q251" s="192">
        <f t="shared" si="6"/>
        <v>0</v>
      </c>
      <c r="R251" s="175"/>
      <c r="S251" s="193"/>
      <c r="T251" s="2"/>
    </row>
    <row r="252" spans="1:20" ht="15.6" x14ac:dyDescent="0.3">
      <c r="A252" s="112"/>
      <c r="B252" s="155" t="s">
        <v>122</v>
      </c>
      <c r="C252" s="191"/>
      <c r="D252" s="191"/>
      <c r="E252" s="191"/>
      <c r="F252" s="191"/>
      <c r="G252" s="191"/>
      <c r="H252" s="191"/>
      <c r="I252" s="191"/>
      <c r="J252" s="191"/>
      <c r="K252" s="191"/>
      <c r="L252" s="191"/>
      <c r="M252" s="191"/>
      <c r="N252" s="155">
        <f t="shared" si="7"/>
        <v>0</v>
      </c>
      <c r="O252" s="192">
        <f t="shared" si="8"/>
        <v>0</v>
      </c>
      <c r="P252" s="156">
        <f t="shared" si="5"/>
        <v>0</v>
      </c>
      <c r="Q252" s="192">
        <f t="shared" si="6"/>
        <v>0</v>
      </c>
      <c r="R252" s="175"/>
      <c r="S252" s="193"/>
      <c r="T252" s="2"/>
    </row>
    <row r="253" spans="1:20" ht="15.6" x14ac:dyDescent="0.3">
      <c r="A253" s="112"/>
      <c r="B253" s="155" t="s">
        <v>123</v>
      </c>
      <c r="C253" s="191"/>
      <c r="D253" s="191"/>
      <c r="E253" s="191"/>
      <c r="F253" s="191"/>
      <c r="G253" s="191"/>
      <c r="H253" s="191"/>
      <c r="I253" s="191"/>
      <c r="J253" s="191"/>
      <c r="K253" s="191"/>
      <c r="L253" s="191"/>
      <c r="M253" s="191"/>
      <c r="N253" s="155">
        <f t="shared" si="7"/>
        <v>0</v>
      </c>
      <c r="O253" s="192">
        <f t="shared" si="8"/>
        <v>0</v>
      </c>
      <c r="P253" s="156">
        <f t="shared" si="5"/>
        <v>0</v>
      </c>
      <c r="Q253" s="192">
        <f t="shared" si="6"/>
        <v>0</v>
      </c>
      <c r="R253" s="175"/>
      <c r="S253" s="193"/>
      <c r="T253" s="2"/>
    </row>
    <row r="254" spans="1:20" ht="15.6" x14ac:dyDescent="0.3">
      <c r="A254" s="112"/>
      <c r="B254" s="155"/>
      <c r="C254" s="191"/>
      <c r="D254" s="191"/>
      <c r="E254" s="191"/>
      <c r="F254" s="191"/>
      <c r="G254" s="191"/>
      <c r="H254" s="191"/>
      <c r="I254" s="191"/>
      <c r="J254" s="191"/>
      <c r="K254" s="191"/>
      <c r="L254" s="191"/>
      <c r="M254" s="191"/>
      <c r="N254" s="155"/>
      <c r="O254" s="192"/>
      <c r="P254" s="156"/>
      <c r="Q254" s="192"/>
      <c r="R254" s="175"/>
      <c r="S254" s="193"/>
      <c r="T254" s="2"/>
    </row>
    <row r="255" spans="1:20" ht="15.6" x14ac:dyDescent="0.3">
      <c r="A255" s="112"/>
      <c r="B255" s="113" t="s">
        <v>94</v>
      </c>
      <c r="C255" s="113"/>
      <c r="D255" s="194"/>
      <c r="E255" s="194"/>
      <c r="F255" s="194"/>
      <c r="G255" s="194"/>
      <c r="H255" s="194"/>
      <c r="I255" s="194"/>
      <c r="J255" s="194"/>
      <c r="K255" s="194"/>
      <c r="L255" s="194"/>
      <c r="M255" s="194"/>
      <c r="N255" s="155">
        <f>SUM(N246:N254)</f>
        <v>1037</v>
      </c>
      <c r="O255" s="192">
        <f>SUM(O246:O254)</f>
        <v>1</v>
      </c>
      <c r="P255" s="156">
        <f>SUM(P246:P254)</f>
        <v>166608</v>
      </c>
      <c r="Q255" s="192">
        <f>SUM(Q246:Q254)</f>
        <v>1</v>
      </c>
      <c r="R255" s="113"/>
      <c r="S255" s="116"/>
      <c r="T255" s="2"/>
    </row>
    <row r="256" spans="1:20" ht="15.6" x14ac:dyDescent="0.3">
      <c r="A256" s="12"/>
      <c r="B256" s="164"/>
      <c r="C256" s="170"/>
      <c r="D256" s="43"/>
      <c r="E256" s="43"/>
      <c r="F256" s="43"/>
      <c r="G256" s="43"/>
      <c r="H256" s="43"/>
      <c r="I256" s="43"/>
      <c r="J256" s="43"/>
      <c r="K256" s="43"/>
      <c r="L256" s="43"/>
      <c r="M256" s="43"/>
      <c r="N256" s="43"/>
      <c r="O256" s="43"/>
      <c r="P256" s="171"/>
      <c r="Q256" s="43"/>
      <c r="R256" s="43"/>
      <c r="S256" s="217"/>
      <c r="T256" s="2"/>
    </row>
    <row r="257" spans="1:21" ht="15.6" x14ac:dyDescent="0.3">
      <c r="A257" s="53"/>
      <c r="B257" s="61" t="s">
        <v>124</v>
      </c>
      <c r="C257" s="62"/>
      <c r="D257" s="62"/>
      <c r="E257" s="62"/>
      <c r="F257" s="62"/>
      <c r="G257" s="62"/>
      <c r="H257" s="62"/>
      <c r="I257" s="62"/>
      <c r="J257" s="62"/>
      <c r="K257" s="62"/>
      <c r="L257" s="62"/>
      <c r="M257" s="62"/>
      <c r="N257" s="72" t="s">
        <v>83</v>
      </c>
      <c r="O257" s="62" t="s">
        <v>84</v>
      </c>
      <c r="P257" s="72" t="s">
        <v>89</v>
      </c>
      <c r="Q257" s="62" t="s">
        <v>84</v>
      </c>
      <c r="R257" s="54"/>
      <c r="S257" s="227"/>
      <c r="T257" s="2"/>
    </row>
    <row r="258" spans="1:21" ht="15.6" x14ac:dyDescent="0.3">
      <c r="A258" s="24"/>
      <c r="B258" s="78" t="s">
        <v>72</v>
      </c>
      <c r="C258" s="93"/>
      <c r="D258" s="93"/>
      <c r="E258" s="93"/>
      <c r="F258" s="93"/>
      <c r="G258" s="93"/>
      <c r="H258" s="93"/>
      <c r="I258" s="93"/>
      <c r="J258" s="93"/>
      <c r="K258" s="93"/>
      <c r="L258" s="93"/>
      <c r="M258" s="93"/>
      <c r="N258" s="78">
        <v>1037</v>
      </c>
      <c r="O258" s="81">
        <f>N258/$N$267</f>
        <v>1</v>
      </c>
      <c r="P258" s="82">
        <v>166608</v>
      </c>
      <c r="Q258" s="81">
        <f>P258/$P$267</f>
        <v>1</v>
      </c>
      <c r="R258" s="94"/>
      <c r="S258" s="228"/>
      <c r="T258" s="2"/>
    </row>
    <row r="259" spans="1:21" ht="15.6" x14ac:dyDescent="0.3">
      <c r="A259" s="112"/>
      <c r="B259" s="155" t="s">
        <v>73</v>
      </c>
      <c r="C259" s="191"/>
      <c r="D259" s="191"/>
      <c r="E259" s="191"/>
      <c r="F259" s="191"/>
      <c r="G259" s="191"/>
      <c r="H259" s="191"/>
      <c r="I259" s="191"/>
      <c r="J259" s="191"/>
      <c r="K259" s="191"/>
      <c r="L259" s="191"/>
      <c r="M259" s="191"/>
      <c r="N259" s="155">
        <v>0</v>
      </c>
      <c r="O259" s="192">
        <f t="shared" ref="O259:O265" si="9">N259/$N$267</f>
        <v>0</v>
      </c>
      <c r="P259" s="156">
        <v>0</v>
      </c>
      <c r="Q259" s="192">
        <f t="shared" ref="Q259:Q265" si="10">P259/$P$267</f>
        <v>0</v>
      </c>
      <c r="R259" s="175"/>
      <c r="S259" s="193"/>
      <c r="T259" s="2"/>
      <c r="U259" s="4"/>
    </row>
    <row r="260" spans="1:21" ht="15.6" x14ac:dyDescent="0.3">
      <c r="A260" s="112"/>
      <c r="B260" s="155" t="s">
        <v>74</v>
      </c>
      <c r="C260" s="191"/>
      <c r="D260" s="191"/>
      <c r="E260" s="191"/>
      <c r="F260" s="191"/>
      <c r="G260" s="191"/>
      <c r="H260" s="191"/>
      <c r="I260" s="191"/>
      <c r="J260" s="191"/>
      <c r="K260" s="191"/>
      <c r="L260" s="191"/>
      <c r="M260" s="191"/>
      <c r="N260" s="155">
        <v>0</v>
      </c>
      <c r="O260" s="192">
        <f t="shared" si="9"/>
        <v>0</v>
      </c>
      <c r="P260" s="156">
        <v>0</v>
      </c>
      <c r="Q260" s="192">
        <f t="shared" si="10"/>
        <v>0</v>
      </c>
      <c r="R260" s="175"/>
      <c r="S260" s="193"/>
      <c r="T260" s="2"/>
    </row>
    <row r="261" spans="1:21" ht="15.6" x14ac:dyDescent="0.3">
      <c r="A261" s="112"/>
      <c r="B261" s="155" t="s">
        <v>119</v>
      </c>
      <c r="C261" s="191"/>
      <c r="D261" s="191"/>
      <c r="E261" s="191"/>
      <c r="F261" s="191"/>
      <c r="G261" s="191"/>
      <c r="H261" s="191"/>
      <c r="I261" s="191"/>
      <c r="J261" s="191"/>
      <c r="K261" s="191"/>
      <c r="L261" s="191"/>
      <c r="M261" s="191"/>
      <c r="N261" s="155">
        <v>0</v>
      </c>
      <c r="O261" s="192">
        <f t="shared" si="9"/>
        <v>0</v>
      </c>
      <c r="P261" s="156">
        <v>0</v>
      </c>
      <c r="Q261" s="192">
        <f t="shared" si="10"/>
        <v>0</v>
      </c>
      <c r="R261" s="175"/>
      <c r="S261" s="193"/>
      <c r="T261" s="2"/>
      <c r="U261" s="4"/>
    </row>
    <row r="262" spans="1:21" ht="15.6" x14ac:dyDescent="0.3">
      <c r="A262" s="112"/>
      <c r="B262" s="155" t="s">
        <v>120</v>
      </c>
      <c r="C262" s="191"/>
      <c r="D262" s="191"/>
      <c r="E262" s="191"/>
      <c r="F262" s="191"/>
      <c r="G262" s="191"/>
      <c r="H262" s="191"/>
      <c r="I262" s="191"/>
      <c r="J262" s="191"/>
      <c r="K262" s="191"/>
      <c r="L262" s="191"/>
      <c r="M262" s="191"/>
      <c r="N262" s="155">
        <v>0</v>
      </c>
      <c r="O262" s="192">
        <f t="shared" si="9"/>
        <v>0</v>
      </c>
      <c r="P262" s="156">
        <v>0</v>
      </c>
      <c r="Q262" s="192">
        <f t="shared" si="10"/>
        <v>0</v>
      </c>
      <c r="R262" s="175"/>
      <c r="S262" s="193"/>
      <c r="T262" s="2"/>
    </row>
    <row r="263" spans="1:21" ht="15.6" x14ac:dyDescent="0.3">
      <c r="A263" s="112"/>
      <c r="B263" s="155" t="s">
        <v>121</v>
      </c>
      <c r="C263" s="191"/>
      <c r="D263" s="191"/>
      <c r="E263" s="191"/>
      <c r="F263" s="191"/>
      <c r="G263" s="191"/>
      <c r="H263" s="191"/>
      <c r="I263" s="191"/>
      <c r="J263" s="191"/>
      <c r="K263" s="191"/>
      <c r="L263" s="191"/>
      <c r="M263" s="191"/>
      <c r="N263" s="155">
        <v>0</v>
      </c>
      <c r="O263" s="192">
        <f t="shared" si="9"/>
        <v>0</v>
      </c>
      <c r="P263" s="156">
        <v>0</v>
      </c>
      <c r="Q263" s="192">
        <f t="shared" si="10"/>
        <v>0</v>
      </c>
      <c r="R263" s="175"/>
      <c r="S263" s="193"/>
      <c r="T263" s="2"/>
      <c r="U263" s="4"/>
    </row>
    <row r="264" spans="1:21" ht="15.6" x14ac:dyDescent="0.3">
      <c r="A264" s="112"/>
      <c r="B264" s="155" t="s">
        <v>122</v>
      </c>
      <c r="C264" s="191"/>
      <c r="D264" s="191"/>
      <c r="E264" s="191"/>
      <c r="F264" s="191"/>
      <c r="G264" s="191"/>
      <c r="H264" s="191"/>
      <c r="I264" s="191"/>
      <c r="J264" s="191"/>
      <c r="K264" s="191"/>
      <c r="L264" s="191"/>
      <c r="M264" s="191"/>
      <c r="N264" s="155">
        <v>0</v>
      </c>
      <c r="O264" s="192">
        <f t="shared" si="9"/>
        <v>0</v>
      </c>
      <c r="P264" s="156">
        <v>0</v>
      </c>
      <c r="Q264" s="192">
        <f t="shared" si="10"/>
        <v>0</v>
      </c>
      <c r="R264" s="175"/>
      <c r="S264" s="193"/>
      <c r="T264" s="2"/>
    </row>
    <row r="265" spans="1:21" ht="15.6" x14ac:dyDescent="0.3">
      <c r="A265" s="112"/>
      <c r="B265" s="155" t="s">
        <v>123</v>
      </c>
      <c r="C265" s="191"/>
      <c r="D265" s="191"/>
      <c r="E265" s="191"/>
      <c r="F265" s="191"/>
      <c r="G265" s="191"/>
      <c r="H265" s="191"/>
      <c r="I265" s="191"/>
      <c r="J265" s="191"/>
      <c r="K265" s="191"/>
      <c r="L265" s="191"/>
      <c r="M265" s="191"/>
      <c r="N265" s="155">
        <v>0</v>
      </c>
      <c r="O265" s="192">
        <f t="shared" si="9"/>
        <v>0</v>
      </c>
      <c r="P265" s="156">
        <v>0</v>
      </c>
      <c r="Q265" s="192">
        <f t="shared" si="10"/>
        <v>0</v>
      </c>
      <c r="R265" s="175"/>
      <c r="S265" s="193"/>
      <c r="T265" s="2"/>
      <c r="U265" s="4"/>
    </row>
    <row r="266" spans="1:21" ht="15.6" x14ac:dyDescent="0.3">
      <c r="A266" s="112"/>
      <c r="B266" s="155"/>
      <c r="C266" s="191"/>
      <c r="D266" s="191"/>
      <c r="E266" s="191"/>
      <c r="F266" s="191"/>
      <c r="G266" s="191"/>
      <c r="H266" s="191"/>
      <c r="I266" s="191"/>
      <c r="J266" s="191"/>
      <c r="K266" s="191"/>
      <c r="L266" s="191"/>
      <c r="M266" s="191"/>
      <c r="N266" s="155"/>
      <c r="O266" s="192"/>
      <c r="P266" s="156"/>
      <c r="Q266" s="192"/>
      <c r="R266" s="175"/>
      <c r="S266" s="193"/>
      <c r="T266" s="2"/>
    </row>
    <row r="267" spans="1:21" ht="15.6" x14ac:dyDescent="0.3">
      <c r="A267" s="112"/>
      <c r="B267" s="113" t="s">
        <v>94</v>
      </c>
      <c r="C267" s="113"/>
      <c r="D267" s="194"/>
      <c r="E267" s="194"/>
      <c r="F267" s="194"/>
      <c r="G267" s="194"/>
      <c r="H267" s="194"/>
      <c r="I267" s="194"/>
      <c r="J267" s="194"/>
      <c r="K267" s="194"/>
      <c r="L267" s="194"/>
      <c r="M267" s="194"/>
      <c r="N267" s="155">
        <f>SUM(N258:N266)</f>
        <v>1037</v>
      </c>
      <c r="O267" s="192">
        <f>SUM(O258:O266)</f>
        <v>1</v>
      </c>
      <c r="P267" s="156">
        <f>SUM(P258:P266)</f>
        <v>166608</v>
      </c>
      <c r="Q267" s="192">
        <f>SUM(Q258:Q266)</f>
        <v>1</v>
      </c>
      <c r="R267" s="113"/>
      <c r="S267" s="116"/>
      <c r="T267" s="2"/>
    </row>
    <row r="268" spans="1:21" ht="15.6" x14ac:dyDescent="0.3">
      <c r="A268" s="12"/>
      <c r="B268" s="43"/>
      <c r="C268" s="43"/>
      <c r="D268" s="188"/>
      <c r="E268" s="188"/>
      <c r="F268" s="188"/>
      <c r="G268" s="188"/>
      <c r="H268" s="188"/>
      <c r="I268" s="188"/>
      <c r="J268" s="188"/>
      <c r="K268" s="188"/>
      <c r="L268" s="188"/>
      <c r="M268" s="188"/>
      <c r="N268" s="153"/>
      <c r="O268" s="189"/>
      <c r="P268" s="190"/>
      <c r="Q268" s="189"/>
      <c r="R268" s="43"/>
      <c r="S268" s="217"/>
      <c r="T268" s="2"/>
    </row>
    <row r="269" spans="1:21" ht="15.6" x14ac:dyDescent="0.3">
      <c r="A269" s="73"/>
      <c r="B269" s="61" t="s">
        <v>146</v>
      </c>
      <c r="C269" s="62"/>
      <c r="D269" s="62"/>
      <c r="E269" s="62"/>
      <c r="F269" s="62"/>
      <c r="G269" s="62"/>
      <c r="H269" s="62"/>
      <c r="I269" s="62"/>
      <c r="J269" s="62"/>
      <c r="K269" s="62"/>
      <c r="L269" s="62"/>
      <c r="M269" s="62"/>
      <c r="N269" s="72" t="s">
        <v>83</v>
      </c>
      <c r="O269" s="62" t="s">
        <v>84</v>
      </c>
      <c r="P269" s="72" t="s">
        <v>89</v>
      </c>
      <c r="Q269" s="62" t="s">
        <v>84</v>
      </c>
      <c r="R269" s="74"/>
      <c r="S269" s="75"/>
      <c r="T269" s="2"/>
    </row>
    <row r="270" spans="1:21" ht="15.6" x14ac:dyDescent="0.3">
      <c r="A270" s="24"/>
      <c r="B270" s="78" t="s">
        <v>72</v>
      </c>
      <c r="C270" s="93"/>
      <c r="D270" s="93"/>
      <c r="E270" s="93"/>
      <c r="F270" s="93"/>
      <c r="G270" s="93"/>
      <c r="H270" s="93"/>
      <c r="I270" s="93"/>
      <c r="J270" s="93"/>
      <c r="K270" s="93"/>
      <c r="L270" s="93"/>
      <c r="M270" s="93"/>
      <c r="N270" s="78">
        <v>0</v>
      </c>
      <c r="O270" s="81">
        <v>0</v>
      </c>
      <c r="P270" s="82">
        <v>0</v>
      </c>
      <c r="Q270" s="81">
        <v>0</v>
      </c>
      <c r="R270" s="79"/>
      <c r="S270" s="220"/>
      <c r="T270" s="2"/>
    </row>
    <row r="271" spans="1:21" ht="15.6" x14ac:dyDescent="0.3">
      <c r="A271" s="112"/>
      <c r="B271" s="155" t="s">
        <v>73</v>
      </c>
      <c r="C271" s="191"/>
      <c r="D271" s="191"/>
      <c r="E271" s="191"/>
      <c r="F271" s="191"/>
      <c r="G271" s="191"/>
      <c r="H271" s="191"/>
      <c r="I271" s="191"/>
      <c r="J271" s="191"/>
      <c r="K271" s="191"/>
      <c r="L271" s="191"/>
      <c r="M271" s="191"/>
      <c r="N271" s="155">
        <v>0</v>
      </c>
      <c r="O271" s="192">
        <v>0</v>
      </c>
      <c r="P271" s="156">
        <v>0</v>
      </c>
      <c r="Q271" s="192">
        <v>0</v>
      </c>
      <c r="R271" s="113"/>
      <c r="S271" s="116"/>
      <c r="T271" s="2"/>
    </row>
    <row r="272" spans="1:21" ht="15.6" x14ac:dyDescent="0.3">
      <c r="A272" s="112"/>
      <c r="B272" s="155" t="s">
        <v>74</v>
      </c>
      <c r="C272" s="191"/>
      <c r="D272" s="191"/>
      <c r="E272" s="191"/>
      <c r="F272" s="191"/>
      <c r="G272" s="191"/>
      <c r="H272" s="191"/>
      <c r="I272" s="191"/>
      <c r="J272" s="191"/>
      <c r="K272" s="191"/>
      <c r="L272" s="191"/>
      <c r="M272" s="191"/>
      <c r="N272" s="155">
        <v>0</v>
      </c>
      <c r="O272" s="192">
        <v>0</v>
      </c>
      <c r="P272" s="156">
        <v>0</v>
      </c>
      <c r="Q272" s="192">
        <v>0</v>
      </c>
      <c r="R272" s="113"/>
      <c r="S272" s="116"/>
      <c r="T272" s="2"/>
    </row>
    <row r="273" spans="1:20" ht="15.6" x14ac:dyDescent="0.3">
      <c r="A273" s="112"/>
      <c r="B273" s="155" t="s">
        <v>119</v>
      </c>
      <c r="C273" s="191"/>
      <c r="D273" s="191"/>
      <c r="E273" s="191"/>
      <c r="F273" s="191"/>
      <c r="G273" s="191"/>
      <c r="H273" s="191"/>
      <c r="I273" s="191"/>
      <c r="J273" s="191"/>
      <c r="K273" s="191"/>
      <c r="L273" s="191"/>
      <c r="M273" s="191"/>
      <c r="N273" s="155">
        <v>0</v>
      </c>
      <c r="O273" s="192">
        <v>0</v>
      </c>
      <c r="P273" s="156">
        <v>0</v>
      </c>
      <c r="Q273" s="192">
        <v>0</v>
      </c>
      <c r="R273" s="113"/>
      <c r="S273" s="116"/>
      <c r="T273" s="2"/>
    </row>
    <row r="274" spans="1:20" ht="15.6" x14ac:dyDescent="0.3">
      <c r="A274" s="112"/>
      <c r="B274" s="155" t="s">
        <v>120</v>
      </c>
      <c r="C274" s="191"/>
      <c r="D274" s="191"/>
      <c r="E274" s="191"/>
      <c r="F274" s="191"/>
      <c r="G274" s="191"/>
      <c r="H274" s="191"/>
      <c r="I274" s="191"/>
      <c r="J274" s="191"/>
      <c r="K274" s="191"/>
      <c r="L274" s="191"/>
      <c r="M274" s="191"/>
      <c r="N274" s="155">
        <v>0</v>
      </c>
      <c r="O274" s="192">
        <v>0</v>
      </c>
      <c r="P274" s="156">
        <v>0</v>
      </c>
      <c r="Q274" s="192">
        <v>0</v>
      </c>
      <c r="R274" s="113"/>
      <c r="S274" s="116"/>
      <c r="T274" s="2"/>
    </row>
    <row r="275" spans="1:20" ht="15.6" x14ac:dyDescent="0.3">
      <c r="A275" s="112"/>
      <c r="B275" s="155" t="s">
        <v>121</v>
      </c>
      <c r="C275" s="191"/>
      <c r="D275" s="191"/>
      <c r="E275" s="191"/>
      <c r="F275" s="191"/>
      <c r="G275" s="191"/>
      <c r="H275" s="191"/>
      <c r="I275" s="191"/>
      <c r="J275" s="191"/>
      <c r="K275" s="191"/>
      <c r="L275" s="191"/>
      <c r="M275" s="191"/>
      <c r="N275" s="155">
        <v>0</v>
      </c>
      <c r="O275" s="192">
        <v>0</v>
      </c>
      <c r="P275" s="156">
        <v>0</v>
      </c>
      <c r="Q275" s="192">
        <v>0</v>
      </c>
      <c r="R275" s="113"/>
      <c r="S275" s="116"/>
      <c r="T275" s="2"/>
    </row>
    <row r="276" spans="1:20" ht="15.6" x14ac:dyDescent="0.3">
      <c r="A276" s="112"/>
      <c r="B276" s="155" t="s">
        <v>122</v>
      </c>
      <c r="C276" s="191"/>
      <c r="D276" s="191"/>
      <c r="E276" s="191"/>
      <c r="F276" s="191"/>
      <c r="G276" s="191"/>
      <c r="H276" s="191"/>
      <c r="I276" s="191"/>
      <c r="J276" s="191"/>
      <c r="K276" s="191"/>
      <c r="L276" s="191"/>
      <c r="M276" s="191"/>
      <c r="N276" s="155">
        <v>0</v>
      </c>
      <c r="O276" s="192">
        <v>0</v>
      </c>
      <c r="P276" s="156">
        <v>0</v>
      </c>
      <c r="Q276" s="192">
        <v>0</v>
      </c>
      <c r="R276" s="113"/>
      <c r="S276" s="116"/>
      <c r="T276" s="2"/>
    </row>
    <row r="277" spans="1:20" ht="15.6" x14ac:dyDescent="0.3">
      <c r="A277" s="112"/>
      <c r="B277" s="155" t="s">
        <v>123</v>
      </c>
      <c r="C277" s="191"/>
      <c r="D277" s="191"/>
      <c r="E277" s="191"/>
      <c r="F277" s="191"/>
      <c r="G277" s="191"/>
      <c r="H277" s="191"/>
      <c r="I277" s="191"/>
      <c r="J277" s="191"/>
      <c r="K277" s="191"/>
      <c r="L277" s="191"/>
      <c r="M277" s="191"/>
      <c r="N277" s="155">
        <v>0</v>
      </c>
      <c r="O277" s="192">
        <v>0</v>
      </c>
      <c r="P277" s="156">
        <v>0</v>
      </c>
      <c r="Q277" s="192">
        <v>0</v>
      </c>
      <c r="R277" s="113"/>
      <c r="S277" s="116"/>
      <c r="T277" s="2"/>
    </row>
    <row r="278" spans="1:20" ht="15.6" x14ac:dyDescent="0.3">
      <c r="A278" s="112"/>
      <c r="B278" s="155"/>
      <c r="C278" s="191"/>
      <c r="D278" s="191"/>
      <c r="E278" s="191"/>
      <c r="F278" s="191"/>
      <c r="G278" s="191"/>
      <c r="H278" s="191"/>
      <c r="I278" s="191"/>
      <c r="J278" s="191"/>
      <c r="K278" s="191"/>
      <c r="L278" s="191"/>
      <c r="M278" s="191"/>
      <c r="N278" s="155"/>
      <c r="O278" s="192"/>
      <c r="P278" s="156"/>
      <c r="Q278" s="192"/>
      <c r="R278" s="113"/>
      <c r="S278" s="116"/>
      <c r="T278" s="2"/>
    </row>
    <row r="279" spans="1:20" ht="15.6" x14ac:dyDescent="0.3">
      <c r="A279" s="112"/>
      <c r="B279" s="113" t="s">
        <v>94</v>
      </c>
      <c r="C279" s="113"/>
      <c r="D279" s="194"/>
      <c r="E279" s="194"/>
      <c r="F279" s="194"/>
      <c r="G279" s="194"/>
      <c r="H279" s="194"/>
      <c r="I279" s="194"/>
      <c r="J279" s="194"/>
      <c r="K279" s="194"/>
      <c r="L279" s="194"/>
      <c r="M279" s="194"/>
      <c r="N279" s="155">
        <f>SUM(N270:N278)</f>
        <v>0</v>
      </c>
      <c r="O279" s="192">
        <f>SUM(O270:O278)</f>
        <v>0</v>
      </c>
      <c r="P279" s="156">
        <f>SUM(P270:P278)</f>
        <v>0</v>
      </c>
      <c r="Q279" s="192">
        <f>SUM(Q270:Q278)</f>
        <v>0</v>
      </c>
      <c r="R279" s="113"/>
      <c r="S279" s="116"/>
      <c r="T279" s="2"/>
    </row>
    <row r="280" spans="1:20" ht="15.6" x14ac:dyDescent="0.3">
      <c r="A280" s="12"/>
      <c r="B280" s="43"/>
      <c r="C280" s="43"/>
      <c r="D280" s="188"/>
      <c r="E280" s="188"/>
      <c r="F280" s="188"/>
      <c r="G280" s="188"/>
      <c r="H280" s="188"/>
      <c r="I280" s="188"/>
      <c r="J280" s="188"/>
      <c r="K280" s="188"/>
      <c r="L280" s="188"/>
      <c r="M280" s="188"/>
      <c r="N280" s="153"/>
      <c r="O280" s="189"/>
      <c r="P280" s="190"/>
      <c r="Q280" s="189"/>
      <c r="R280" s="43"/>
      <c r="S280" s="217"/>
      <c r="T280" s="2"/>
    </row>
    <row r="281" spans="1:20" ht="15.6" x14ac:dyDescent="0.3">
      <c r="A281" s="73"/>
      <c r="B281" s="61" t="s">
        <v>125</v>
      </c>
      <c r="C281" s="74"/>
      <c r="D281" s="76"/>
      <c r="E281" s="76"/>
      <c r="F281" s="76"/>
      <c r="G281" s="76"/>
      <c r="H281" s="76"/>
      <c r="I281" s="76"/>
      <c r="J281" s="76"/>
      <c r="K281" s="76"/>
      <c r="L281" s="76"/>
      <c r="M281" s="76"/>
      <c r="N281" s="72" t="s">
        <v>83</v>
      </c>
      <c r="O281" s="62" t="s">
        <v>84</v>
      </c>
      <c r="P281" s="72" t="s">
        <v>89</v>
      </c>
      <c r="Q281" s="62" t="s">
        <v>84</v>
      </c>
      <c r="R281" s="74"/>
      <c r="S281" s="75"/>
      <c r="T281" s="2"/>
    </row>
    <row r="282" spans="1:20" ht="15.6" x14ac:dyDescent="0.3">
      <c r="A282" s="77"/>
      <c r="B282" s="78" t="s">
        <v>72</v>
      </c>
      <c r="C282" s="79"/>
      <c r="D282" s="80"/>
      <c r="E282" s="80"/>
      <c r="F282" s="80"/>
      <c r="G282" s="80"/>
      <c r="H282" s="80"/>
      <c r="I282" s="80"/>
      <c r="J282" s="80"/>
      <c r="K282" s="80"/>
      <c r="L282" s="80"/>
      <c r="M282" s="80"/>
      <c r="N282" s="78">
        <v>0</v>
      </c>
      <c r="O282" s="81">
        <v>0</v>
      </c>
      <c r="P282" s="82">
        <v>0</v>
      </c>
      <c r="Q282" s="81">
        <v>0</v>
      </c>
      <c r="R282" s="79"/>
      <c r="S282" s="220"/>
      <c r="T282" s="2"/>
    </row>
    <row r="283" spans="1:20" ht="15.6" x14ac:dyDescent="0.3">
      <c r="A283" s="122"/>
      <c r="B283" s="155" t="s">
        <v>73</v>
      </c>
      <c r="C283" s="113"/>
      <c r="D283" s="194"/>
      <c r="E283" s="194"/>
      <c r="F283" s="194"/>
      <c r="G283" s="194"/>
      <c r="H283" s="194"/>
      <c r="I283" s="194"/>
      <c r="J283" s="194"/>
      <c r="K283" s="194"/>
      <c r="L283" s="194"/>
      <c r="M283" s="194"/>
      <c r="N283" s="155">
        <v>0</v>
      </c>
      <c r="O283" s="192">
        <v>0</v>
      </c>
      <c r="P283" s="156">
        <v>0</v>
      </c>
      <c r="Q283" s="192">
        <v>0</v>
      </c>
      <c r="R283" s="113"/>
      <c r="S283" s="116"/>
      <c r="T283" s="2"/>
    </row>
    <row r="284" spans="1:20" ht="15.6" x14ac:dyDescent="0.3">
      <c r="A284" s="122"/>
      <c r="B284" s="155" t="s">
        <v>74</v>
      </c>
      <c r="C284" s="113"/>
      <c r="D284" s="194"/>
      <c r="E284" s="194"/>
      <c r="F284" s="194"/>
      <c r="G284" s="194"/>
      <c r="H284" s="194"/>
      <c r="I284" s="194"/>
      <c r="J284" s="194"/>
      <c r="K284" s="194"/>
      <c r="L284" s="194"/>
      <c r="M284" s="194"/>
      <c r="N284" s="155">
        <v>0</v>
      </c>
      <c r="O284" s="192">
        <v>0</v>
      </c>
      <c r="P284" s="156">
        <v>0</v>
      </c>
      <c r="Q284" s="192">
        <v>0</v>
      </c>
      <c r="R284" s="113"/>
      <c r="S284" s="116"/>
      <c r="T284" s="2"/>
    </row>
    <row r="285" spans="1:20" ht="15.6" x14ac:dyDescent="0.3">
      <c r="A285" s="122"/>
      <c r="B285" s="155" t="s">
        <v>119</v>
      </c>
      <c r="C285" s="113"/>
      <c r="D285" s="194"/>
      <c r="E285" s="194"/>
      <c r="F285" s="194"/>
      <c r="G285" s="194"/>
      <c r="H285" s="194"/>
      <c r="I285" s="194"/>
      <c r="J285" s="194"/>
      <c r="K285" s="194"/>
      <c r="L285" s="194"/>
      <c r="M285" s="194"/>
      <c r="N285" s="155">
        <v>0</v>
      </c>
      <c r="O285" s="192">
        <v>0</v>
      </c>
      <c r="P285" s="156">
        <v>0</v>
      </c>
      <c r="Q285" s="192">
        <v>0</v>
      </c>
      <c r="R285" s="113"/>
      <c r="S285" s="116"/>
      <c r="T285" s="2"/>
    </row>
    <row r="286" spans="1:20" ht="15.6" x14ac:dyDescent="0.3">
      <c r="A286" s="122"/>
      <c r="B286" s="155" t="s">
        <v>120</v>
      </c>
      <c r="C286" s="113"/>
      <c r="D286" s="194"/>
      <c r="E286" s="194"/>
      <c r="F286" s="194"/>
      <c r="G286" s="194"/>
      <c r="H286" s="194"/>
      <c r="I286" s="194"/>
      <c r="J286" s="194"/>
      <c r="K286" s="194"/>
      <c r="L286" s="194"/>
      <c r="M286" s="194"/>
      <c r="N286" s="155">
        <v>0</v>
      </c>
      <c r="O286" s="192">
        <v>0</v>
      </c>
      <c r="P286" s="156">
        <v>0</v>
      </c>
      <c r="Q286" s="192">
        <v>0</v>
      </c>
      <c r="R286" s="113"/>
      <c r="S286" s="116"/>
      <c r="T286" s="2"/>
    </row>
    <row r="287" spans="1:20" ht="15.6" x14ac:dyDescent="0.3">
      <c r="A287" s="122"/>
      <c r="B287" s="155" t="s">
        <v>121</v>
      </c>
      <c r="C287" s="113"/>
      <c r="D287" s="194"/>
      <c r="E287" s="194"/>
      <c r="F287" s="194"/>
      <c r="G287" s="194"/>
      <c r="H287" s="194"/>
      <c r="I287" s="194"/>
      <c r="J287" s="194"/>
      <c r="K287" s="194"/>
      <c r="L287" s="194"/>
      <c r="M287" s="194"/>
      <c r="N287" s="155">
        <v>0</v>
      </c>
      <c r="O287" s="192">
        <v>0</v>
      </c>
      <c r="P287" s="156">
        <v>0</v>
      </c>
      <c r="Q287" s="192">
        <v>0</v>
      </c>
      <c r="R287" s="113"/>
      <c r="S287" s="116"/>
      <c r="T287" s="2"/>
    </row>
    <row r="288" spans="1:20" ht="15.6" x14ac:dyDescent="0.3">
      <c r="A288" s="122"/>
      <c r="B288" s="155" t="s">
        <v>122</v>
      </c>
      <c r="C288" s="113"/>
      <c r="D288" s="194"/>
      <c r="E288" s="194"/>
      <c r="F288" s="194"/>
      <c r="G288" s="194"/>
      <c r="H288" s="194"/>
      <c r="I288" s="194"/>
      <c r="J288" s="194"/>
      <c r="K288" s="194"/>
      <c r="L288" s="194"/>
      <c r="M288" s="194"/>
      <c r="N288" s="155">
        <v>0</v>
      </c>
      <c r="O288" s="192">
        <v>0</v>
      </c>
      <c r="P288" s="156">
        <v>0</v>
      </c>
      <c r="Q288" s="192">
        <v>0</v>
      </c>
      <c r="R288" s="113"/>
      <c r="S288" s="116"/>
      <c r="T288" s="2"/>
    </row>
    <row r="289" spans="1:20" ht="15.6" x14ac:dyDescent="0.3">
      <c r="A289" s="122"/>
      <c r="B289" s="155" t="s">
        <v>123</v>
      </c>
      <c r="C289" s="113"/>
      <c r="D289" s="194"/>
      <c r="E289" s="194"/>
      <c r="F289" s="194"/>
      <c r="G289" s="194"/>
      <c r="H289" s="194"/>
      <c r="I289" s="194"/>
      <c r="J289" s="194"/>
      <c r="K289" s="194"/>
      <c r="L289" s="194"/>
      <c r="M289" s="194"/>
      <c r="N289" s="155">
        <v>0</v>
      </c>
      <c r="O289" s="192">
        <v>0</v>
      </c>
      <c r="P289" s="156">
        <v>0</v>
      </c>
      <c r="Q289" s="192">
        <v>0</v>
      </c>
      <c r="R289" s="113"/>
      <c r="S289" s="116"/>
      <c r="T289" s="2"/>
    </row>
    <row r="290" spans="1:20" ht="15.6" x14ac:dyDescent="0.3">
      <c r="A290" s="122"/>
      <c r="B290" s="155"/>
      <c r="C290" s="113"/>
      <c r="D290" s="194"/>
      <c r="E290" s="194"/>
      <c r="F290" s="194"/>
      <c r="G290" s="194"/>
      <c r="H290" s="194"/>
      <c r="I290" s="194"/>
      <c r="J290" s="194"/>
      <c r="K290" s="194"/>
      <c r="L290" s="194"/>
      <c r="M290" s="194"/>
      <c r="N290" s="155"/>
      <c r="O290" s="192"/>
      <c r="P290" s="156"/>
      <c r="Q290" s="192"/>
      <c r="R290" s="113"/>
      <c r="S290" s="116"/>
      <c r="T290" s="2"/>
    </row>
    <row r="291" spans="1:20" ht="15.6" x14ac:dyDescent="0.3">
      <c r="A291" s="122"/>
      <c r="B291" s="113" t="s">
        <v>94</v>
      </c>
      <c r="C291" s="113"/>
      <c r="D291" s="194"/>
      <c r="E291" s="194"/>
      <c r="F291" s="194"/>
      <c r="G291" s="194"/>
      <c r="H291" s="194"/>
      <c r="I291" s="194"/>
      <c r="J291" s="194"/>
      <c r="K291" s="194"/>
      <c r="L291" s="194"/>
      <c r="M291" s="194"/>
      <c r="N291" s="155">
        <f>SUM(N282:N289)</f>
        <v>0</v>
      </c>
      <c r="O291" s="192">
        <f>SUM(O282:O289)</f>
        <v>0</v>
      </c>
      <c r="P291" s="156">
        <f>SUM(P282:P289)</f>
        <v>0</v>
      </c>
      <c r="Q291" s="192">
        <f>SUM(Q282:Q289)</f>
        <v>0</v>
      </c>
      <c r="R291" s="113"/>
      <c r="S291" s="116"/>
      <c r="T291" s="2"/>
    </row>
    <row r="292" spans="1:20" ht="15.6" x14ac:dyDescent="0.3">
      <c r="A292" s="122"/>
      <c r="B292" s="113"/>
      <c r="C292" s="113"/>
      <c r="D292" s="194"/>
      <c r="E292" s="194"/>
      <c r="F292" s="194"/>
      <c r="G292" s="194"/>
      <c r="H292" s="194"/>
      <c r="I292" s="194"/>
      <c r="J292" s="194"/>
      <c r="K292" s="194"/>
      <c r="L292" s="194"/>
      <c r="M292" s="194"/>
      <c r="N292" s="155"/>
      <c r="O292" s="192"/>
      <c r="P292" s="156"/>
      <c r="Q292" s="192"/>
      <c r="R292" s="113"/>
      <c r="S292" s="116"/>
      <c r="T292" s="2"/>
    </row>
    <row r="293" spans="1:20" ht="15.6" x14ac:dyDescent="0.3">
      <c r="A293" s="122"/>
      <c r="B293" s="124" t="s">
        <v>177</v>
      </c>
      <c r="C293" s="113"/>
      <c r="D293" s="194"/>
      <c r="E293" s="194"/>
      <c r="F293" s="194"/>
      <c r="G293" s="194"/>
      <c r="H293" s="194"/>
      <c r="I293" s="194"/>
      <c r="J293" s="194"/>
      <c r="K293" s="194"/>
      <c r="L293" s="194"/>
      <c r="M293" s="194"/>
      <c r="N293" s="196">
        <f>N291+N279+N267</f>
        <v>1037</v>
      </c>
      <c r="O293" s="192"/>
      <c r="P293" s="197">
        <f>+P291+P279+P267</f>
        <v>166608</v>
      </c>
      <c r="Q293" s="192"/>
      <c r="R293" s="113"/>
      <c r="S293" s="116"/>
      <c r="T293" s="2"/>
    </row>
    <row r="294" spans="1:20" ht="15.6" x14ac:dyDescent="0.3">
      <c r="A294" s="122"/>
      <c r="B294" s="124" t="s">
        <v>217</v>
      </c>
      <c r="C294" s="124"/>
      <c r="D294" s="205"/>
      <c r="E294" s="205"/>
      <c r="F294" s="205"/>
      <c r="G294" s="205"/>
      <c r="H294" s="205"/>
      <c r="I294" s="205"/>
      <c r="J294" s="205"/>
      <c r="K294" s="205"/>
      <c r="L294" s="205"/>
      <c r="M294" s="205"/>
      <c r="N294" s="196"/>
      <c r="O294" s="206"/>
      <c r="P294" s="207">
        <f>+R180</f>
        <v>0</v>
      </c>
      <c r="Q294" s="192"/>
      <c r="R294" s="113"/>
      <c r="S294" s="116"/>
      <c r="T294" s="2"/>
    </row>
    <row r="295" spans="1:20" ht="15.6" x14ac:dyDescent="0.3">
      <c r="A295" s="122"/>
      <c r="B295" s="124" t="s">
        <v>126</v>
      </c>
      <c r="C295" s="124"/>
      <c r="D295" s="205"/>
      <c r="E295" s="205"/>
      <c r="F295" s="205"/>
      <c r="G295" s="205"/>
      <c r="H295" s="205"/>
      <c r="I295" s="205"/>
      <c r="J295" s="205"/>
      <c r="K295" s="205"/>
      <c r="L295" s="205"/>
      <c r="M295" s="205"/>
      <c r="N295" s="196"/>
      <c r="O295" s="206"/>
      <c r="P295" s="207">
        <f>+P293+P294</f>
        <v>166608</v>
      </c>
      <c r="Q295" s="192"/>
      <c r="R295" s="113"/>
      <c r="S295" s="116"/>
      <c r="T295" s="2"/>
    </row>
    <row r="296" spans="1:20" ht="15.6" x14ac:dyDescent="0.3">
      <c r="A296" s="122"/>
      <c r="B296" s="124" t="s">
        <v>176</v>
      </c>
      <c r="C296" s="113"/>
      <c r="D296" s="194"/>
      <c r="E296" s="194"/>
      <c r="F296" s="194"/>
      <c r="G296" s="194"/>
      <c r="H296" s="194"/>
      <c r="I296" s="194"/>
      <c r="J296" s="194"/>
      <c r="K296" s="194"/>
      <c r="L296" s="194"/>
      <c r="M296" s="194"/>
      <c r="N296" s="196"/>
      <c r="O296" s="192"/>
      <c r="P296" s="197">
        <f>+R80</f>
        <v>166608</v>
      </c>
      <c r="Q296" s="192"/>
      <c r="R296" s="113"/>
      <c r="S296" s="116"/>
      <c r="T296" s="2"/>
    </row>
    <row r="297" spans="1:20" ht="15.6" x14ac:dyDescent="0.3">
      <c r="A297" s="122"/>
      <c r="B297" s="124"/>
      <c r="C297" s="113"/>
      <c r="D297" s="194"/>
      <c r="E297" s="194"/>
      <c r="F297" s="194"/>
      <c r="G297" s="194"/>
      <c r="H297" s="194"/>
      <c r="I297" s="194"/>
      <c r="J297" s="194"/>
      <c r="K297" s="194"/>
      <c r="L297" s="194"/>
      <c r="M297" s="194"/>
      <c r="N297" s="196"/>
      <c r="O297" s="192"/>
      <c r="P297" s="197"/>
      <c r="Q297" s="192"/>
      <c r="R297" s="113"/>
      <c r="S297" s="116"/>
      <c r="T297" s="2"/>
    </row>
    <row r="298" spans="1:20" ht="15.6" x14ac:dyDescent="0.3">
      <c r="A298" s="122"/>
      <c r="B298" s="124" t="s">
        <v>202</v>
      </c>
      <c r="C298" s="113"/>
      <c r="D298" s="194"/>
      <c r="E298" s="194"/>
      <c r="F298" s="194"/>
      <c r="G298" s="194"/>
      <c r="H298" s="194"/>
      <c r="I298" s="194"/>
      <c r="J298" s="194"/>
      <c r="K298" s="194"/>
      <c r="L298" s="194"/>
      <c r="M298" s="194"/>
      <c r="N298" s="196"/>
      <c r="O298" s="192"/>
      <c r="P298" s="214">
        <f>(L33+R147)/R33</f>
        <v>9.0043617656866554E-2</v>
      </c>
      <c r="Q298" s="192"/>
      <c r="R298" s="113"/>
      <c r="S298" s="116"/>
      <c r="T298" s="2"/>
    </row>
    <row r="299" spans="1:20" ht="15.6" x14ac:dyDescent="0.3">
      <c r="A299" s="83"/>
      <c r="B299" s="84"/>
      <c r="C299" s="84"/>
      <c r="D299" s="85"/>
      <c r="E299" s="85"/>
      <c r="F299" s="85"/>
      <c r="G299" s="85"/>
      <c r="H299" s="85"/>
      <c r="I299" s="85"/>
      <c r="J299" s="85"/>
      <c r="K299" s="85"/>
      <c r="L299" s="85"/>
      <c r="M299" s="85"/>
      <c r="N299" s="85"/>
      <c r="O299" s="85"/>
      <c r="P299" s="86"/>
      <c r="Q299" s="85"/>
      <c r="R299" s="84"/>
      <c r="S299" s="218"/>
      <c r="T299" s="2"/>
    </row>
    <row r="300" spans="1:20" ht="15.6" x14ac:dyDescent="0.3">
      <c r="A300" s="87"/>
      <c r="B300" s="88" t="s">
        <v>75</v>
      </c>
      <c r="C300" s="84"/>
      <c r="D300" s="89" t="s">
        <v>79</v>
      </c>
      <c r="E300" s="88"/>
      <c r="F300" s="88" t="s">
        <v>80</v>
      </c>
      <c r="G300" s="84"/>
      <c r="H300" s="88"/>
      <c r="I300" s="90"/>
      <c r="J300" s="90"/>
      <c r="K300" s="90"/>
      <c r="L300" s="90"/>
      <c r="M300" s="90"/>
      <c r="N300" s="90"/>
      <c r="O300" s="90"/>
      <c r="P300" s="90"/>
      <c r="Q300" s="90"/>
      <c r="R300" s="90"/>
      <c r="S300" s="229"/>
      <c r="T300" s="2"/>
    </row>
    <row r="301" spans="1:20" ht="15.6" x14ac:dyDescent="0.3">
      <c r="A301" s="87"/>
      <c r="B301" s="90"/>
      <c r="C301" s="84"/>
      <c r="D301" s="84"/>
      <c r="E301" s="84"/>
      <c r="F301" s="84"/>
      <c r="G301" s="84"/>
      <c r="H301" s="84"/>
      <c r="I301" s="90"/>
      <c r="J301" s="90"/>
      <c r="K301" s="90"/>
      <c r="L301" s="90"/>
      <c r="M301" s="90"/>
      <c r="N301" s="90"/>
      <c r="O301" s="90"/>
      <c r="P301" s="90"/>
      <c r="Q301" s="90"/>
      <c r="R301" s="90"/>
      <c r="S301" s="229"/>
      <c r="T301" s="2"/>
    </row>
    <row r="302" spans="1:20" ht="15.6" x14ac:dyDescent="0.3">
      <c r="A302" s="87"/>
      <c r="B302" s="213" t="s">
        <v>193</v>
      </c>
      <c r="C302" s="88"/>
      <c r="D302" s="91" t="s">
        <v>147</v>
      </c>
      <c r="E302" s="88"/>
      <c r="F302" s="88" t="s">
        <v>148</v>
      </c>
      <c r="G302" s="88"/>
      <c r="H302" s="88"/>
      <c r="I302" s="90"/>
      <c r="J302" s="90"/>
      <c r="K302" s="90"/>
      <c r="L302" s="90"/>
      <c r="M302" s="90"/>
      <c r="N302" s="90"/>
      <c r="O302" s="90"/>
      <c r="P302" s="90"/>
      <c r="Q302" s="90"/>
      <c r="R302" s="90"/>
      <c r="S302" s="229"/>
      <c r="T302" s="2"/>
    </row>
    <row r="303" spans="1:20" ht="15.6" x14ac:dyDescent="0.3">
      <c r="A303" s="87"/>
      <c r="B303" s="213" t="s">
        <v>194</v>
      </c>
      <c r="C303" s="88"/>
      <c r="D303" s="91" t="s">
        <v>114</v>
      </c>
      <c r="E303" s="88"/>
      <c r="F303" s="88" t="s">
        <v>117</v>
      </c>
      <c r="G303" s="88"/>
      <c r="H303" s="88"/>
      <c r="I303" s="90"/>
      <c r="J303" s="90"/>
      <c r="K303" s="90"/>
      <c r="L303" s="90"/>
      <c r="M303" s="90"/>
      <c r="N303" s="90"/>
      <c r="O303" s="90"/>
      <c r="P303" s="90"/>
      <c r="Q303" s="90"/>
      <c r="R303" s="90"/>
      <c r="S303" s="229"/>
      <c r="T303" s="2"/>
    </row>
    <row r="304" spans="1:20" ht="15.6" x14ac:dyDescent="0.3">
      <c r="A304" s="87"/>
      <c r="B304" s="88"/>
      <c r="C304" s="88"/>
      <c r="D304" s="90"/>
      <c r="E304" s="90"/>
      <c r="F304" s="90"/>
      <c r="G304" s="90"/>
      <c r="H304" s="90"/>
      <c r="I304" s="90"/>
      <c r="J304" s="90"/>
      <c r="K304" s="90"/>
      <c r="L304" s="90"/>
      <c r="M304" s="90"/>
      <c r="N304" s="90"/>
      <c r="O304" s="90"/>
      <c r="P304" s="90"/>
      <c r="Q304" s="90"/>
      <c r="R304" s="90"/>
      <c r="S304" s="229"/>
      <c r="T304" s="2"/>
    </row>
    <row r="305" spans="1:20" ht="15.6" x14ac:dyDescent="0.3">
      <c r="A305" s="87"/>
      <c r="B305" s="88"/>
      <c r="C305" s="88"/>
      <c r="D305" s="90"/>
      <c r="E305" s="90"/>
      <c r="F305" s="90"/>
      <c r="G305" s="90"/>
      <c r="H305" s="90"/>
      <c r="I305" s="90"/>
      <c r="J305" s="90"/>
      <c r="K305" s="90"/>
      <c r="L305" s="90"/>
      <c r="M305" s="90"/>
      <c r="N305" s="90"/>
      <c r="O305" s="90"/>
      <c r="P305" s="90"/>
      <c r="Q305" s="90"/>
      <c r="R305" s="90"/>
      <c r="S305" s="229"/>
      <c r="T305" s="2"/>
    </row>
    <row r="306" spans="1:20" ht="18" thickBot="1" x14ac:dyDescent="0.35">
      <c r="A306" s="87"/>
      <c r="B306" s="92" t="str">
        <f>B205</f>
        <v>PM22 INVESTOR REPORT QUARTER ENDING MAY 2017</v>
      </c>
      <c r="C306" s="88"/>
      <c r="D306" s="90"/>
      <c r="E306" s="90"/>
      <c r="F306" s="90"/>
      <c r="G306" s="90"/>
      <c r="H306" s="90"/>
      <c r="I306" s="90"/>
      <c r="J306" s="90"/>
      <c r="K306" s="90"/>
      <c r="L306" s="90"/>
      <c r="M306" s="90"/>
      <c r="N306" s="90"/>
      <c r="O306" s="90"/>
      <c r="P306" s="90"/>
      <c r="Q306" s="90"/>
      <c r="R306" s="90"/>
      <c r="S306" s="99"/>
      <c r="T306" s="2"/>
    </row>
    <row r="307" spans="1:20" x14ac:dyDescent="0.25">
      <c r="A307" s="3"/>
      <c r="B307" s="3"/>
      <c r="C307" s="3"/>
      <c r="D307" s="3"/>
      <c r="E307" s="3"/>
      <c r="F307" s="3"/>
      <c r="G307" s="3"/>
      <c r="H307" s="3"/>
      <c r="I307" s="3"/>
      <c r="J307" s="3"/>
      <c r="K307" s="3"/>
      <c r="L307" s="3"/>
      <c r="M307" s="3"/>
      <c r="N307" s="3"/>
      <c r="O307" s="3"/>
      <c r="P307" s="3"/>
      <c r="Q307" s="3"/>
      <c r="R307" s="3"/>
      <c r="S307" s="3"/>
    </row>
  </sheetData>
  <hyperlinks>
    <hyperlink ref="N243"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85</vt:i4>
      </vt:variant>
    </vt:vector>
  </HeadingPairs>
  <TitlesOfParts>
    <vt:vector size="102" baseType="lpstr">
      <vt:lpstr>May 15</vt:lpstr>
      <vt:lpstr>Aug 15</vt:lpstr>
      <vt:lpstr>Nov 15</vt:lpstr>
      <vt:lpstr>Feb 16</vt:lpstr>
      <vt:lpstr>May 16</vt:lpstr>
      <vt:lpstr>Aug 16</vt:lpstr>
      <vt:lpstr>Nov 16</vt:lpstr>
      <vt:lpstr>Feb 17</vt:lpstr>
      <vt:lpstr>May 17</vt:lpstr>
      <vt:lpstr>Aug 17</vt:lpstr>
      <vt:lpstr>Nov 17</vt:lpstr>
      <vt:lpstr>Feb 18</vt:lpstr>
      <vt:lpstr>May 18</vt:lpstr>
      <vt:lpstr>Aug 18</vt:lpstr>
      <vt:lpstr>Nov 18</vt:lpstr>
      <vt:lpstr>Feb 19</vt:lpstr>
      <vt:lpstr>May 19</vt:lpstr>
      <vt:lpstr>'Aug 15'!_1PAGE_1</vt:lpstr>
      <vt:lpstr>'Aug 16'!_1PAGE_1</vt:lpstr>
      <vt:lpstr>'Aug 17'!_1PAGE_1</vt:lpstr>
      <vt:lpstr>'Aug 18'!_1PAGE_1</vt:lpstr>
      <vt:lpstr>'Feb 16'!_1PAGE_1</vt:lpstr>
      <vt:lpstr>'Feb 17'!_1PAGE_1</vt:lpstr>
      <vt:lpstr>'Feb 18'!_1PAGE_1</vt:lpstr>
      <vt:lpstr>'Feb 19'!_1PAGE_1</vt:lpstr>
      <vt:lpstr>'May 15'!_1PAGE_1</vt:lpstr>
      <vt:lpstr>'May 16'!_1PAGE_1</vt:lpstr>
      <vt:lpstr>'May 17'!_1PAGE_1</vt:lpstr>
      <vt:lpstr>'May 18'!_1PAGE_1</vt:lpstr>
      <vt:lpstr>'May 19'!_1PAGE_1</vt:lpstr>
      <vt:lpstr>'Nov 15'!_1PAGE_1</vt:lpstr>
      <vt:lpstr>'Nov 16'!_1PAGE_1</vt:lpstr>
      <vt:lpstr>'Nov 17'!_1PAGE_1</vt:lpstr>
      <vt:lpstr>'Nov 18'!_1PAGE_1</vt:lpstr>
      <vt:lpstr>'Aug 15'!_3PAGE_2</vt:lpstr>
      <vt:lpstr>'Aug 16'!_3PAGE_2</vt:lpstr>
      <vt:lpstr>'Aug 17'!_3PAGE_2</vt:lpstr>
      <vt:lpstr>'Aug 18'!_3PAGE_2</vt:lpstr>
      <vt:lpstr>'Feb 16'!_3PAGE_2</vt:lpstr>
      <vt:lpstr>'Feb 17'!_3PAGE_2</vt:lpstr>
      <vt:lpstr>'Feb 18'!_3PAGE_2</vt:lpstr>
      <vt:lpstr>'Feb 19'!_3PAGE_2</vt:lpstr>
      <vt:lpstr>'May 15'!_3PAGE_2</vt:lpstr>
      <vt:lpstr>'May 16'!_3PAGE_2</vt:lpstr>
      <vt:lpstr>'May 17'!_3PAGE_2</vt:lpstr>
      <vt:lpstr>'May 18'!_3PAGE_2</vt:lpstr>
      <vt:lpstr>'May 19'!_3PAGE_2</vt:lpstr>
      <vt:lpstr>'Nov 15'!_3PAGE_2</vt:lpstr>
      <vt:lpstr>'Nov 16'!_3PAGE_2</vt:lpstr>
      <vt:lpstr>'Nov 17'!_3PAGE_2</vt:lpstr>
      <vt:lpstr>'Nov 18'!_3PAGE_2</vt:lpstr>
      <vt:lpstr>'Aug 15'!_5PAGE_3</vt:lpstr>
      <vt:lpstr>'Aug 16'!_5PAGE_3</vt:lpstr>
      <vt:lpstr>'Aug 17'!_5PAGE_3</vt:lpstr>
      <vt:lpstr>'Aug 18'!_5PAGE_3</vt:lpstr>
      <vt:lpstr>'Feb 16'!_5PAGE_3</vt:lpstr>
      <vt:lpstr>'Feb 17'!_5PAGE_3</vt:lpstr>
      <vt:lpstr>'Feb 18'!_5PAGE_3</vt:lpstr>
      <vt:lpstr>'Feb 19'!_5PAGE_3</vt:lpstr>
      <vt:lpstr>'May 15'!_5PAGE_3</vt:lpstr>
      <vt:lpstr>'May 16'!_5PAGE_3</vt:lpstr>
      <vt:lpstr>'May 17'!_5PAGE_3</vt:lpstr>
      <vt:lpstr>'May 18'!_5PAGE_3</vt:lpstr>
      <vt:lpstr>'May 19'!_5PAGE_3</vt:lpstr>
      <vt:lpstr>'Nov 15'!_5PAGE_3</vt:lpstr>
      <vt:lpstr>'Nov 16'!_5PAGE_3</vt:lpstr>
      <vt:lpstr>'Nov 17'!_5PAGE_3</vt:lpstr>
      <vt:lpstr>'Nov 18'!_5PAGE_3</vt:lpstr>
      <vt:lpstr>'Aug 15'!_7PAGE_4</vt:lpstr>
      <vt:lpstr>'Aug 16'!_7PAGE_4</vt:lpstr>
      <vt:lpstr>'Aug 17'!_7PAGE_4</vt:lpstr>
      <vt:lpstr>'Aug 18'!_7PAGE_4</vt:lpstr>
      <vt:lpstr>'Feb 16'!_7PAGE_4</vt:lpstr>
      <vt:lpstr>'Feb 17'!_7PAGE_4</vt:lpstr>
      <vt:lpstr>'Feb 18'!_7PAGE_4</vt:lpstr>
      <vt:lpstr>'Feb 19'!_7PAGE_4</vt:lpstr>
      <vt:lpstr>'May 15'!_7PAGE_4</vt:lpstr>
      <vt:lpstr>'May 16'!_7PAGE_4</vt:lpstr>
      <vt:lpstr>'May 17'!_7PAGE_4</vt:lpstr>
      <vt:lpstr>'May 18'!_7PAGE_4</vt:lpstr>
      <vt:lpstr>'May 19'!_7PAGE_4</vt:lpstr>
      <vt:lpstr>'Nov 15'!_7PAGE_4</vt:lpstr>
      <vt:lpstr>'Nov 16'!_7PAGE_4</vt:lpstr>
      <vt:lpstr>'Nov 17'!_7PAGE_4</vt:lpstr>
      <vt:lpstr>'Nov 18'!_7PAGE_4</vt:lpstr>
      <vt:lpstr>'Aug 15'!Print_Area</vt:lpstr>
      <vt:lpstr>'Aug 16'!Print_Area</vt:lpstr>
      <vt:lpstr>'Aug 17'!Print_Area</vt:lpstr>
      <vt:lpstr>'Aug 18'!Print_Area</vt:lpstr>
      <vt:lpstr>'Feb 16'!Print_Area</vt:lpstr>
      <vt:lpstr>'Feb 17'!Print_Area</vt:lpstr>
      <vt:lpstr>'Feb 18'!Print_Area</vt:lpstr>
      <vt:lpstr>'Feb 19'!Print_Area</vt:lpstr>
      <vt:lpstr>'May 15'!Print_Area</vt:lpstr>
      <vt:lpstr>'May 16'!Print_Area</vt:lpstr>
      <vt:lpstr>'May 17'!Print_Area</vt:lpstr>
      <vt:lpstr>'May 18'!Print_Area</vt:lpstr>
      <vt:lpstr>'May 19'!Print_Area</vt:lpstr>
      <vt:lpstr>'Nov 15'!Print_Area</vt:lpstr>
      <vt:lpstr>'Nov 16'!Print_Area</vt:lpstr>
      <vt:lpstr>'Nov 17'!Print_Area</vt:lpstr>
      <vt:lpstr>'Nov 18'!Print_Area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Dowler</dc:creator>
  <cp:lastModifiedBy>Andrew Kitching</cp:lastModifiedBy>
  <cp:lastPrinted>2018-12-18T10:49:54Z</cp:lastPrinted>
  <dcterms:created xsi:type="dcterms:W3CDTF">2003-11-18T07:58:35Z</dcterms:created>
  <dcterms:modified xsi:type="dcterms:W3CDTF">2019-06-18T09:03:54Z</dcterms:modified>
</cp:coreProperties>
</file>